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39AEA5B1-323A-474F-ADDF-8410F1A4948C}" xr6:coauthVersionLast="47" xr6:coauthVersionMax="47" xr10:uidLastSave="{00000000-0000-0000-0000-000000000000}"/>
  <bookViews>
    <workbookView xWindow="-120" yWindow="-120" windowWidth="20730" windowHeight="11160" tabRatio="565" xr2:uid="{00000000-000D-0000-FFFF-FFFF00000000}"/>
  </bookViews>
  <sheets>
    <sheet name="GESTIÓN" sheetId="1" r:id="rId1"/>
    <sheet name="INVERSIÓN" sheetId="2" r:id="rId2"/>
    <sheet name="ACTIVIDADES" sheetId="3" r:id="rId3"/>
    <sheet name="TERRITORIALIZACION" sheetId="4" r:id="rId4"/>
    <sheet name="SPI" sheetId="5" r:id="rId5"/>
    <sheet name="TERRITORIALIZACIÓN" sheetId="6" state="hidden" r:id="rId6"/>
  </sheets>
  <externalReferences>
    <externalReference r:id="rId7"/>
    <externalReference r:id="rId8"/>
    <externalReference r:id="rId9"/>
  </externalReferences>
  <definedNames>
    <definedName name="CONDICION_POBLACIONAL" localSheetId="4">[1]Variables!$C$1:$C$24</definedName>
    <definedName name="CONDICION_POBLACIONAL" localSheetId="5">[2]Variables!$C$1:$C$24</definedName>
    <definedName name="CONDICION_POBLACIONAL">[3]Variables!$C$1:$C$24</definedName>
    <definedName name="GRUPO_ETAREO" localSheetId="4">[1]Variables!$A$1:$A$8</definedName>
    <definedName name="GRUPO_ETAREO" localSheetId="5">[2]Variables!$A$1:$A$8</definedName>
    <definedName name="GRUPO_ETAREO">[3]Variables!$A$1:$A$8</definedName>
    <definedName name="GRUPO_ETAREOS" localSheetId="0">#REF!</definedName>
    <definedName name="GRUPO_ETAREOS" localSheetId="4">#REF!</definedName>
    <definedName name="GRUPO_ETAREOS" localSheetId="5">#REF!</definedName>
    <definedName name="GRUPO_ETAREOS">#REF!</definedName>
    <definedName name="GRUPO_ETARIO" localSheetId="0">#REF!</definedName>
    <definedName name="GRUPO_ETARIO" localSheetId="4">#REF!</definedName>
    <definedName name="GRUPO_ETARIO" localSheetId="5">#REF!</definedName>
    <definedName name="GRUPO_ETARIO">#REF!</definedName>
    <definedName name="GRUPO_ETNICO" localSheetId="0">#REF!</definedName>
    <definedName name="GRUPO_ETNICO" localSheetId="4">#REF!</definedName>
    <definedName name="GRUPO_ETNICO" localSheetId="5">#REF!</definedName>
    <definedName name="GRUPO_ETNICO">#REF!</definedName>
    <definedName name="GRUPOETNICO" localSheetId="0">#REF!</definedName>
    <definedName name="GRUPOETNICO" localSheetId="4">#REF!</definedName>
    <definedName name="GRUPOETNICO" localSheetId="5">#REF!</definedName>
    <definedName name="GRUPOETNICO">#REF!</definedName>
    <definedName name="GRUPOS_ETNICOS" localSheetId="4">[1]Variables!$H$1:$H$8</definedName>
    <definedName name="GRUPOS_ETNICOS" localSheetId="5">[2]Variables!$H$1:$H$8</definedName>
    <definedName name="GRUPOS_ETNICOS">[3]Variables!$H$1:$H$8</definedName>
    <definedName name="LOCALIDAD" localSheetId="0">#REF!</definedName>
    <definedName name="LOCALIDAD" localSheetId="4">#REF!</definedName>
    <definedName name="LOCALIDAD" localSheetId="5">#REF!</definedName>
    <definedName name="LOCALIDAD">#REF!</definedName>
    <definedName name="LOCALIZACION" localSheetId="0">#REF!</definedName>
    <definedName name="LOCALIZACION" localSheetId="4">#REF!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Q13" i="1" l="1"/>
  <c r="EP13" i="1"/>
  <c r="ET14" i="1"/>
  <c r="EU14" i="1"/>
  <c r="EV14" i="1"/>
  <c r="EW14" i="1"/>
  <c r="EX14" i="1"/>
  <c r="ET15" i="1"/>
  <c r="EU15" i="1"/>
  <c r="EV15" i="1"/>
  <c r="EW15" i="1"/>
  <c r="EX15" i="1"/>
  <c r="ET16" i="1"/>
  <c r="EU16" i="1"/>
  <c r="EV16" i="1"/>
  <c r="EW16" i="1"/>
  <c r="EX16" i="1"/>
  <c r="ET17" i="1"/>
  <c r="EU17" i="1"/>
  <c r="EV17" i="1"/>
  <c r="EW17" i="1"/>
  <c r="EX17" i="1"/>
  <c r="EX13" i="1"/>
  <c r="EW13" i="1"/>
  <c r="EV13" i="1"/>
  <c r="EU13" i="1"/>
  <c r="ET13" i="1"/>
  <c r="V736" i="4"/>
  <c r="U736" i="4"/>
  <c r="U737" i="4"/>
  <c r="I736" i="4"/>
  <c r="I738" i="4" s="1"/>
  <c r="EV78" i="2"/>
  <c r="BE71" i="2"/>
  <c r="EV71" i="2"/>
  <c r="BD71" i="2"/>
  <c r="EU79" i="2"/>
  <c r="EU78" i="2"/>
  <c r="ET79" i="2"/>
  <c r="ES79" i="2"/>
  <c r="ES78" i="2"/>
  <c r="ER12" i="2"/>
  <c r="ER13" i="2"/>
  <c r="ER14" i="2"/>
  <c r="ER17" i="2"/>
  <c r="ER18" i="2"/>
  <c r="ER19" i="2"/>
  <c r="ER20" i="2"/>
  <c r="ER21" i="2"/>
  <c r="ER24" i="2"/>
  <c r="ER25" i="2"/>
  <c r="ER26" i="2"/>
  <c r="ER27" i="2"/>
  <c r="ER28" i="2"/>
  <c r="ER31" i="2"/>
  <c r="ER32" i="2"/>
  <c r="ER33" i="2"/>
  <c r="ER34" i="2"/>
  <c r="ER35" i="2"/>
  <c r="ER38" i="2"/>
  <c r="ER39" i="2"/>
  <c r="ER40" i="2"/>
  <c r="ER41" i="2"/>
  <c r="ER42" i="2"/>
  <c r="ER43" i="2"/>
  <c r="ER44" i="2"/>
  <c r="ER45" i="2"/>
  <c r="ER46" i="2"/>
  <c r="ER47" i="2"/>
  <c r="ER48" i="2"/>
  <c r="ER49" i="2"/>
  <c r="ER50" i="2"/>
  <c r="ER51" i="2"/>
  <c r="ER52" i="2"/>
  <c r="ER53" i="2"/>
  <c r="ER54" i="2"/>
  <c r="ER55" i="2"/>
  <c r="ER56" i="2"/>
  <c r="ER57" i="2"/>
  <c r="ER58" i="2"/>
  <c r="ER59" i="2"/>
  <c r="ER60" i="2"/>
  <c r="ER61" i="2"/>
  <c r="ER62" i="2"/>
  <c r="ER63" i="2"/>
  <c r="ER64" i="2"/>
  <c r="ER65" i="2"/>
  <c r="ER66" i="2"/>
  <c r="ER67" i="2"/>
  <c r="ER68" i="2"/>
  <c r="ER69" i="2"/>
  <c r="ER70" i="2"/>
  <c r="ER71" i="2"/>
  <c r="ER72" i="2"/>
  <c r="ER73" i="2"/>
  <c r="ER74" i="2"/>
  <c r="ER75" i="2"/>
  <c r="ER76" i="2"/>
  <c r="ER77" i="2"/>
  <c r="ER78" i="2"/>
  <c r="ER79" i="2"/>
  <c r="ER11" i="2"/>
  <c r="ER10" i="2"/>
  <c r="G77" i="2"/>
  <c r="G35" i="2"/>
  <c r="F423" i="4"/>
  <c r="G423" i="4"/>
  <c r="H423" i="4"/>
  <c r="I423" i="4"/>
  <c r="I491" i="4"/>
  <c r="I248" i="4"/>
  <c r="I244" i="4"/>
  <c r="H647" i="4"/>
  <c r="ER13" i="1" l="1"/>
  <c r="EQ14" i="1"/>
  <c r="EQ15" i="1"/>
  <c r="EQ16" i="1"/>
  <c r="EQ17" i="1"/>
  <c r="EP14" i="1"/>
  <c r="EP15" i="1"/>
  <c r="EP16" i="1"/>
  <c r="EP17" i="1"/>
  <c r="EN77" i="2" l="1"/>
  <c r="EN76" i="2"/>
  <c r="EN75" i="2"/>
  <c r="EN74" i="2"/>
  <c r="EN73" i="2"/>
  <c r="EN63" i="2"/>
  <c r="EN62" i="2"/>
  <c r="EN61" i="2"/>
  <c r="EN60" i="2"/>
  <c r="EN59" i="2"/>
  <c r="EN56" i="2"/>
  <c r="EN55" i="2"/>
  <c r="EN54" i="2"/>
  <c r="EN53" i="2"/>
  <c r="EN52" i="2"/>
  <c r="EN49" i="2"/>
  <c r="EN48" i="2"/>
  <c r="EN47" i="2"/>
  <c r="EN46" i="2"/>
  <c r="EN45" i="2"/>
  <c r="EN42" i="2"/>
  <c r="EN41" i="2"/>
  <c r="EN39" i="2"/>
  <c r="EN38" i="2"/>
  <c r="EN35" i="2"/>
  <c r="EN34" i="2"/>
  <c r="EN33" i="2"/>
  <c r="EN32" i="2"/>
  <c r="EN31" i="2"/>
  <c r="EN28" i="2"/>
  <c r="EN27" i="2"/>
  <c r="EN26" i="2"/>
  <c r="EN25" i="2"/>
  <c r="EN24" i="2"/>
  <c r="EN21" i="2"/>
  <c r="EN20" i="2"/>
  <c r="EN18" i="2"/>
  <c r="EN17" i="2"/>
  <c r="EN13" i="2"/>
  <c r="EN14" i="2"/>
  <c r="EN10" i="2"/>
  <c r="EN11" i="2"/>
  <c r="EO11" i="2"/>
  <c r="G1120" i="5"/>
  <c r="G1121" i="5"/>
  <c r="G1122" i="5"/>
  <c r="G1123" i="5"/>
  <c r="G1124" i="5"/>
  <c r="V703" i="4" l="1"/>
  <c r="V701" i="4"/>
  <c r="I695" i="4"/>
  <c r="U701" i="4"/>
  <c r="V668" i="4"/>
  <c r="I587" i="4"/>
  <c r="I591" i="4" s="1"/>
  <c r="I593" i="4"/>
  <c r="I597" i="4" s="1"/>
  <c r="V705" i="4" l="1"/>
  <c r="V592" i="4"/>
  <c r="V593" i="4"/>
  <c r="V594" i="4"/>
  <c r="V595" i="4"/>
  <c r="V596" i="4"/>
  <c r="V597" i="4"/>
  <c r="V587" i="4"/>
  <c r="V588" i="4"/>
  <c r="V589" i="4"/>
  <c r="V590" i="4"/>
  <c r="V591" i="4"/>
  <c r="V586" i="4"/>
  <c r="EO45" i="2"/>
  <c r="V737" i="4" l="1"/>
  <c r="V729" i="4"/>
  <c r="I699" i="4"/>
  <c r="I698" i="4"/>
  <c r="I692" i="4"/>
  <c r="I686" i="4"/>
  <c r="I689" i="4"/>
  <c r="I693" i="4" s="1"/>
  <c r="I683" i="4"/>
  <c r="I687" i="4" s="1"/>
  <c r="V681" i="4"/>
  <c r="V669" i="4"/>
  <c r="V648" i="4"/>
  <c r="I655" i="4"/>
  <c r="I653" i="4"/>
  <c r="I649" i="4"/>
  <c r="V649" i="4" s="1"/>
  <c r="I647" i="4"/>
  <c r="V647" i="4" s="1"/>
  <c r="V606" i="4"/>
  <c r="V608" i="4"/>
  <c r="I607" i="4"/>
  <c r="V607" i="4" s="1"/>
  <c r="I605" i="4"/>
  <c r="V561" i="4"/>
  <c r="V426" i="4"/>
  <c r="V428" i="4"/>
  <c r="V430" i="4"/>
  <c r="V432" i="4"/>
  <c r="V434" i="4"/>
  <c r="V436" i="4"/>
  <c r="V437" i="4"/>
  <c r="V438" i="4"/>
  <c r="V439" i="4"/>
  <c r="V440" i="4"/>
  <c r="V441" i="4"/>
  <c r="V442" i="4"/>
  <c r="V444" i="4"/>
  <c r="V446" i="4"/>
  <c r="V448" i="4"/>
  <c r="V450" i="4"/>
  <c r="V452" i="4"/>
  <c r="V454" i="4"/>
  <c r="V455" i="4"/>
  <c r="V456" i="4"/>
  <c r="V457" i="4"/>
  <c r="V458" i="4"/>
  <c r="V459" i="4"/>
  <c r="V460" i="4"/>
  <c r="V461" i="4"/>
  <c r="V462" i="4"/>
  <c r="V463" i="4"/>
  <c r="V464" i="4"/>
  <c r="V465" i="4"/>
  <c r="V466" i="4"/>
  <c r="V467" i="4"/>
  <c r="V468" i="4"/>
  <c r="V469" i="4"/>
  <c r="V470" i="4"/>
  <c r="V471" i="4"/>
  <c r="V472" i="4"/>
  <c r="V474" i="4"/>
  <c r="V476" i="4"/>
  <c r="V478" i="4"/>
  <c r="V480" i="4"/>
  <c r="V482" i="4"/>
  <c r="V484" i="4"/>
  <c r="V486" i="4"/>
  <c r="V488" i="4"/>
  <c r="V490" i="4"/>
  <c r="V492" i="4"/>
  <c r="V494" i="4"/>
  <c r="V496" i="4"/>
  <c r="V498" i="4"/>
  <c r="V500" i="4"/>
  <c r="V502" i="4"/>
  <c r="V504" i="4"/>
  <c r="V506" i="4"/>
  <c r="V508" i="4"/>
  <c r="V510" i="4"/>
  <c r="V512" i="4"/>
  <c r="V514" i="4"/>
  <c r="V515" i="4"/>
  <c r="V516" i="4"/>
  <c r="V517" i="4"/>
  <c r="V518" i="4"/>
  <c r="V519" i="4"/>
  <c r="V520" i="4"/>
  <c r="V522" i="4"/>
  <c r="V524" i="4"/>
  <c r="V526" i="4"/>
  <c r="V527" i="4"/>
  <c r="V528" i="4"/>
  <c r="V529" i="4"/>
  <c r="V530" i="4"/>
  <c r="V531" i="4"/>
  <c r="V532" i="4"/>
  <c r="V533" i="4"/>
  <c r="V534" i="4"/>
  <c r="V535" i="4"/>
  <c r="V536" i="4"/>
  <c r="V537" i="4"/>
  <c r="V538" i="4"/>
  <c r="V540" i="4"/>
  <c r="V542" i="4"/>
  <c r="V424" i="4"/>
  <c r="I541" i="4"/>
  <c r="V541" i="4" s="1"/>
  <c r="I523" i="4"/>
  <c r="V523" i="4" s="1"/>
  <c r="I511" i="4"/>
  <c r="V511" i="4" s="1"/>
  <c r="I505" i="4"/>
  <c r="V505" i="4" s="1"/>
  <c r="I499" i="4"/>
  <c r="V499" i="4" s="1"/>
  <c r="I493" i="4"/>
  <c r="I487" i="4"/>
  <c r="V487" i="4" s="1"/>
  <c r="I481" i="4"/>
  <c r="V481" i="4" s="1"/>
  <c r="I475" i="4"/>
  <c r="V475" i="4" s="1"/>
  <c r="I451" i="4"/>
  <c r="V451" i="4" s="1"/>
  <c r="I445" i="4"/>
  <c r="V445" i="4" s="1"/>
  <c r="I433" i="4"/>
  <c r="V433" i="4" s="1"/>
  <c r="I427" i="4"/>
  <c r="V427" i="4" s="1"/>
  <c r="I545" i="4"/>
  <c r="I546" i="4"/>
  <c r="I547" i="4"/>
  <c r="I548" i="4"/>
  <c r="I544" i="4"/>
  <c r="I539" i="4"/>
  <c r="I521" i="4"/>
  <c r="I525" i="4" s="1"/>
  <c r="I509" i="4"/>
  <c r="I503" i="4"/>
  <c r="I497" i="4"/>
  <c r="V491" i="4"/>
  <c r="I479" i="4"/>
  <c r="I485" i="4"/>
  <c r="I489" i="4" s="1"/>
  <c r="I473" i="4"/>
  <c r="I449" i="4"/>
  <c r="I453" i="4" s="1"/>
  <c r="I443" i="4"/>
  <c r="I431" i="4"/>
  <c r="V423" i="4"/>
  <c r="I425" i="4"/>
  <c r="V411" i="4"/>
  <c r="I325" i="4"/>
  <c r="H325" i="4"/>
  <c r="I329" i="4"/>
  <c r="I333" i="4" s="1"/>
  <c r="I323" i="4"/>
  <c r="I317" i="4"/>
  <c r="I321" i="4" s="1"/>
  <c r="I263" i="4"/>
  <c r="I267" i="4" s="1"/>
  <c r="V255" i="4"/>
  <c r="I257" i="4"/>
  <c r="I261" i="4" s="1"/>
  <c r="V150" i="4"/>
  <c r="I205" i="4"/>
  <c r="I197" i="4"/>
  <c r="I201" i="4" s="1"/>
  <c r="I151" i="4"/>
  <c r="I149" i="4"/>
  <c r="I241" i="4"/>
  <c r="H205" i="4"/>
  <c r="I239" i="4"/>
  <c r="I233" i="4"/>
  <c r="I237" i="4" s="1"/>
  <c r="I227" i="4"/>
  <c r="I231" i="4" s="1"/>
  <c r="I203" i="4"/>
  <c r="I191" i="4"/>
  <c r="I195" i="4" s="1"/>
  <c r="I185" i="4"/>
  <c r="I189" i="4" s="1"/>
  <c r="I179" i="4"/>
  <c r="I183" i="4" s="1"/>
  <c r="I155" i="4"/>
  <c r="I159" i="4" s="1"/>
  <c r="V147" i="4"/>
  <c r="I147" i="4"/>
  <c r="I133" i="4"/>
  <c r="I85" i="4"/>
  <c r="H31" i="4"/>
  <c r="G31" i="4"/>
  <c r="I31" i="4"/>
  <c r="I131" i="4"/>
  <c r="I125" i="4"/>
  <c r="I129" i="4" s="1"/>
  <c r="I113" i="4"/>
  <c r="I117" i="4" s="1"/>
  <c r="I101" i="4"/>
  <c r="I105" i="4" s="1"/>
  <c r="I95" i="4"/>
  <c r="I99" i="4" s="1"/>
  <c r="I89" i="4"/>
  <c r="I93" i="4" s="1"/>
  <c r="I83" i="4"/>
  <c r="I77" i="4"/>
  <c r="I81" i="4" s="1"/>
  <c r="I71" i="4"/>
  <c r="I75" i="4" s="1"/>
  <c r="I65" i="4"/>
  <c r="I69" i="4" s="1"/>
  <c r="I59" i="4"/>
  <c r="I63" i="4" s="1"/>
  <c r="I47" i="4"/>
  <c r="I51" i="4" s="1"/>
  <c r="I41" i="4"/>
  <c r="I35" i="4"/>
  <c r="I39" i="4" s="1"/>
  <c r="I29" i="4"/>
  <c r="I17" i="4"/>
  <c r="V15" i="4"/>
  <c r="U15" i="4"/>
  <c r="I513" i="4" l="1"/>
  <c r="V513" i="4" s="1"/>
  <c r="V443" i="4"/>
  <c r="I447" i="4"/>
  <c r="V479" i="4"/>
  <c r="I483" i="4"/>
  <c r="V483" i="4" s="1"/>
  <c r="V425" i="4"/>
  <c r="I429" i="4"/>
  <c r="I551" i="4"/>
  <c r="I549" i="4"/>
  <c r="V473" i="4"/>
  <c r="I477" i="4"/>
  <c r="V497" i="4"/>
  <c r="I501" i="4"/>
  <c r="V539" i="4"/>
  <c r="I543" i="4"/>
  <c r="V543" i="4" s="1"/>
  <c r="V431" i="4"/>
  <c r="I435" i="4"/>
  <c r="V435" i="4" s="1"/>
  <c r="V503" i="4"/>
  <c r="I507" i="4"/>
  <c r="V493" i="4"/>
  <c r="I495" i="4"/>
  <c r="V495" i="4" s="1"/>
  <c r="V738" i="4"/>
  <c r="I33" i="4"/>
  <c r="I609" i="4"/>
  <c r="V609" i="4" s="1"/>
  <c r="V489" i="4"/>
  <c r="I207" i="4"/>
  <c r="I327" i="4"/>
  <c r="V661" i="4"/>
  <c r="I243" i="4"/>
  <c r="V660" i="4"/>
  <c r="V453" i="4"/>
  <c r="V525" i="4"/>
  <c r="V550" i="4"/>
  <c r="V554" i="4"/>
  <c r="I657" i="4"/>
  <c r="I153" i="4"/>
  <c r="V552" i="4"/>
  <c r="V662" i="4"/>
  <c r="V553" i="4"/>
  <c r="I135" i="4"/>
  <c r="V507" i="4"/>
  <c r="V501" i="4"/>
  <c r="V477" i="4"/>
  <c r="V521" i="4"/>
  <c r="V509" i="4"/>
  <c r="V485" i="4"/>
  <c r="V449" i="4"/>
  <c r="V605" i="4"/>
  <c r="I87" i="4"/>
  <c r="V447" i="4"/>
  <c r="I651" i="4"/>
  <c r="V651" i="4" s="1"/>
  <c r="I553" i="4"/>
  <c r="I247" i="4"/>
  <c r="I555" i="4" l="1"/>
  <c r="V429" i="4"/>
  <c r="V659" i="4"/>
  <c r="V663" i="4"/>
  <c r="V551" i="4"/>
  <c r="V683" i="4"/>
  <c r="V684" i="4"/>
  <c r="V685" i="4"/>
  <c r="V686" i="4"/>
  <c r="V687" i="4"/>
  <c r="V688" i="4"/>
  <c r="V689" i="4"/>
  <c r="V690" i="4"/>
  <c r="V691" i="4"/>
  <c r="V692" i="4"/>
  <c r="V693" i="4"/>
  <c r="V694" i="4"/>
  <c r="V695" i="4"/>
  <c r="V696" i="4"/>
  <c r="V697" i="4"/>
  <c r="V698" i="4"/>
  <c r="V699" i="4"/>
  <c r="V682" i="4"/>
  <c r="V555" i="4" l="1"/>
  <c r="AG532" i="4"/>
  <c r="AG526" i="4"/>
  <c r="AG514" i="4"/>
  <c r="AG508" i="4"/>
  <c r="AG502" i="4"/>
  <c r="AG496" i="4"/>
  <c r="AG490" i="4"/>
  <c r="AG484" i="4"/>
  <c r="AG472" i="4"/>
  <c r="AG466" i="4"/>
  <c r="AG460" i="4"/>
  <c r="AG454" i="4"/>
  <c r="AG448" i="4"/>
  <c r="AG442" i="4"/>
  <c r="AG430" i="4"/>
  <c r="V731" i="4" l="1"/>
  <c r="V732" i="4"/>
  <c r="V733" i="4"/>
  <c r="V734" i="4"/>
  <c r="V735" i="4"/>
  <c r="V730" i="4"/>
  <c r="I735" i="4"/>
  <c r="I734" i="4"/>
  <c r="I733" i="4"/>
  <c r="I732" i="4"/>
  <c r="I731" i="4"/>
  <c r="I730" i="4"/>
  <c r="I708" i="4"/>
  <c r="I709" i="4"/>
  <c r="I710" i="4"/>
  <c r="I706" i="4"/>
  <c r="I671" i="4"/>
  <c r="I672" i="4"/>
  <c r="I673" i="4"/>
  <c r="I674" i="4"/>
  <c r="I675" i="4"/>
  <c r="I670" i="4"/>
  <c r="I659" i="4"/>
  <c r="I660" i="4"/>
  <c r="I661" i="4"/>
  <c r="I663" i="4"/>
  <c r="I658" i="4"/>
  <c r="I552" i="4"/>
  <c r="I554" i="4"/>
  <c r="I550" i="4"/>
  <c r="I413" i="4"/>
  <c r="I414" i="4"/>
  <c r="I415" i="4"/>
  <c r="I416" i="4"/>
  <c r="I417" i="4"/>
  <c r="I412" i="4"/>
  <c r="V257" i="4"/>
  <c r="V258" i="4"/>
  <c r="V259" i="4"/>
  <c r="V260" i="4"/>
  <c r="V261" i="4"/>
  <c r="V262" i="4"/>
  <c r="V263" i="4"/>
  <c r="V264" i="4"/>
  <c r="V265" i="4"/>
  <c r="V266" i="4"/>
  <c r="V267" i="4"/>
  <c r="V268" i="4"/>
  <c r="V269" i="4"/>
  <c r="V270" i="4"/>
  <c r="V271" i="4"/>
  <c r="V272" i="4"/>
  <c r="V273" i="4"/>
  <c r="V274" i="4"/>
  <c r="V275" i="4"/>
  <c r="V276" i="4"/>
  <c r="V277" i="4"/>
  <c r="V278" i="4"/>
  <c r="V279" i="4"/>
  <c r="V280" i="4"/>
  <c r="V281" i="4"/>
  <c r="V282" i="4"/>
  <c r="V283" i="4"/>
  <c r="V284" i="4"/>
  <c r="V285" i="4"/>
  <c r="V286" i="4"/>
  <c r="V287" i="4"/>
  <c r="V288" i="4"/>
  <c r="V289" i="4"/>
  <c r="V290" i="4"/>
  <c r="V291" i="4"/>
  <c r="V292" i="4"/>
  <c r="V293" i="4"/>
  <c r="V294" i="4"/>
  <c r="V295" i="4"/>
  <c r="V296" i="4"/>
  <c r="V297" i="4"/>
  <c r="V298" i="4"/>
  <c r="V299" i="4"/>
  <c r="V300" i="4"/>
  <c r="V301" i="4"/>
  <c r="V302" i="4"/>
  <c r="V303" i="4"/>
  <c r="V304" i="4"/>
  <c r="V305" i="4"/>
  <c r="V306" i="4"/>
  <c r="V307" i="4"/>
  <c r="V308" i="4"/>
  <c r="V309" i="4"/>
  <c r="V310" i="4"/>
  <c r="V311" i="4"/>
  <c r="V312" i="4"/>
  <c r="V313" i="4"/>
  <c r="V314" i="4"/>
  <c r="V315" i="4"/>
  <c r="V316" i="4"/>
  <c r="V317" i="4"/>
  <c r="V318" i="4"/>
  <c r="V319" i="4"/>
  <c r="V320" i="4"/>
  <c r="V321" i="4"/>
  <c r="V322" i="4"/>
  <c r="V323" i="4"/>
  <c r="V324" i="4"/>
  <c r="V325" i="4"/>
  <c r="V326" i="4"/>
  <c r="V327" i="4"/>
  <c r="V328" i="4"/>
  <c r="V329" i="4"/>
  <c r="V330" i="4"/>
  <c r="V331" i="4"/>
  <c r="V332" i="4"/>
  <c r="V333" i="4"/>
  <c r="V256" i="4"/>
  <c r="V149" i="4"/>
  <c r="V151" i="4"/>
  <c r="V152" i="4"/>
  <c r="V153" i="4"/>
  <c r="V154" i="4"/>
  <c r="V155" i="4"/>
  <c r="V156" i="4"/>
  <c r="V157" i="4"/>
  <c r="V158" i="4"/>
  <c r="V159" i="4"/>
  <c r="V160" i="4"/>
  <c r="V161" i="4"/>
  <c r="V162" i="4"/>
  <c r="V163" i="4"/>
  <c r="V164" i="4"/>
  <c r="V165" i="4"/>
  <c r="V166" i="4"/>
  <c r="V167" i="4"/>
  <c r="V168" i="4"/>
  <c r="V169" i="4"/>
  <c r="V170" i="4"/>
  <c r="V171" i="4"/>
  <c r="V172" i="4"/>
  <c r="V173" i="4"/>
  <c r="V174" i="4"/>
  <c r="V175" i="4"/>
  <c r="V176" i="4"/>
  <c r="V177" i="4"/>
  <c r="V178" i="4"/>
  <c r="V179" i="4"/>
  <c r="V180" i="4"/>
  <c r="V181" i="4"/>
  <c r="V182" i="4"/>
  <c r="V183" i="4"/>
  <c r="V184" i="4"/>
  <c r="V185" i="4"/>
  <c r="V186" i="4"/>
  <c r="V187" i="4"/>
  <c r="V188" i="4"/>
  <c r="V189" i="4"/>
  <c r="V190" i="4"/>
  <c r="V191" i="4"/>
  <c r="V192" i="4"/>
  <c r="V193" i="4"/>
  <c r="V194" i="4"/>
  <c r="V195" i="4"/>
  <c r="V196" i="4"/>
  <c r="V197" i="4"/>
  <c r="V198" i="4"/>
  <c r="V199" i="4"/>
  <c r="V200" i="4"/>
  <c r="V201" i="4"/>
  <c r="V202" i="4"/>
  <c r="V203" i="4"/>
  <c r="V204" i="4"/>
  <c r="V205" i="4"/>
  <c r="V206" i="4"/>
  <c r="V207" i="4"/>
  <c r="V208" i="4"/>
  <c r="V209" i="4"/>
  <c r="V210" i="4"/>
  <c r="V211" i="4"/>
  <c r="V212" i="4"/>
  <c r="V213" i="4"/>
  <c r="V214" i="4"/>
  <c r="V215" i="4"/>
  <c r="V216" i="4"/>
  <c r="V217" i="4"/>
  <c r="V218" i="4"/>
  <c r="V219" i="4"/>
  <c r="V220" i="4"/>
  <c r="V221" i="4"/>
  <c r="V222" i="4"/>
  <c r="V223" i="4"/>
  <c r="V224" i="4"/>
  <c r="V225" i="4"/>
  <c r="V226" i="4"/>
  <c r="V227" i="4"/>
  <c r="V228" i="4"/>
  <c r="V229" i="4"/>
  <c r="V230" i="4"/>
  <c r="V231" i="4"/>
  <c r="V232" i="4"/>
  <c r="V233" i="4"/>
  <c r="V234" i="4"/>
  <c r="V235" i="4"/>
  <c r="V236" i="4"/>
  <c r="V237" i="4"/>
  <c r="V148" i="4"/>
  <c r="V17" i="4"/>
  <c r="V18" i="4"/>
  <c r="V19" i="4"/>
  <c r="V22" i="4"/>
  <c r="V23" i="4"/>
  <c r="V24" i="4"/>
  <c r="V25" i="4"/>
  <c r="V26" i="4"/>
  <c r="V27" i="4"/>
  <c r="V28" i="4"/>
  <c r="V29" i="4"/>
  <c r="V30" i="4"/>
  <c r="V31" i="4"/>
  <c r="V32" i="4"/>
  <c r="V33" i="4"/>
  <c r="V34" i="4"/>
  <c r="V35" i="4"/>
  <c r="V36" i="4"/>
  <c r="V37" i="4"/>
  <c r="V38" i="4"/>
  <c r="V39" i="4"/>
  <c r="V40" i="4"/>
  <c r="V41" i="4"/>
  <c r="V42" i="4"/>
  <c r="V43" i="4"/>
  <c r="V44" i="4"/>
  <c r="V46" i="4"/>
  <c r="V47" i="4"/>
  <c r="V48" i="4"/>
  <c r="V49" i="4"/>
  <c r="V50" i="4"/>
  <c r="V51" i="4"/>
  <c r="V52" i="4"/>
  <c r="V53" i="4"/>
  <c r="V54" i="4"/>
  <c r="V55" i="4"/>
  <c r="V56" i="4"/>
  <c r="V57" i="4"/>
  <c r="V58" i="4"/>
  <c r="V59" i="4"/>
  <c r="V60" i="4"/>
  <c r="V61" i="4"/>
  <c r="V62" i="4"/>
  <c r="V63" i="4"/>
  <c r="V64" i="4"/>
  <c r="V65" i="4"/>
  <c r="V66" i="4"/>
  <c r="V67" i="4"/>
  <c r="V68" i="4"/>
  <c r="V69" i="4"/>
  <c r="V70" i="4"/>
  <c r="V71" i="4"/>
  <c r="V72" i="4"/>
  <c r="V73" i="4"/>
  <c r="V74" i="4"/>
  <c r="V75" i="4"/>
  <c r="V76" i="4"/>
  <c r="V77" i="4"/>
  <c r="V78" i="4"/>
  <c r="V79" i="4"/>
  <c r="V80" i="4"/>
  <c r="V81" i="4"/>
  <c r="V82" i="4"/>
  <c r="V83" i="4"/>
  <c r="V84" i="4"/>
  <c r="V85" i="4"/>
  <c r="V86" i="4"/>
  <c r="V87" i="4"/>
  <c r="V88" i="4"/>
  <c r="V89" i="4"/>
  <c r="V90" i="4"/>
  <c r="V91" i="4"/>
  <c r="V92" i="4"/>
  <c r="V93" i="4"/>
  <c r="V94" i="4"/>
  <c r="V95" i="4"/>
  <c r="V96" i="4"/>
  <c r="V97" i="4"/>
  <c r="V98" i="4"/>
  <c r="V99" i="4"/>
  <c r="V100" i="4"/>
  <c r="V101" i="4"/>
  <c r="V102" i="4"/>
  <c r="V103" i="4"/>
  <c r="V104" i="4"/>
  <c r="V105" i="4"/>
  <c r="V106" i="4"/>
  <c r="V107" i="4"/>
  <c r="V108" i="4"/>
  <c r="V109" i="4"/>
  <c r="V110" i="4"/>
  <c r="V111" i="4"/>
  <c r="V112" i="4"/>
  <c r="V113" i="4"/>
  <c r="V114" i="4"/>
  <c r="V115" i="4"/>
  <c r="V116" i="4"/>
  <c r="V117" i="4"/>
  <c r="V118" i="4"/>
  <c r="V119" i="4"/>
  <c r="V120" i="4"/>
  <c r="V121" i="4"/>
  <c r="V122" i="4"/>
  <c r="V123" i="4"/>
  <c r="V124" i="4"/>
  <c r="V125" i="4"/>
  <c r="V126" i="4"/>
  <c r="V127" i="4"/>
  <c r="V128" i="4"/>
  <c r="V129" i="4"/>
  <c r="V16" i="4"/>
  <c r="H134" i="4"/>
  <c r="I134" i="4"/>
  <c r="I137" i="4"/>
  <c r="I138" i="4"/>
  <c r="I139" i="4"/>
  <c r="I136" i="4"/>
  <c r="H136" i="4"/>
  <c r="I245" i="4"/>
  <c r="I246" i="4"/>
  <c r="I249" i="4"/>
  <c r="I402" i="4"/>
  <c r="I394" i="4"/>
  <c r="I397" i="4"/>
  <c r="I395" i="4"/>
  <c r="H394" i="4"/>
  <c r="H400" i="4" s="1"/>
  <c r="G394" i="4"/>
  <c r="V254" i="4"/>
  <c r="V146" i="4"/>
  <c r="T146" i="4"/>
  <c r="I45" i="4"/>
  <c r="I20" i="4"/>
  <c r="I21" i="4" s="1"/>
  <c r="V21" i="4" s="1"/>
  <c r="V246" i="4" l="1"/>
  <c r="V248" i="4"/>
  <c r="I400" i="4"/>
  <c r="I403" i="4"/>
  <c r="V400" i="4"/>
  <c r="V404" i="4"/>
  <c r="V402" i="4"/>
  <c r="I140" i="4"/>
  <c r="I398" i="4"/>
  <c r="I141" i="4"/>
  <c r="I399" i="4"/>
  <c r="V403" i="4"/>
  <c r="V247" i="4"/>
  <c r="V20" i="4"/>
  <c r="V405" i="4"/>
  <c r="V401" i="4"/>
  <c r="I401" i="4"/>
  <c r="V45" i="4"/>
  <c r="T738" i="4"/>
  <c r="I405" i="4" l="1"/>
  <c r="I404" i="4"/>
  <c r="S15" i="3" l="1"/>
  <c r="H668" i="4" l="1"/>
  <c r="EO77" i="2"/>
  <c r="EO12" i="2"/>
  <c r="EO19" i="2"/>
  <c r="ES77" i="2" l="1"/>
  <c r="G1119" i="5"/>
  <c r="G1118" i="5"/>
  <c r="G1117" i="5"/>
  <c r="G1116" i="5"/>
  <c r="G1115" i="5"/>
  <c r="F736" i="4" l="1"/>
  <c r="F738" i="4" s="1"/>
  <c r="G736" i="4"/>
  <c r="G738" i="4" s="1"/>
  <c r="H736" i="4"/>
  <c r="H738" i="4" s="1"/>
  <c r="H674" i="4"/>
  <c r="H398" i="4"/>
  <c r="H402" i="4"/>
  <c r="H656" i="4"/>
  <c r="H658" i="4"/>
  <c r="H660" i="4"/>
  <c r="H326" i="4"/>
  <c r="U326" i="4" s="1"/>
  <c r="U318" i="4"/>
  <c r="U319" i="4"/>
  <c r="U320" i="4"/>
  <c r="U322" i="4"/>
  <c r="U324" i="4"/>
  <c r="U316" i="4"/>
  <c r="U150" i="4"/>
  <c r="U154" i="4"/>
  <c r="U156" i="4"/>
  <c r="U157" i="4"/>
  <c r="U160" i="4"/>
  <c r="U161" i="4"/>
  <c r="U162" i="4"/>
  <c r="U163" i="4"/>
  <c r="U164" i="4"/>
  <c r="U165" i="4"/>
  <c r="U166" i="4"/>
  <c r="U167" i="4"/>
  <c r="U168" i="4"/>
  <c r="U169" i="4"/>
  <c r="U170" i="4"/>
  <c r="U171" i="4"/>
  <c r="U172" i="4"/>
  <c r="U173" i="4"/>
  <c r="U174" i="4"/>
  <c r="U175" i="4"/>
  <c r="U176" i="4"/>
  <c r="U177" i="4"/>
  <c r="U178" i="4"/>
  <c r="U180" i="4"/>
  <c r="U181" i="4"/>
  <c r="U184" i="4"/>
  <c r="U186" i="4"/>
  <c r="U187" i="4"/>
  <c r="U190" i="4"/>
  <c r="U192" i="4"/>
  <c r="U193" i="4"/>
  <c r="U196" i="4"/>
  <c r="U198" i="4"/>
  <c r="U199" i="4"/>
  <c r="U202" i="4"/>
  <c r="U204" i="4"/>
  <c r="U208" i="4"/>
  <c r="U209" i="4"/>
  <c r="U210" i="4"/>
  <c r="U211" i="4"/>
  <c r="U212" i="4"/>
  <c r="U213" i="4"/>
  <c r="U214" i="4"/>
  <c r="U215" i="4"/>
  <c r="U216" i="4"/>
  <c r="U217" i="4"/>
  <c r="U218" i="4"/>
  <c r="U219" i="4"/>
  <c r="U220" i="4"/>
  <c r="U221" i="4"/>
  <c r="U222" i="4"/>
  <c r="U223" i="4"/>
  <c r="U224" i="4"/>
  <c r="U225" i="4"/>
  <c r="U226" i="4"/>
  <c r="U227" i="4"/>
  <c r="U228" i="4"/>
  <c r="U229" i="4"/>
  <c r="U230" i="4"/>
  <c r="U231" i="4"/>
  <c r="U232" i="4"/>
  <c r="U234" i="4"/>
  <c r="U235" i="4"/>
  <c r="U148" i="4"/>
  <c r="H236" i="4"/>
  <c r="U236" i="4" s="1"/>
  <c r="H206" i="4"/>
  <c r="U206" i="4" s="1"/>
  <c r="H200" i="4"/>
  <c r="U200" i="4" s="1"/>
  <c r="H194" i="4"/>
  <c r="U194" i="4" s="1"/>
  <c r="H188" i="4"/>
  <c r="U188" i="4" s="1"/>
  <c r="H182" i="4"/>
  <c r="U182" i="4" s="1"/>
  <c r="H158" i="4"/>
  <c r="U158" i="4" s="1"/>
  <c r="H152" i="4"/>
  <c r="U152" i="4" s="1"/>
  <c r="H20" i="4"/>
  <c r="H32" i="4"/>
  <c r="U32" i="4" s="1"/>
  <c r="H44" i="4"/>
  <c r="U44" i="4" s="1"/>
  <c r="H86" i="4"/>
  <c r="U86" i="4" s="1"/>
  <c r="U18" i="4"/>
  <c r="U19" i="4"/>
  <c r="U22" i="4"/>
  <c r="U23" i="4"/>
  <c r="U24" i="4"/>
  <c r="U25" i="4"/>
  <c r="U26" i="4"/>
  <c r="U27" i="4"/>
  <c r="U28" i="4"/>
  <c r="U30" i="4"/>
  <c r="U34" i="4"/>
  <c r="U36" i="4"/>
  <c r="U37" i="4"/>
  <c r="U38" i="4"/>
  <c r="U40" i="4"/>
  <c r="U42" i="4"/>
  <c r="U43" i="4"/>
  <c r="U46" i="4"/>
  <c r="U48" i="4"/>
  <c r="U49" i="4"/>
  <c r="U50" i="4"/>
  <c r="U52" i="4"/>
  <c r="U53" i="4"/>
  <c r="U54" i="4"/>
  <c r="U55" i="4"/>
  <c r="U56" i="4"/>
  <c r="U57" i="4"/>
  <c r="U58" i="4"/>
  <c r="U60" i="4"/>
  <c r="U61" i="4"/>
  <c r="U62" i="4"/>
  <c r="U64" i="4"/>
  <c r="U66" i="4"/>
  <c r="U67" i="4"/>
  <c r="U68" i="4"/>
  <c r="U70" i="4"/>
  <c r="U72" i="4"/>
  <c r="U73" i="4"/>
  <c r="U74" i="4"/>
  <c r="U76" i="4"/>
  <c r="U78" i="4"/>
  <c r="U79" i="4"/>
  <c r="U80" i="4"/>
  <c r="U82" i="4"/>
  <c r="U84" i="4"/>
  <c r="U88" i="4"/>
  <c r="U90" i="4"/>
  <c r="U91" i="4"/>
  <c r="U92" i="4"/>
  <c r="U94" i="4"/>
  <c r="U96" i="4"/>
  <c r="U97" i="4"/>
  <c r="U98" i="4"/>
  <c r="U100" i="4"/>
  <c r="U102" i="4"/>
  <c r="U103" i="4"/>
  <c r="U104" i="4"/>
  <c r="U106" i="4"/>
  <c r="U107" i="4"/>
  <c r="U108" i="4"/>
  <c r="U109" i="4"/>
  <c r="U110" i="4"/>
  <c r="U111" i="4"/>
  <c r="U112" i="4"/>
  <c r="U113" i="4"/>
  <c r="U114" i="4"/>
  <c r="U115" i="4"/>
  <c r="U116" i="4"/>
  <c r="U117" i="4"/>
  <c r="U118" i="4"/>
  <c r="U119" i="4"/>
  <c r="U120" i="4"/>
  <c r="U121" i="4"/>
  <c r="U122" i="4"/>
  <c r="U123" i="4"/>
  <c r="U124" i="4"/>
  <c r="U126" i="4"/>
  <c r="U127" i="4"/>
  <c r="U128" i="4"/>
  <c r="U16" i="4"/>
  <c r="H15" i="4"/>
  <c r="H14" i="4"/>
  <c r="U426" i="4"/>
  <c r="U428" i="4"/>
  <c r="U430" i="4"/>
  <c r="U432" i="4"/>
  <c r="U434" i="4"/>
  <c r="U436" i="4"/>
  <c r="U437" i="4"/>
  <c r="U438" i="4"/>
  <c r="U439" i="4"/>
  <c r="U440" i="4"/>
  <c r="U441" i="4"/>
  <c r="U442" i="4"/>
  <c r="U444" i="4"/>
  <c r="U446" i="4"/>
  <c r="U448" i="4"/>
  <c r="U450" i="4"/>
  <c r="U452" i="4"/>
  <c r="U454" i="4"/>
  <c r="U455" i="4"/>
  <c r="U456" i="4"/>
  <c r="U457" i="4"/>
  <c r="U458" i="4"/>
  <c r="U459" i="4"/>
  <c r="U460" i="4"/>
  <c r="U461" i="4"/>
  <c r="U462" i="4"/>
  <c r="U463" i="4"/>
  <c r="U464" i="4"/>
  <c r="U465" i="4"/>
  <c r="U466" i="4"/>
  <c r="U467" i="4"/>
  <c r="U468" i="4"/>
  <c r="U469" i="4"/>
  <c r="U470" i="4"/>
  <c r="U471" i="4"/>
  <c r="U472" i="4"/>
  <c r="U474" i="4"/>
  <c r="U476" i="4"/>
  <c r="U478" i="4"/>
  <c r="U480" i="4"/>
  <c r="U482" i="4"/>
  <c r="U484" i="4"/>
  <c r="U486" i="4"/>
  <c r="U488" i="4"/>
  <c r="U490" i="4"/>
  <c r="U492" i="4"/>
  <c r="U494" i="4"/>
  <c r="U496" i="4"/>
  <c r="U498" i="4"/>
  <c r="U500" i="4"/>
  <c r="U502" i="4"/>
  <c r="U504" i="4"/>
  <c r="U506" i="4"/>
  <c r="U508" i="4"/>
  <c r="U510" i="4"/>
  <c r="U512" i="4"/>
  <c r="U514" i="4"/>
  <c r="U515" i="4"/>
  <c r="U516" i="4"/>
  <c r="U517" i="4"/>
  <c r="U518" i="4"/>
  <c r="U519" i="4"/>
  <c r="U520" i="4"/>
  <c r="U522" i="4"/>
  <c r="U524" i="4"/>
  <c r="U526" i="4"/>
  <c r="U527" i="4"/>
  <c r="U528" i="4"/>
  <c r="U529" i="4"/>
  <c r="U530" i="4"/>
  <c r="U531" i="4"/>
  <c r="U532" i="4"/>
  <c r="U533" i="4"/>
  <c r="U534" i="4"/>
  <c r="U535" i="4"/>
  <c r="U536" i="4"/>
  <c r="U537" i="4"/>
  <c r="U538" i="4"/>
  <c r="U540" i="4"/>
  <c r="U542" i="4"/>
  <c r="U424" i="4"/>
  <c r="H552" i="4"/>
  <c r="H554" i="4"/>
  <c r="H550" i="4"/>
  <c r="U20" i="4" l="1"/>
  <c r="H140" i="4"/>
  <c r="U550" i="4"/>
  <c r="U554" i="4"/>
  <c r="U404" i="4"/>
  <c r="U400" i="4"/>
  <c r="H662" i="4"/>
  <c r="U402" i="4"/>
  <c r="U552" i="4"/>
  <c r="H404" i="4"/>
  <c r="EO54" i="2"/>
  <c r="ES54" i="2" s="1"/>
  <c r="U648" i="4"/>
  <c r="U650" i="4"/>
  <c r="U646" i="4"/>
  <c r="V646" i="4"/>
  <c r="X646" i="4"/>
  <c r="Y646" i="4"/>
  <c r="Z646" i="4"/>
  <c r="AA646" i="4"/>
  <c r="AB646" i="4"/>
  <c r="AC646" i="4"/>
  <c r="AD646" i="4"/>
  <c r="AE646" i="4"/>
  <c r="U606" i="4"/>
  <c r="U608" i="4"/>
  <c r="U604" i="4"/>
  <c r="V604" i="4"/>
  <c r="X604" i="4"/>
  <c r="Y604" i="4"/>
  <c r="Z604" i="4"/>
  <c r="AA604" i="4"/>
  <c r="AB604" i="4"/>
  <c r="AC604" i="4"/>
  <c r="AD604" i="4"/>
  <c r="AE604" i="4"/>
  <c r="U140" i="4" l="1"/>
  <c r="V658" i="4"/>
  <c r="U658" i="4"/>
  <c r="U662" i="4"/>
  <c r="U660" i="4"/>
  <c r="H138" i="4" l="1"/>
  <c r="EM73" i="2" l="1"/>
  <c r="EO13" i="1"/>
  <c r="EM52" i="2"/>
  <c r="EP52" i="2"/>
  <c r="DO81" i="2" l="1"/>
  <c r="DP81" i="2"/>
  <c r="DQ81" i="2"/>
  <c r="DR81" i="2"/>
  <c r="DS81" i="2"/>
  <c r="DT81" i="2"/>
  <c r="DU81" i="2"/>
  <c r="DV81" i="2"/>
  <c r="DW81" i="2"/>
  <c r="DX81" i="2"/>
  <c r="DZ81" i="2"/>
  <c r="EA81" i="2"/>
  <c r="EB81" i="2"/>
  <c r="EC81" i="2"/>
  <c r="ED81" i="2"/>
  <c r="EE81" i="2"/>
  <c r="EF81" i="2"/>
  <c r="EG81" i="2"/>
  <c r="EH81" i="2"/>
  <c r="EI81" i="2"/>
  <c r="EJ81" i="2"/>
  <c r="EK81" i="2"/>
  <c r="EL81" i="2"/>
  <c r="DN81" i="2"/>
  <c r="DO80" i="2"/>
  <c r="DP80" i="2"/>
  <c r="DQ80" i="2"/>
  <c r="DR80" i="2"/>
  <c r="DS80" i="2"/>
  <c r="DT80" i="2"/>
  <c r="DV80" i="2"/>
  <c r="DW80" i="2"/>
  <c r="DX80" i="2"/>
  <c r="DZ80" i="2"/>
  <c r="EA80" i="2"/>
  <c r="EB80" i="2"/>
  <c r="EC80" i="2"/>
  <c r="ED80" i="2"/>
  <c r="EE80" i="2"/>
  <c r="EF80" i="2"/>
  <c r="EG80" i="2"/>
  <c r="EH80" i="2"/>
  <c r="EI80" i="2"/>
  <c r="EJ80" i="2"/>
  <c r="EK80" i="2"/>
  <c r="EL80" i="2"/>
  <c r="DN79" i="2"/>
  <c r="DO79" i="2"/>
  <c r="DP79" i="2"/>
  <c r="DQ79" i="2"/>
  <c r="DR79" i="2"/>
  <c r="DS79" i="2"/>
  <c r="DT79" i="2"/>
  <c r="DU79" i="2"/>
  <c r="DV79" i="2"/>
  <c r="DW79" i="2"/>
  <c r="DX79" i="2"/>
  <c r="DZ79" i="2"/>
  <c r="EA79" i="2"/>
  <c r="EB79" i="2"/>
  <c r="EC79" i="2"/>
  <c r="ED79" i="2"/>
  <c r="EE79" i="2"/>
  <c r="EF79" i="2"/>
  <c r="EG79" i="2"/>
  <c r="EH79" i="2"/>
  <c r="EI79" i="2"/>
  <c r="EJ79" i="2"/>
  <c r="EK79" i="2"/>
  <c r="EL79" i="2"/>
  <c r="DN65" i="2"/>
  <c r="DO65" i="2"/>
  <c r="DP65" i="2"/>
  <c r="DQ65" i="2"/>
  <c r="DR65" i="2"/>
  <c r="DS65" i="2"/>
  <c r="DT65" i="2"/>
  <c r="DU65" i="2"/>
  <c r="DV65" i="2"/>
  <c r="DW65" i="2"/>
  <c r="DX65" i="2"/>
  <c r="DZ65" i="2"/>
  <c r="EA65" i="2"/>
  <c r="EB65" i="2"/>
  <c r="EC65" i="2"/>
  <c r="ED65" i="2"/>
  <c r="EE65" i="2"/>
  <c r="EF65" i="2"/>
  <c r="EG65" i="2"/>
  <c r="EH65" i="2"/>
  <c r="EI65" i="2"/>
  <c r="EJ65" i="2"/>
  <c r="EK65" i="2"/>
  <c r="EL65" i="2"/>
  <c r="DN58" i="2"/>
  <c r="DO58" i="2"/>
  <c r="DP58" i="2"/>
  <c r="DQ58" i="2"/>
  <c r="DR58" i="2"/>
  <c r="DS58" i="2"/>
  <c r="DT58" i="2"/>
  <c r="DU58" i="2"/>
  <c r="DV58" i="2"/>
  <c r="DW58" i="2"/>
  <c r="DX58" i="2"/>
  <c r="DZ58" i="2"/>
  <c r="EA58" i="2"/>
  <c r="EB58" i="2"/>
  <c r="EC58" i="2"/>
  <c r="ED58" i="2"/>
  <c r="EE58" i="2"/>
  <c r="EF58" i="2"/>
  <c r="EG58" i="2"/>
  <c r="EH58" i="2"/>
  <c r="EI58" i="2"/>
  <c r="EJ58" i="2"/>
  <c r="EK58" i="2"/>
  <c r="EL58" i="2"/>
  <c r="DN51" i="2"/>
  <c r="DO51" i="2"/>
  <c r="DP51" i="2"/>
  <c r="DQ51" i="2"/>
  <c r="DR51" i="2"/>
  <c r="DS51" i="2"/>
  <c r="DT51" i="2"/>
  <c r="DU51" i="2"/>
  <c r="DV51" i="2"/>
  <c r="DW51" i="2"/>
  <c r="DX51" i="2"/>
  <c r="DZ51" i="2"/>
  <c r="EA51" i="2"/>
  <c r="EB51" i="2"/>
  <c r="EC51" i="2"/>
  <c r="ED51" i="2"/>
  <c r="EE51" i="2"/>
  <c r="EF51" i="2"/>
  <c r="EG51" i="2"/>
  <c r="EH51" i="2"/>
  <c r="EI51" i="2"/>
  <c r="EJ51" i="2"/>
  <c r="EK51" i="2"/>
  <c r="EL51" i="2"/>
  <c r="DO44" i="2"/>
  <c r="DP44" i="2"/>
  <c r="DQ44" i="2"/>
  <c r="DR44" i="2"/>
  <c r="DS44" i="2"/>
  <c r="DT44" i="2"/>
  <c r="DV44" i="2"/>
  <c r="DW44" i="2"/>
  <c r="DX44" i="2"/>
  <c r="DZ44" i="2"/>
  <c r="EA44" i="2"/>
  <c r="EB44" i="2"/>
  <c r="EC44" i="2"/>
  <c r="ED44" i="2"/>
  <c r="EE44" i="2"/>
  <c r="EF44" i="2"/>
  <c r="EG44" i="2"/>
  <c r="EH44" i="2"/>
  <c r="EI44" i="2"/>
  <c r="EJ44" i="2"/>
  <c r="EK44" i="2"/>
  <c r="EL44" i="2"/>
  <c r="DN44" i="2"/>
  <c r="DN30" i="2"/>
  <c r="DO30" i="2"/>
  <c r="DP30" i="2"/>
  <c r="DQ30" i="2"/>
  <c r="DR30" i="2"/>
  <c r="DS30" i="2"/>
  <c r="DT30" i="2"/>
  <c r="DU30" i="2"/>
  <c r="DV30" i="2"/>
  <c r="DW30" i="2"/>
  <c r="DX30" i="2"/>
  <c r="DY30" i="2"/>
  <c r="DZ30" i="2"/>
  <c r="EA30" i="2"/>
  <c r="EB30" i="2"/>
  <c r="EC30" i="2"/>
  <c r="ED30" i="2"/>
  <c r="EE30" i="2"/>
  <c r="EF30" i="2"/>
  <c r="EG30" i="2"/>
  <c r="EH30" i="2"/>
  <c r="EI30" i="2"/>
  <c r="EJ30" i="2"/>
  <c r="EK30" i="2"/>
  <c r="EL30" i="2"/>
  <c r="DO23" i="2"/>
  <c r="DP23" i="2"/>
  <c r="DQ23" i="2"/>
  <c r="DR23" i="2"/>
  <c r="DS23" i="2"/>
  <c r="DT23" i="2"/>
  <c r="DU23" i="2"/>
  <c r="DV23" i="2"/>
  <c r="DW23" i="2"/>
  <c r="DX23" i="2"/>
  <c r="DZ23" i="2"/>
  <c r="EA23" i="2"/>
  <c r="EB23" i="2"/>
  <c r="EC23" i="2"/>
  <c r="ED23" i="2"/>
  <c r="EE23" i="2"/>
  <c r="EF23" i="2"/>
  <c r="EG23" i="2"/>
  <c r="EH23" i="2"/>
  <c r="EI23" i="2"/>
  <c r="EJ23" i="2"/>
  <c r="EK23" i="2"/>
  <c r="EL23" i="2"/>
  <c r="DN23" i="2"/>
  <c r="DO16" i="2"/>
  <c r="DP16" i="2"/>
  <c r="DQ16" i="2"/>
  <c r="DR16" i="2"/>
  <c r="DS16" i="2"/>
  <c r="DT16" i="2"/>
  <c r="DU16" i="2"/>
  <c r="DV16" i="2"/>
  <c r="DW16" i="2"/>
  <c r="DX16" i="2"/>
  <c r="DZ16" i="2"/>
  <c r="EA16" i="2"/>
  <c r="EB16" i="2"/>
  <c r="EC16" i="2"/>
  <c r="ED16" i="2"/>
  <c r="EE16" i="2"/>
  <c r="EF16" i="2"/>
  <c r="EG16" i="2"/>
  <c r="EH16" i="2"/>
  <c r="EI16" i="2"/>
  <c r="EJ16" i="2"/>
  <c r="EK16" i="2"/>
  <c r="EL16" i="2"/>
  <c r="DN16" i="2"/>
  <c r="DV37" i="2"/>
  <c r="DW37" i="2"/>
  <c r="DX37" i="2"/>
  <c r="DZ37" i="2"/>
  <c r="EA37" i="2"/>
  <c r="EB37" i="2"/>
  <c r="EC37" i="2"/>
  <c r="ED37" i="2"/>
  <c r="EE37" i="2"/>
  <c r="EF37" i="2"/>
  <c r="EG37" i="2"/>
  <c r="EH37" i="2"/>
  <c r="EI37" i="2"/>
  <c r="EJ37" i="2"/>
  <c r="EK37" i="2"/>
  <c r="EL37" i="2"/>
  <c r="DN37" i="2"/>
  <c r="DO37" i="2"/>
  <c r="DP37" i="2"/>
  <c r="DQ37" i="2"/>
  <c r="DR37" i="2"/>
  <c r="DS37" i="2"/>
  <c r="DT37" i="2"/>
  <c r="DU37" i="2"/>
  <c r="EO17" i="1"/>
  <c r="ER37" i="2" l="1"/>
  <c r="ER16" i="2"/>
  <c r="ER23" i="2"/>
  <c r="ER30" i="2"/>
  <c r="EP55" i="2"/>
  <c r="EP25" i="2"/>
  <c r="EM25" i="2"/>
  <c r="DY53" i="2"/>
  <c r="DY58" i="2" s="1"/>
  <c r="DY60" i="2"/>
  <c r="DY74" i="2"/>
  <c r="DY79" i="2" s="1"/>
  <c r="DW75" i="2"/>
  <c r="DW61" i="2"/>
  <c r="DW54" i="2"/>
  <c r="DW40" i="2"/>
  <c r="DU39" i="2"/>
  <c r="DY32" i="2"/>
  <c r="DW33" i="2"/>
  <c r="DY18" i="2"/>
  <c r="DW19" i="2"/>
  <c r="DY11" i="2"/>
  <c r="DW47" i="2"/>
  <c r="DY46" i="2"/>
  <c r="DY51" i="2" s="1"/>
  <c r="DY39" i="2"/>
  <c r="DY44" i="2" s="1"/>
  <c r="EM60" i="2" l="1"/>
  <c r="DY65" i="2"/>
  <c r="EM53" i="2"/>
  <c r="DU80" i="2"/>
  <c r="DU44" i="2"/>
  <c r="EM32" i="2"/>
  <c r="DY37" i="2"/>
  <c r="DY80" i="2"/>
  <c r="EM11" i="2"/>
  <c r="EP32" i="2"/>
  <c r="EM18" i="2"/>
  <c r="DY23" i="2"/>
  <c r="EP57" i="2"/>
  <c r="F707" i="4"/>
  <c r="F708" i="4"/>
  <c r="F709" i="4"/>
  <c r="F710" i="4"/>
  <c r="F711" i="4"/>
  <c r="F706" i="4"/>
  <c r="F659" i="4"/>
  <c r="F660" i="4"/>
  <c r="F661" i="4"/>
  <c r="F662" i="4"/>
  <c r="F663" i="4"/>
  <c r="F658" i="4"/>
  <c r="F551" i="4"/>
  <c r="F552" i="4"/>
  <c r="F553" i="4"/>
  <c r="F554" i="4"/>
  <c r="F555" i="4"/>
  <c r="F550" i="4"/>
  <c r="F401" i="4"/>
  <c r="F402" i="4"/>
  <c r="F404" i="4"/>
  <c r="F405" i="4"/>
  <c r="F400" i="4"/>
  <c r="F245" i="4"/>
  <c r="F246" i="4"/>
  <c r="F247" i="4"/>
  <c r="F248" i="4"/>
  <c r="F249" i="4"/>
  <c r="F244" i="4"/>
  <c r="F137" i="4"/>
  <c r="E138" i="4"/>
  <c r="F138" i="4"/>
  <c r="F139" i="4"/>
  <c r="F140" i="4"/>
  <c r="F141" i="4"/>
  <c r="F136" i="4"/>
  <c r="G136" i="4"/>
  <c r="G138" i="4"/>
  <c r="G85" i="4"/>
  <c r="DY61" i="2" l="1"/>
  <c r="EM61" i="2" s="1"/>
  <c r="DY33" i="2"/>
  <c r="EM33" i="2" s="1"/>
  <c r="DY19" i="2"/>
  <c r="DY24" i="2"/>
  <c r="G1114" i="5" l="1"/>
  <c r="G1113" i="5"/>
  <c r="G1112" i="5"/>
  <c r="G1111" i="5"/>
  <c r="G1110" i="5"/>
  <c r="M246" i="5"/>
  <c r="M261" i="5" l="1"/>
  <c r="J261" i="5"/>
  <c r="M260" i="5"/>
  <c r="J260" i="5"/>
  <c r="M259" i="5"/>
  <c r="J259" i="5"/>
  <c r="M258" i="5"/>
  <c r="J258" i="5"/>
  <c r="M257" i="5"/>
  <c r="J257" i="5"/>
  <c r="M256" i="5"/>
  <c r="J256" i="5"/>
  <c r="M255" i="5"/>
  <c r="J255" i="5"/>
  <c r="M254" i="5"/>
  <c r="J254" i="5"/>
  <c r="M253" i="5"/>
  <c r="J253" i="5"/>
  <c r="M252" i="5"/>
  <c r="J252" i="5"/>
  <c r="M251" i="5"/>
  <c r="J251" i="5"/>
  <c r="M250" i="5"/>
  <c r="J250" i="5"/>
  <c r="G547" i="4"/>
  <c r="G523" i="4"/>
  <c r="G511" i="4"/>
  <c r="G505" i="4"/>
  <c r="G499" i="4"/>
  <c r="G493" i="4"/>
  <c r="G487" i="4"/>
  <c r="G481" i="4"/>
  <c r="G433" i="4"/>
  <c r="G427" i="4"/>
  <c r="G553" i="4" l="1"/>
  <c r="EQ35" i="2"/>
  <c r="G241" i="4"/>
  <c r="AA11" i="2" l="1"/>
  <c r="G402" i="4" l="1"/>
  <c r="F253" i="4"/>
  <c r="F403" i="4" s="1"/>
  <c r="G397" i="4"/>
  <c r="G403" i="4" s="1"/>
  <c r="EM21" i="2"/>
  <c r="EM23" i="2" s="1"/>
  <c r="DN29" i="2"/>
  <c r="EQ24" i="2"/>
  <c r="EQ21" i="2"/>
  <c r="EP28" i="2"/>
  <c r="EP27" i="2"/>
  <c r="EP20" i="2"/>
  <c r="EP17" i="2"/>
  <c r="EP18" i="2"/>
  <c r="G20" i="4"/>
  <c r="G32" i="4"/>
  <c r="G44" i="4"/>
  <c r="G62" i="4"/>
  <c r="G74" i="4"/>
  <c r="G80" i="4"/>
  <c r="G86" i="4"/>
  <c r="G98" i="4"/>
  <c r="G104" i="4"/>
  <c r="G128" i="4"/>
  <c r="EO10" i="2"/>
  <c r="ES10" i="2" s="1"/>
  <c r="E727" i="4"/>
  <c r="E726" i="4"/>
  <c r="E725" i="4"/>
  <c r="E724" i="4"/>
  <c r="E679" i="4"/>
  <c r="E709" i="4" s="1"/>
  <c r="E678" i="4"/>
  <c r="E708" i="4" s="1"/>
  <c r="E677" i="4"/>
  <c r="E707" i="4" s="1"/>
  <c r="E676" i="4"/>
  <c r="E706" i="4" s="1"/>
  <c r="EQ52" i="2"/>
  <c r="E667" i="4"/>
  <c r="E666" i="4"/>
  <c r="E665" i="4"/>
  <c r="E664" i="4"/>
  <c r="G656" i="4"/>
  <c r="G658" i="4"/>
  <c r="T650" i="4"/>
  <c r="T648" i="4"/>
  <c r="T646" i="4"/>
  <c r="T606" i="4"/>
  <c r="T608" i="4"/>
  <c r="T604" i="4"/>
  <c r="E559" i="4"/>
  <c r="E661" i="4" s="1"/>
  <c r="E558" i="4"/>
  <c r="E660" i="4" s="1"/>
  <c r="E557" i="4"/>
  <c r="E659" i="4" s="1"/>
  <c r="E556" i="4"/>
  <c r="E658" i="4" s="1"/>
  <c r="G545" i="4"/>
  <c r="G549" i="4" s="1"/>
  <c r="T426" i="4"/>
  <c r="T427" i="4"/>
  <c r="T430" i="4"/>
  <c r="T432" i="4"/>
  <c r="T433" i="4"/>
  <c r="T436" i="4"/>
  <c r="T437" i="4"/>
  <c r="T438" i="4"/>
  <c r="T439" i="4"/>
  <c r="T440" i="4"/>
  <c r="T441" i="4"/>
  <c r="T442" i="4"/>
  <c r="T443" i="4"/>
  <c r="T444" i="4"/>
  <c r="T445" i="4"/>
  <c r="T446" i="4"/>
  <c r="T447" i="4"/>
  <c r="T448" i="4"/>
  <c r="T449" i="4"/>
  <c r="T450" i="4"/>
  <c r="T451" i="4"/>
  <c r="T452" i="4"/>
  <c r="T453" i="4"/>
  <c r="T454" i="4"/>
  <c r="T455" i="4"/>
  <c r="T456" i="4"/>
  <c r="T457" i="4"/>
  <c r="T458" i="4"/>
  <c r="T459" i="4"/>
  <c r="T460" i="4"/>
  <c r="T461" i="4"/>
  <c r="T462" i="4"/>
  <c r="T463" i="4"/>
  <c r="T464" i="4"/>
  <c r="T465" i="4"/>
  <c r="T466" i="4"/>
  <c r="T467" i="4"/>
  <c r="T468" i="4"/>
  <c r="T469" i="4"/>
  <c r="T470" i="4"/>
  <c r="T471" i="4"/>
  <c r="T472" i="4"/>
  <c r="T473" i="4"/>
  <c r="T474" i="4"/>
  <c r="T475" i="4"/>
  <c r="T476" i="4"/>
  <c r="T477" i="4"/>
  <c r="T478" i="4"/>
  <c r="T480" i="4"/>
  <c r="T481" i="4"/>
  <c r="T484" i="4"/>
  <c r="T486" i="4"/>
  <c r="T487" i="4"/>
  <c r="T490" i="4"/>
  <c r="T492" i="4"/>
  <c r="T493" i="4"/>
  <c r="T496" i="4"/>
  <c r="T498" i="4"/>
  <c r="T499" i="4"/>
  <c r="T502" i="4"/>
  <c r="T504" i="4"/>
  <c r="T505" i="4"/>
  <c r="T508" i="4"/>
  <c r="T510" i="4"/>
  <c r="T511" i="4"/>
  <c r="T514" i="4"/>
  <c r="T515" i="4"/>
  <c r="T516" i="4"/>
  <c r="T517" i="4"/>
  <c r="T518" i="4"/>
  <c r="T519" i="4"/>
  <c r="T520" i="4"/>
  <c r="T522" i="4"/>
  <c r="T523" i="4"/>
  <c r="T526" i="4"/>
  <c r="T527" i="4"/>
  <c r="T528" i="4"/>
  <c r="T529" i="4"/>
  <c r="T530" i="4"/>
  <c r="T531" i="4"/>
  <c r="T532" i="4"/>
  <c r="T533" i="4"/>
  <c r="T534" i="4"/>
  <c r="T535" i="4"/>
  <c r="T536" i="4"/>
  <c r="T537" i="4"/>
  <c r="T538" i="4"/>
  <c r="T539" i="4"/>
  <c r="T540" i="4"/>
  <c r="T541" i="4"/>
  <c r="T542" i="4"/>
  <c r="T543" i="4"/>
  <c r="T424" i="4"/>
  <c r="G521" i="4"/>
  <c r="G509" i="4"/>
  <c r="G513" i="4" s="1"/>
  <c r="G503" i="4"/>
  <c r="G507" i="4" s="1"/>
  <c r="G497" i="4"/>
  <c r="G501" i="4" s="1"/>
  <c r="G491" i="4"/>
  <c r="G495" i="4" s="1"/>
  <c r="G485" i="4"/>
  <c r="G489" i="4" s="1"/>
  <c r="G479" i="4"/>
  <c r="G483" i="4" s="1"/>
  <c r="G431" i="4"/>
  <c r="G435" i="4" s="1"/>
  <c r="G425" i="4"/>
  <c r="DO78" i="2"/>
  <c r="DP78" i="2"/>
  <c r="DQ78" i="2"/>
  <c r="DR78" i="2"/>
  <c r="DS78" i="2"/>
  <c r="DT78" i="2"/>
  <c r="DU78" i="2"/>
  <c r="DV78" i="2"/>
  <c r="DW78" i="2"/>
  <c r="DX78" i="2"/>
  <c r="DY78" i="2"/>
  <c r="DZ78" i="2"/>
  <c r="DN78" i="2"/>
  <c r="E728" i="4" s="1"/>
  <c r="DO64" i="2"/>
  <c r="DP64" i="2"/>
  <c r="DQ64" i="2"/>
  <c r="DR64" i="2"/>
  <c r="DS64" i="2"/>
  <c r="DT64" i="2"/>
  <c r="DU64" i="2"/>
  <c r="DV64" i="2"/>
  <c r="DW64" i="2"/>
  <c r="DX64" i="2"/>
  <c r="DY64" i="2"/>
  <c r="DZ64" i="2"/>
  <c r="DN64" i="2"/>
  <c r="E680" i="4" s="1"/>
  <c r="E710" i="4" s="1"/>
  <c r="DO57" i="2"/>
  <c r="DP57" i="2"/>
  <c r="DQ57" i="2"/>
  <c r="DR57" i="2"/>
  <c r="DS57" i="2"/>
  <c r="DT57" i="2"/>
  <c r="DU57" i="2"/>
  <c r="DV57" i="2"/>
  <c r="DW57" i="2"/>
  <c r="DX57" i="2"/>
  <c r="DY57" i="2"/>
  <c r="DZ57" i="2"/>
  <c r="DN57" i="2"/>
  <c r="E668" i="4" s="1"/>
  <c r="DO50" i="2"/>
  <c r="DP50" i="2"/>
  <c r="DQ50" i="2"/>
  <c r="DR50" i="2"/>
  <c r="DS50" i="2"/>
  <c r="DT50" i="2"/>
  <c r="DU50" i="2"/>
  <c r="DV50" i="2"/>
  <c r="DW50" i="2"/>
  <c r="DX50" i="2"/>
  <c r="DY50" i="2"/>
  <c r="DZ50" i="2"/>
  <c r="DN50" i="2"/>
  <c r="E560" i="4" s="1"/>
  <c r="E662" i="4" s="1"/>
  <c r="DO15" i="2"/>
  <c r="DP15" i="2"/>
  <c r="DQ15" i="2"/>
  <c r="DR15" i="2"/>
  <c r="DS15" i="2"/>
  <c r="DT15" i="2"/>
  <c r="ER15" i="2" s="1"/>
  <c r="DU15" i="2"/>
  <c r="DV15" i="2"/>
  <c r="DW15" i="2"/>
  <c r="DX15" i="2"/>
  <c r="DY15" i="2"/>
  <c r="DZ15" i="2"/>
  <c r="DN15" i="2"/>
  <c r="DO22" i="2"/>
  <c r="DP22" i="2"/>
  <c r="DQ22" i="2"/>
  <c r="DR22" i="2"/>
  <c r="DS22" i="2"/>
  <c r="DT22" i="2"/>
  <c r="ER22" i="2" s="1"/>
  <c r="DU22" i="2"/>
  <c r="DV22" i="2"/>
  <c r="DW22" i="2"/>
  <c r="DX22" i="2"/>
  <c r="DY22" i="2"/>
  <c r="DZ22" i="2"/>
  <c r="DN22" i="2"/>
  <c r="DO29" i="2"/>
  <c r="DP29" i="2"/>
  <c r="DQ29" i="2"/>
  <c r="DR29" i="2"/>
  <c r="DS29" i="2"/>
  <c r="DT29" i="2"/>
  <c r="ER29" i="2" s="1"/>
  <c r="DU29" i="2"/>
  <c r="DV29" i="2"/>
  <c r="DW29" i="2"/>
  <c r="DX29" i="2"/>
  <c r="DY29" i="2"/>
  <c r="DZ29" i="2"/>
  <c r="DO36" i="2"/>
  <c r="DP36" i="2"/>
  <c r="DQ36" i="2"/>
  <c r="DR36" i="2"/>
  <c r="DS36" i="2"/>
  <c r="DT36" i="2"/>
  <c r="ER36" i="2" s="1"/>
  <c r="DU36" i="2"/>
  <c r="DV36" i="2"/>
  <c r="DW36" i="2"/>
  <c r="DX36" i="2"/>
  <c r="DY36" i="2"/>
  <c r="DZ36" i="2"/>
  <c r="DN36" i="2"/>
  <c r="E410" i="4" s="1"/>
  <c r="DP43" i="2"/>
  <c r="DQ43" i="2"/>
  <c r="DR43" i="2"/>
  <c r="DS43" i="2"/>
  <c r="DT43" i="2"/>
  <c r="DU43" i="2"/>
  <c r="DV43" i="2"/>
  <c r="DW43" i="2"/>
  <c r="DX43" i="2"/>
  <c r="DY43" i="2"/>
  <c r="DZ43" i="2"/>
  <c r="DO43" i="2"/>
  <c r="EO41" i="2"/>
  <c r="E421" i="4"/>
  <c r="E553" i="4" s="1"/>
  <c r="E420" i="4"/>
  <c r="E552" i="4" s="1"/>
  <c r="E419" i="4"/>
  <c r="E418" i="4"/>
  <c r="E550" i="4" s="1"/>
  <c r="EN79" i="2"/>
  <c r="EN58" i="2"/>
  <c r="EO31" i="2"/>
  <c r="E409" i="4"/>
  <c r="E408" i="4"/>
  <c r="E407" i="4"/>
  <c r="E406" i="4"/>
  <c r="T324" i="4"/>
  <c r="T322" i="4"/>
  <c r="G326" i="4"/>
  <c r="ES31" i="2" l="1"/>
  <c r="ET52" i="2"/>
  <c r="EP30" i="2"/>
  <c r="E551" i="4"/>
  <c r="E423" i="4"/>
  <c r="EN43" i="2"/>
  <c r="T400" i="4"/>
  <c r="EN15" i="2"/>
  <c r="EN78" i="2"/>
  <c r="EN50" i="2"/>
  <c r="EN36" i="2"/>
  <c r="EN29" i="2"/>
  <c r="EN57" i="2"/>
  <c r="EN22" i="2"/>
  <c r="EN64" i="2"/>
  <c r="ES41" i="2"/>
  <c r="T658" i="4"/>
  <c r="EN65" i="2"/>
  <c r="EN44" i="2"/>
  <c r="EN23" i="2"/>
  <c r="EN51" i="2"/>
  <c r="EN37" i="2"/>
  <c r="EN30" i="2"/>
  <c r="EM57" i="2"/>
  <c r="T660" i="4"/>
  <c r="T485" i="4"/>
  <c r="T479" i="4"/>
  <c r="T509" i="4"/>
  <c r="T503" i="4"/>
  <c r="T497" i="4"/>
  <c r="EO43" i="2"/>
  <c r="EP22" i="2"/>
  <c r="T662" i="4"/>
  <c r="T491" i="4"/>
  <c r="G429" i="4"/>
  <c r="T425" i="4"/>
  <c r="G525" i="4"/>
  <c r="T521" i="4"/>
  <c r="T431" i="4"/>
  <c r="T428" i="4"/>
  <c r="T512" i="4"/>
  <c r="T506" i="4"/>
  <c r="T500" i="4"/>
  <c r="T494" i="4"/>
  <c r="T488" i="4"/>
  <c r="T482" i="4"/>
  <c r="T402" i="4"/>
  <c r="T524" i="4"/>
  <c r="T434" i="4"/>
  <c r="T553" i="4"/>
  <c r="EP21" i="2"/>
  <c r="T326" i="4"/>
  <c r="E255" i="4"/>
  <c r="E405" i="4" s="1"/>
  <c r="E254" i="4"/>
  <c r="E404" i="4" s="1"/>
  <c r="E253" i="4"/>
  <c r="E403" i="4" s="1"/>
  <c r="E252" i="4"/>
  <c r="E402" i="4" s="1"/>
  <c r="E251" i="4"/>
  <c r="E401" i="4" s="1"/>
  <c r="E250" i="4"/>
  <c r="E400" i="4" s="1"/>
  <c r="T150" i="4"/>
  <c r="T154" i="4"/>
  <c r="T156" i="4"/>
  <c r="T157" i="4"/>
  <c r="T160" i="4"/>
  <c r="T161" i="4"/>
  <c r="T162" i="4"/>
  <c r="T163" i="4"/>
  <c r="T164" i="4"/>
  <c r="T165" i="4"/>
  <c r="T166" i="4"/>
  <c r="T167" i="4"/>
  <c r="T168" i="4"/>
  <c r="T169" i="4"/>
  <c r="T170" i="4"/>
  <c r="T171" i="4"/>
  <c r="T172" i="4"/>
  <c r="T173" i="4"/>
  <c r="T174" i="4"/>
  <c r="T175" i="4"/>
  <c r="T176" i="4"/>
  <c r="T177" i="4"/>
  <c r="T178" i="4"/>
  <c r="T179" i="4"/>
  <c r="T180" i="4"/>
  <c r="T181" i="4"/>
  <c r="T182" i="4"/>
  <c r="T183" i="4"/>
  <c r="T184" i="4"/>
  <c r="T185" i="4"/>
  <c r="T186" i="4"/>
  <c r="T187" i="4"/>
  <c r="T188" i="4"/>
  <c r="T189" i="4"/>
  <c r="T190" i="4"/>
  <c r="T192" i="4"/>
  <c r="T193" i="4"/>
  <c r="T196" i="4"/>
  <c r="T198" i="4"/>
  <c r="T199" i="4"/>
  <c r="T202" i="4"/>
  <c r="T204" i="4"/>
  <c r="T208" i="4"/>
  <c r="T209" i="4"/>
  <c r="T210" i="4"/>
  <c r="T211" i="4"/>
  <c r="T212" i="4"/>
  <c r="T213" i="4"/>
  <c r="T214" i="4"/>
  <c r="T215" i="4"/>
  <c r="T216" i="4"/>
  <c r="T217" i="4"/>
  <c r="T218" i="4"/>
  <c r="T219" i="4"/>
  <c r="T220" i="4"/>
  <c r="T221" i="4"/>
  <c r="T222" i="4"/>
  <c r="T223" i="4"/>
  <c r="T224" i="4"/>
  <c r="T225" i="4"/>
  <c r="T226" i="4"/>
  <c r="T227" i="4"/>
  <c r="T228" i="4"/>
  <c r="T229" i="4"/>
  <c r="T230" i="4"/>
  <c r="T231" i="4"/>
  <c r="T232" i="4"/>
  <c r="T233" i="4"/>
  <c r="T234" i="4"/>
  <c r="T235" i="4"/>
  <c r="T236" i="4"/>
  <c r="T237" i="4"/>
  <c r="T148" i="4"/>
  <c r="G239" i="4"/>
  <c r="G242" i="4"/>
  <c r="G206" i="4"/>
  <c r="T206" i="4" s="1"/>
  <c r="G200" i="4"/>
  <c r="T200" i="4" s="1"/>
  <c r="G194" i="4"/>
  <c r="T194" i="4" s="1"/>
  <c r="G158" i="4"/>
  <c r="T158" i="4" s="1"/>
  <c r="G152" i="4"/>
  <c r="T152" i="4" s="1"/>
  <c r="G205" i="4"/>
  <c r="T205" i="4" s="1"/>
  <c r="G244" i="4"/>
  <c r="G203" i="4"/>
  <c r="T203" i="4" s="1"/>
  <c r="G197" i="4"/>
  <c r="G201" i="4" s="1"/>
  <c r="T201" i="4" s="1"/>
  <c r="G191" i="4"/>
  <c r="T191" i="4" s="1"/>
  <c r="G155" i="4"/>
  <c r="T155" i="4" s="1"/>
  <c r="G151" i="4"/>
  <c r="T151" i="4" s="1"/>
  <c r="G149" i="4"/>
  <c r="E145" i="4"/>
  <c r="E247" i="4" s="1"/>
  <c r="E146" i="4"/>
  <c r="E248" i="4" s="1"/>
  <c r="E144" i="4"/>
  <c r="E246" i="4" s="1"/>
  <c r="E143" i="4"/>
  <c r="E245" i="4" s="1"/>
  <c r="E142" i="4"/>
  <c r="E244" i="4" s="1"/>
  <c r="T18" i="4"/>
  <c r="T16" i="4"/>
  <c r="G133" i="4"/>
  <c r="T22" i="4"/>
  <c r="T23" i="4"/>
  <c r="T24" i="4"/>
  <c r="T25" i="4"/>
  <c r="T26" i="4"/>
  <c r="T27" i="4"/>
  <c r="T28" i="4"/>
  <c r="T30" i="4"/>
  <c r="T34" i="4"/>
  <c r="T35" i="4"/>
  <c r="T36" i="4"/>
  <c r="T37" i="4"/>
  <c r="T38" i="4"/>
  <c r="T39" i="4"/>
  <c r="T40" i="4"/>
  <c r="T42" i="4"/>
  <c r="T46" i="4"/>
  <c r="T47" i="4"/>
  <c r="T48" i="4"/>
  <c r="T49" i="4"/>
  <c r="T50" i="4"/>
  <c r="T51" i="4"/>
  <c r="T52" i="4"/>
  <c r="T53" i="4"/>
  <c r="T54" i="4"/>
  <c r="T55" i="4"/>
  <c r="T56" i="4"/>
  <c r="T57" i="4"/>
  <c r="T58" i="4"/>
  <c r="T60" i="4"/>
  <c r="T61" i="4"/>
  <c r="T62" i="4"/>
  <c r="T64" i="4"/>
  <c r="T65" i="4"/>
  <c r="T66" i="4"/>
  <c r="T67" i="4"/>
  <c r="T68" i="4"/>
  <c r="T69" i="4"/>
  <c r="T70" i="4"/>
  <c r="T72" i="4"/>
  <c r="T73" i="4"/>
  <c r="T74" i="4"/>
  <c r="T76" i="4"/>
  <c r="T78" i="4"/>
  <c r="T79" i="4"/>
  <c r="T80" i="4"/>
  <c r="T82" i="4"/>
  <c r="T84" i="4"/>
  <c r="T85" i="4"/>
  <c r="T86" i="4"/>
  <c r="T88" i="4"/>
  <c r="T89" i="4"/>
  <c r="T90" i="4"/>
  <c r="T91" i="4"/>
  <c r="T92" i="4"/>
  <c r="T93" i="4"/>
  <c r="T94" i="4"/>
  <c r="T96" i="4"/>
  <c r="T97" i="4"/>
  <c r="T98" i="4"/>
  <c r="T100" i="4"/>
  <c r="T102" i="4"/>
  <c r="T103" i="4"/>
  <c r="T104" i="4"/>
  <c r="T106" i="4"/>
  <c r="T107" i="4"/>
  <c r="T108" i="4"/>
  <c r="T109" i="4"/>
  <c r="T110" i="4"/>
  <c r="T111" i="4"/>
  <c r="T112" i="4"/>
  <c r="T113" i="4"/>
  <c r="T114" i="4"/>
  <c r="T115" i="4"/>
  <c r="T116" i="4"/>
  <c r="T117" i="4"/>
  <c r="T118" i="4"/>
  <c r="T119" i="4"/>
  <c r="T120" i="4"/>
  <c r="T121" i="4"/>
  <c r="T122" i="4"/>
  <c r="T123" i="4"/>
  <c r="T124" i="4"/>
  <c r="T126" i="4"/>
  <c r="T127" i="4"/>
  <c r="T128" i="4"/>
  <c r="G134" i="4"/>
  <c r="T44" i="4"/>
  <c r="T32" i="4"/>
  <c r="T20" i="4"/>
  <c r="G43" i="4"/>
  <c r="T43" i="4" s="1"/>
  <c r="T31" i="4"/>
  <c r="T19" i="4"/>
  <c r="G14" i="4"/>
  <c r="G15" i="4"/>
  <c r="E13" i="4"/>
  <c r="E139" i="4" s="1"/>
  <c r="E14" i="4"/>
  <c r="E140" i="4" s="1"/>
  <c r="E15" i="4"/>
  <c r="E141" i="4" s="1"/>
  <c r="E11" i="4"/>
  <c r="E10" i="4"/>
  <c r="E136" i="4" s="1"/>
  <c r="EP23" i="2" l="1"/>
  <c r="T501" i="4"/>
  <c r="T489" i="4"/>
  <c r="T507" i="4"/>
  <c r="T404" i="4"/>
  <c r="T513" i="4"/>
  <c r="T483" i="4"/>
  <c r="ET21" i="2"/>
  <c r="ES43" i="2"/>
  <c r="T247" i="4"/>
  <c r="E137" i="4"/>
  <c r="E736" i="4"/>
  <c r="E738" i="4" s="1"/>
  <c r="G555" i="4"/>
  <c r="G195" i="4"/>
  <c r="T195" i="4" s="1"/>
  <c r="G153" i="4"/>
  <c r="T153" i="4" s="1"/>
  <c r="T429" i="4"/>
  <c r="T197" i="4"/>
  <c r="T149" i="4"/>
  <c r="T435" i="4"/>
  <c r="T136" i="4"/>
  <c r="T525" i="4"/>
  <c r="T495" i="4"/>
  <c r="G207" i="4"/>
  <c r="T207" i="4" s="1"/>
  <c r="G159" i="4"/>
  <c r="T159" i="4" s="1"/>
  <c r="G243" i="4"/>
  <c r="DS12" i="2"/>
  <c r="EM12" i="2" l="1"/>
  <c r="EN12" i="2"/>
  <c r="ES12" i="2" s="1"/>
  <c r="T555" i="4"/>
  <c r="G249" i="4"/>
  <c r="DS40" i="2"/>
  <c r="EN40" i="2" s="1"/>
  <c r="DS19" i="2"/>
  <c r="EP19" i="2" l="1"/>
  <c r="EN19" i="2"/>
  <c r="ES19" i="2" s="1"/>
  <c r="DY14" i="2"/>
  <c r="DY81" i="2" l="1"/>
  <c r="DY16" i="2"/>
  <c r="EM46" i="2"/>
  <c r="G660" i="4" l="1"/>
  <c r="G662" i="4"/>
  <c r="EQ78" i="2" l="1"/>
  <c r="EQ77" i="2"/>
  <c r="EQ76" i="2"/>
  <c r="EQ75" i="2"/>
  <c r="EQ74" i="2"/>
  <c r="EQ73" i="2"/>
  <c r="EQ71" i="2"/>
  <c r="EQ70" i="2"/>
  <c r="EQ69" i="2"/>
  <c r="EQ68" i="2"/>
  <c r="EQ67" i="2"/>
  <c r="EQ66" i="2"/>
  <c r="EQ64" i="2"/>
  <c r="EQ63" i="2"/>
  <c r="EQ62" i="2"/>
  <c r="EQ61" i="2"/>
  <c r="EQ60" i="2"/>
  <c r="EQ59" i="2"/>
  <c r="EQ56" i="2"/>
  <c r="EQ55" i="2"/>
  <c r="EQ54" i="2"/>
  <c r="EQ53" i="2"/>
  <c r="EQ50" i="2"/>
  <c r="EQ49" i="2"/>
  <c r="EQ48" i="2"/>
  <c r="EQ47" i="2"/>
  <c r="EQ46" i="2"/>
  <c r="EQ45" i="2"/>
  <c r="EQ43" i="2"/>
  <c r="EQ42" i="2"/>
  <c r="EQ41" i="2"/>
  <c r="EQ40" i="2"/>
  <c r="EQ39" i="2"/>
  <c r="EQ38" i="2"/>
  <c r="EQ34" i="2"/>
  <c r="EQ33" i="2"/>
  <c r="EQ32" i="2"/>
  <c r="ET32" i="2" s="1"/>
  <c r="EQ29" i="2"/>
  <c r="EQ28" i="2"/>
  <c r="EQ27" i="2"/>
  <c r="EQ26" i="2"/>
  <c r="EQ25" i="2"/>
  <c r="EQ18" i="2"/>
  <c r="EQ19" i="2"/>
  <c r="ET19" i="2" s="1"/>
  <c r="EQ20" i="2"/>
  <c r="ET20" i="2" s="1"/>
  <c r="EQ22" i="2"/>
  <c r="EQ17" i="2"/>
  <c r="ET17" i="2" s="1"/>
  <c r="EK82" i="2"/>
  <c r="EE82" i="2"/>
  <c r="ER17" i="1"/>
  <c r="ES17" i="1"/>
  <c r="ES16" i="1"/>
  <c r="ER16" i="1"/>
  <c r="ES15" i="1"/>
  <c r="ER15" i="1"/>
  <c r="ES14" i="1"/>
  <c r="ER14" i="1"/>
  <c r="ES13" i="1"/>
  <c r="DN13" i="1"/>
  <c r="EO16" i="1"/>
  <c r="EO15" i="1"/>
  <c r="EO14" i="1"/>
  <c r="T706" i="4"/>
  <c r="U706" i="4"/>
  <c r="V706" i="4"/>
  <c r="X706" i="4"/>
  <c r="Y706" i="4"/>
  <c r="T707" i="4"/>
  <c r="V707" i="4"/>
  <c r="X707" i="4"/>
  <c r="Y707" i="4"/>
  <c r="T708" i="4"/>
  <c r="X708" i="4"/>
  <c r="Y708" i="4"/>
  <c r="T709" i="4"/>
  <c r="V709" i="4"/>
  <c r="X709" i="4"/>
  <c r="Y709" i="4"/>
  <c r="T710" i="4"/>
  <c r="V710" i="4"/>
  <c r="X710" i="4"/>
  <c r="Y710" i="4"/>
  <c r="T711" i="4"/>
  <c r="V711" i="4"/>
  <c r="X711" i="4"/>
  <c r="Y711" i="4"/>
  <c r="V670" i="4"/>
  <c r="X670" i="4"/>
  <c r="Y670" i="4"/>
  <c r="V671" i="4"/>
  <c r="X671" i="4"/>
  <c r="Y671" i="4"/>
  <c r="V672" i="4"/>
  <c r="X672" i="4"/>
  <c r="Y672" i="4"/>
  <c r="V673" i="4"/>
  <c r="X673" i="4"/>
  <c r="Y673" i="4"/>
  <c r="V674" i="4"/>
  <c r="X674" i="4"/>
  <c r="Y674" i="4"/>
  <c r="V675" i="4"/>
  <c r="X675" i="4"/>
  <c r="Y675" i="4"/>
  <c r="AA675" i="4"/>
  <c r="AB675" i="4"/>
  <c r="AD675" i="4"/>
  <c r="Z670" i="4"/>
  <c r="AA670" i="4"/>
  <c r="AB670" i="4"/>
  <c r="AC670" i="4"/>
  <c r="AD670" i="4"/>
  <c r="AE670" i="4"/>
  <c r="Z671" i="4"/>
  <c r="AA671" i="4"/>
  <c r="AB671" i="4"/>
  <c r="AC671" i="4"/>
  <c r="AD671" i="4"/>
  <c r="AE671" i="4"/>
  <c r="Z672" i="4"/>
  <c r="AA672" i="4"/>
  <c r="AB672" i="4"/>
  <c r="AC672" i="4"/>
  <c r="AD672" i="4"/>
  <c r="AE672" i="4"/>
  <c r="Z673" i="4"/>
  <c r="AA673" i="4"/>
  <c r="AB673" i="4"/>
  <c r="AC673" i="4"/>
  <c r="AD673" i="4"/>
  <c r="AE673" i="4"/>
  <c r="Z674" i="4"/>
  <c r="AA674" i="4"/>
  <c r="AB674" i="4"/>
  <c r="AC674" i="4"/>
  <c r="AD674" i="4"/>
  <c r="AE674" i="4"/>
  <c r="Z675" i="4"/>
  <c r="AC675" i="4"/>
  <c r="AE675" i="4"/>
  <c r="AA706" i="4"/>
  <c r="AC706" i="4"/>
  <c r="AC707" i="4"/>
  <c r="AD707" i="4"/>
  <c r="AE707" i="4"/>
  <c r="Z708" i="4"/>
  <c r="Z709" i="4"/>
  <c r="AA709" i="4"/>
  <c r="AB709" i="4"/>
  <c r="AC709" i="4"/>
  <c r="AA710" i="4"/>
  <c r="AB710" i="4"/>
  <c r="AC710" i="4"/>
  <c r="AD710" i="4"/>
  <c r="Z711" i="4"/>
  <c r="AE711" i="4"/>
  <c r="AC711" i="4"/>
  <c r="AD706" i="4"/>
  <c r="Z707" i="4"/>
  <c r="Z706" i="4"/>
  <c r="AB706" i="4"/>
  <c r="AE706" i="4"/>
  <c r="AA707" i="4"/>
  <c r="AB707" i="4"/>
  <c r="AA708" i="4"/>
  <c r="AB708" i="4"/>
  <c r="AC708" i="4"/>
  <c r="AD708" i="4"/>
  <c r="AE708" i="4"/>
  <c r="AD709" i="4"/>
  <c r="AE709" i="4"/>
  <c r="Z710" i="4"/>
  <c r="AE710" i="4"/>
  <c r="AA711" i="4"/>
  <c r="AB711" i="4"/>
  <c r="X658" i="4"/>
  <c r="Y658" i="4"/>
  <c r="X659" i="4"/>
  <c r="Y659" i="4"/>
  <c r="X660" i="4"/>
  <c r="Y660" i="4"/>
  <c r="X661" i="4"/>
  <c r="Y661" i="4"/>
  <c r="X662" i="4"/>
  <c r="Y662" i="4"/>
  <c r="X663" i="4"/>
  <c r="Y663" i="4"/>
  <c r="T550" i="4"/>
  <c r="X550" i="4"/>
  <c r="Y550" i="4"/>
  <c r="T551" i="4"/>
  <c r="X551" i="4"/>
  <c r="Y551" i="4"/>
  <c r="T552" i="4"/>
  <c r="X552" i="4"/>
  <c r="Y552" i="4"/>
  <c r="X553" i="4"/>
  <c r="Y553" i="4"/>
  <c r="T554" i="4"/>
  <c r="X554" i="4"/>
  <c r="Y554" i="4"/>
  <c r="X555" i="4"/>
  <c r="Y555" i="4"/>
  <c r="T412" i="4"/>
  <c r="V412" i="4"/>
  <c r="X412" i="4"/>
  <c r="Y412" i="4"/>
  <c r="V413" i="4"/>
  <c r="X413" i="4"/>
  <c r="Y413" i="4"/>
  <c r="V414" i="4"/>
  <c r="X414" i="4"/>
  <c r="Y414" i="4"/>
  <c r="U415" i="4"/>
  <c r="V415" i="4"/>
  <c r="X415" i="4"/>
  <c r="Y415" i="4"/>
  <c r="V416" i="4"/>
  <c r="X416" i="4"/>
  <c r="Y416" i="4"/>
  <c r="V417" i="4"/>
  <c r="X417" i="4"/>
  <c r="Y417" i="4"/>
  <c r="X400" i="4"/>
  <c r="Y400" i="4"/>
  <c r="X401" i="4"/>
  <c r="Y401" i="4"/>
  <c r="X402" i="4"/>
  <c r="Y402" i="4"/>
  <c r="X403" i="4"/>
  <c r="Y403" i="4"/>
  <c r="X404" i="4"/>
  <c r="Y404" i="4"/>
  <c r="X405" i="4"/>
  <c r="Y405" i="4"/>
  <c r="T244" i="4"/>
  <c r="U244" i="4"/>
  <c r="V244" i="4"/>
  <c r="X244" i="4"/>
  <c r="Y244" i="4"/>
  <c r="T245" i="4"/>
  <c r="V245" i="4"/>
  <c r="X245" i="4"/>
  <c r="Y245" i="4"/>
  <c r="T246" i="4"/>
  <c r="U246" i="4"/>
  <c r="X246" i="4"/>
  <c r="Y246" i="4"/>
  <c r="X247" i="4"/>
  <c r="Y247" i="4"/>
  <c r="T248" i="4"/>
  <c r="U248" i="4"/>
  <c r="X248" i="4"/>
  <c r="Y248" i="4"/>
  <c r="T249" i="4"/>
  <c r="V249" i="4"/>
  <c r="X249" i="4"/>
  <c r="Y249" i="4"/>
  <c r="U136" i="4"/>
  <c r="V136" i="4"/>
  <c r="X136" i="4"/>
  <c r="Y136" i="4"/>
  <c r="V137" i="4"/>
  <c r="X137" i="4"/>
  <c r="Y137" i="4"/>
  <c r="T138" i="4"/>
  <c r="U138" i="4"/>
  <c r="V138" i="4"/>
  <c r="X138" i="4"/>
  <c r="Y138" i="4"/>
  <c r="T139" i="4"/>
  <c r="V139" i="4"/>
  <c r="X139" i="4"/>
  <c r="Y139" i="4"/>
  <c r="T140" i="4"/>
  <c r="V140" i="4"/>
  <c r="X140" i="4"/>
  <c r="Y140" i="4"/>
  <c r="V141" i="4"/>
  <c r="X141" i="4"/>
  <c r="Y141" i="4"/>
  <c r="E730" i="4"/>
  <c r="F730" i="4"/>
  <c r="G730" i="4"/>
  <c r="H730" i="4"/>
  <c r="E731" i="4"/>
  <c r="F731" i="4"/>
  <c r="G731" i="4"/>
  <c r="H731" i="4"/>
  <c r="E732" i="4"/>
  <c r="F732" i="4"/>
  <c r="G732" i="4"/>
  <c r="H732" i="4"/>
  <c r="E733" i="4"/>
  <c r="F733" i="4"/>
  <c r="G733" i="4"/>
  <c r="H733" i="4"/>
  <c r="E734" i="4"/>
  <c r="F734" i="4"/>
  <c r="G734" i="4"/>
  <c r="H734" i="4"/>
  <c r="F735" i="4"/>
  <c r="G735" i="4"/>
  <c r="H735" i="4"/>
  <c r="G706" i="4"/>
  <c r="H706" i="4"/>
  <c r="G707" i="4"/>
  <c r="H707" i="4"/>
  <c r="G708" i="4"/>
  <c r="H708" i="4"/>
  <c r="G709" i="4"/>
  <c r="H709" i="4"/>
  <c r="G710" i="4"/>
  <c r="H710" i="4"/>
  <c r="G711" i="4"/>
  <c r="H711" i="4"/>
  <c r="E670" i="4"/>
  <c r="F670" i="4"/>
  <c r="G670" i="4"/>
  <c r="H670" i="4"/>
  <c r="E671" i="4"/>
  <c r="F671" i="4"/>
  <c r="G671" i="4"/>
  <c r="H671" i="4"/>
  <c r="E672" i="4"/>
  <c r="F672" i="4"/>
  <c r="F674" i="4" s="1"/>
  <c r="G672" i="4"/>
  <c r="H672" i="4"/>
  <c r="E673" i="4"/>
  <c r="F673" i="4"/>
  <c r="G673" i="4"/>
  <c r="H673" i="4"/>
  <c r="E674" i="4"/>
  <c r="F675" i="4"/>
  <c r="G675" i="4"/>
  <c r="H675" i="4"/>
  <c r="G550" i="4"/>
  <c r="G551" i="4"/>
  <c r="G552" i="4"/>
  <c r="G554" i="4"/>
  <c r="E412" i="4"/>
  <c r="F412" i="4"/>
  <c r="G412" i="4"/>
  <c r="H412" i="4"/>
  <c r="E413" i="4"/>
  <c r="F413" i="4"/>
  <c r="G413" i="4"/>
  <c r="H413" i="4"/>
  <c r="E414" i="4"/>
  <c r="F414" i="4"/>
  <c r="G414" i="4"/>
  <c r="H414" i="4"/>
  <c r="E415" i="4"/>
  <c r="F415" i="4"/>
  <c r="G415" i="4"/>
  <c r="H415" i="4"/>
  <c r="E416" i="4"/>
  <c r="F416" i="4"/>
  <c r="G416" i="4"/>
  <c r="H416" i="4"/>
  <c r="F417" i="4"/>
  <c r="G417" i="4"/>
  <c r="H417" i="4"/>
  <c r="H244" i="4"/>
  <c r="G245" i="4"/>
  <c r="G246" i="4"/>
  <c r="H246" i="4"/>
  <c r="G247" i="4"/>
  <c r="G248" i="4"/>
  <c r="H248" i="4"/>
  <c r="G139" i="4"/>
  <c r="G140" i="4"/>
  <c r="CK80" i="2"/>
  <c r="EP11" i="2"/>
  <c r="EQ11" i="2"/>
  <c r="EP12" i="2"/>
  <c r="EQ12" i="2"/>
  <c r="EM13" i="2"/>
  <c r="EP13" i="2" s="1"/>
  <c r="EO13" i="2"/>
  <c r="EQ13" i="2"/>
  <c r="ET13" i="2" s="1"/>
  <c r="EM14" i="2"/>
  <c r="EO14" i="2"/>
  <c r="EQ14" i="2"/>
  <c r="EM15" i="2"/>
  <c r="EP15" i="2" s="1"/>
  <c r="EO15" i="2"/>
  <c r="EQ15" i="2"/>
  <c r="EQ10" i="2"/>
  <c r="EM10" i="2"/>
  <c r="EP10" i="2" s="1"/>
  <c r="ET10" i="2" l="1"/>
  <c r="ET28" i="2"/>
  <c r="ET27" i="2"/>
  <c r="ET22" i="2"/>
  <c r="ET25" i="2"/>
  <c r="ET15" i="2"/>
  <c r="ET12" i="2"/>
  <c r="ET11" i="2"/>
  <c r="H133" i="4"/>
  <c r="ES14" i="2"/>
  <c r="H47" i="4"/>
  <c r="ES11" i="2"/>
  <c r="ES13" i="2"/>
  <c r="EQ57" i="2"/>
  <c r="ET57" i="2" s="1"/>
  <c r="ET55" i="2"/>
  <c r="EQ23" i="2"/>
  <c r="ET23" i="2" s="1"/>
  <c r="ET18" i="2"/>
  <c r="U414" i="4"/>
  <c r="ES15" i="2"/>
  <c r="EQ58" i="2"/>
  <c r="EQ37" i="2"/>
  <c r="EQ79" i="2"/>
  <c r="G674" i="4"/>
  <c r="EQ65" i="2"/>
  <c r="EQ81" i="2"/>
  <c r="EQ51" i="2"/>
  <c r="EQ30" i="2"/>
  <c r="EQ44" i="2"/>
  <c r="EN16" i="2"/>
  <c r="EQ16" i="2"/>
  <c r="EQ80" i="2"/>
  <c r="EP14" i="2"/>
  <c r="EM16" i="2"/>
  <c r="EO16" i="2"/>
  <c r="EC82" i="2"/>
  <c r="EH82" i="2"/>
  <c r="EG82" i="2"/>
  <c r="EQ72" i="2"/>
  <c r="EJ82" i="2"/>
  <c r="EF82" i="2"/>
  <c r="EB82" i="2"/>
  <c r="EL82" i="2"/>
  <c r="ED82" i="2"/>
  <c r="DZ82" i="2"/>
  <c r="EI82" i="2"/>
  <c r="DR82" i="2"/>
  <c r="DO82" i="2"/>
  <c r="DS82" i="2"/>
  <c r="DQ82" i="2"/>
  <c r="DY82" i="2"/>
  <c r="DV82" i="2"/>
  <c r="DU82" i="2"/>
  <c r="DT82" i="2"/>
  <c r="DX82" i="2"/>
  <c r="EA82" i="2"/>
  <c r="DP82" i="2"/>
  <c r="DW82" i="2"/>
  <c r="AD711" i="4"/>
  <c r="DM17" i="1"/>
  <c r="DH24" i="2"/>
  <c r="DK24" i="2" s="1"/>
  <c r="ES16" i="2" l="1"/>
  <c r="ET30" i="2"/>
  <c r="EP16" i="2"/>
  <c r="H77" i="4"/>
  <c r="U77" i="4" s="1"/>
  <c r="H85" i="4"/>
  <c r="U85" i="4" s="1"/>
  <c r="H101" i="4"/>
  <c r="U101" i="4" s="1"/>
  <c r="H17" i="4"/>
  <c r="U17" i="4" s="1"/>
  <c r="H29" i="4"/>
  <c r="U29" i="4" s="1"/>
  <c r="H65" i="4"/>
  <c r="U65" i="4" s="1"/>
  <c r="H41" i="4"/>
  <c r="U41" i="4" s="1"/>
  <c r="H89" i="4"/>
  <c r="H93" i="4" s="1"/>
  <c r="U93" i="4" s="1"/>
  <c r="H131" i="4"/>
  <c r="H135" i="4" s="1"/>
  <c r="H139" i="4"/>
  <c r="H71" i="4"/>
  <c r="U71" i="4" s="1"/>
  <c r="H35" i="4"/>
  <c r="H39" i="4" s="1"/>
  <c r="U39" i="4" s="1"/>
  <c r="H59" i="4"/>
  <c r="U59" i="4" s="1"/>
  <c r="H95" i="4"/>
  <c r="H99" i="4" s="1"/>
  <c r="U99" i="4" s="1"/>
  <c r="H125" i="4"/>
  <c r="U125" i="4" s="1"/>
  <c r="H83" i="4"/>
  <c r="U83" i="4" s="1"/>
  <c r="U417" i="4"/>
  <c r="ET14" i="2"/>
  <c r="U413" i="4"/>
  <c r="U47" i="4"/>
  <c r="H51" i="4"/>
  <c r="U51" i="4" s="1"/>
  <c r="G95" i="4"/>
  <c r="T95" i="4" s="1"/>
  <c r="G77" i="4"/>
  <c r="T77" i="4" s="1"/>
  <c r="G41" i="4"/>
  <c r="T41" i="4" s="1"/>
  <c r="G125" i="4"/>
  <c r="T125" i="4" s="1"/>
  <c r="G71" i="4"/>
  <c r="T71" i="4" s="1"/>
  <c r="G101" i="4"/>
  <c r="T101" i="4" s="1"/>
  <c r="G29" i="4"/>
  <c r="G131" i="4"/>
  <c r="G83" i="4"/>
  <c r="T83" i="4" s="1"/>
  <c r="G59" i="4"/>
  <c r="G63" i="4" s="1"/>
  <c r="T63" i="4" s="1"/>
  <c r="G17" i="4"/>
  <c r="T17" i="4" s="1"/>
  <c r="EQ82" i="2"/>
  <c r="DN80" i="2"/>
  <c r="ET16" i="2" l="1"/>
  <c r="H69" i="4"/>
  <c r="U69" i="4" s="1"/>
  <c r="H75" i="4"/>
  <c r="U75" i="4" s="1"/>
  <c r="H21" i="4"/>
  <c r="U21" i="4" s="1"/>
  <c r="U95" i="4"/>
  <c r="H81" i="4"/>
  <c r="U81" i="4" s="1"/>
  <c r="U35" i="4"/>
  <c r="U89" i="4"/>
  <c r="H63" i="4"/>
  <c r="U63" i="4" s="1"/>
  <c r="H105" i="4"/>
  <c r="U105" i="4" s="1"/>
  <c r="H137" i="4"/>
  <c r="H45" i="4"/>
  <c r="U45" i="4" s="1"/>
  <c r="H33" i="4"/>
  <c r="U33" i="4" s="1"/>
  <c r="U31" i="4"/>
  <c r="H87" i="4"/>
  <c r="U87" i="4" s="1"/>
  <c r="H129" i="4"/>
  <c r="U129" i="4" s="1"/>
  <c r="G45" i="4"/>
  <c r="T45" i="4" s="1"/>
  <c r="G99" i="4"/>
  <c r="T99" i="4" s="1"/>
  <c r="T59" i="4"/>
  <c r="G129" i="4"/>
  <c r="T129" i="4" s="1"/>
  <c r="G87" i="4"/>
  <c r="T87" i="4" s="1"/>
  <c r="G105" i="4"/>
  <c r="T105" i="4" s="1"/>
  <c r="G137" i="4"/>
  <c r="G135" i="4"/>
  <c r="G81" i="4"/>
  <c r="T81" i="4" s="1"/>
  <c r="G33" i="4"/>
  <c r="T33" i="4" s="1"/>
  <c r="T29" i="4"/>
  <c r="G75" i="4"/>
  <c r="T75" i="4" s="1"/>
  <c r="G21" i="4"/>
  <c r="T21" i="4" s="1"/>
  <c r="DM77" i="2"/>
  <c r="S24" i="3"/>
  <c r="U139" i="4" l="1"/>
  <c r="U137" i="4"/>
  <c r="H141" i="4"/>
  <c r="U141" i="4"/>
  <c r="T137" i="4"/>
  <c r="G141" i="4"/>
  <c r="T141" i="4"/>
  <c r="DG75" i="2"/>
  <c r="DG61" i="2"/>
  <c r="DG54" i="2"/>
  <c r="DG47" i="2"/>
  <c r="DG40" i="2"/>
  <c r="DG33" i="2"/>
  <c r="DG26" i="2"/>
  <c r="DG19" i="2"/>
  <c r="DI19" i="2" s="1"/>
  <c r="DG12" i="2"/>
  <c r="DI12" i="2" s="1"/>
  <c r="DI10" i="2"/>
  <c r="DK59" i="2"/>
  <c r="DK53" i="2"/>
  <c r="DK61" i="2"/>
  <c r="DM59" i="2"/>
  <c r="DK60" i="2"/>
  <c r="DK62" i="2"/>
  <c r="DK63" i="2"/>
  <c r="DK52" i="2" l="1"/>
  <c r="J798" i="6" l="1"/>
  <c r="I798" i="6"/>
  <c r="U797" i="6"/>
  <c r="T797" i="6"/>
  <c r="R797" i="6"/>
  <c r="R798" i="6" s="1"/>
  <c r="Q797" i="6"/>
  <c r="Q798" i="6" s="1"/>
  <c r="P797" i="6"/>
  <c r="P798" i="6" s="1"/>
  <c r="O797" i="6"/>
  <c r="O798" i="6" s="1"/>
  <c r="N797" i="6"/>
  <c r="N798" i="6" s="1"/>
  <c r="L797" i="6"/>
  <c r="L798" i="6" s="1"/>
  <c r="H797" i="6"/>
  <c r="G797" i="6"/>
  <c r="AE796" i="6"/>
  <c r="AE798" i="6" s="1"/>
  <c r="AD796" i="6"/>
  <c r="AD798" i="6" s="1"/>
  <c r="AC796" i="6"/>
  <c r="AC798" i="6" s="1"/>
  <c r="AB796" i="6"/>
  <c r="AA796" i="6"/>
  <c r="Z796" i="6"/>
  <c r="Y796" i="6"/>
  <c r="U796" i="6"/>
  <c r="T796" i="6"/>
  <c r="H796" i="6"/>
  <c r="G796" i="6"/>
  <c r="AE795" i="6"/>
  <c r="AD795" i="6"/>
  <c r="AC795" i="6"/>
  <c r="AB795" i="6"/>
  <c r="AA795" i="6"/>
  <c r="U795" i="6"/>
  <c r="T795" i="6"/>
  <c r="R795" i="6"/>
  <c r="Q795" i="6"/>
  <c r="P795" i="6"/>
  <c r="O795" i="6"/>
  <c r="N795" i="6"/>
  <c r="H795" i="6"/>
  <c r="G795" i="6"/>
  <c r="F795" i="6"/>
  <c r="E795" i="6"/>
  <c r="AE794" i="6"/>
  <c r="AD794" i="6"/>
  <c r="AC794" i="6"/>
  <c r="AB794" i="6"/>
  <c r="AA794" i="6"/>
  <c r="U794" i="6"/>
  <c r="T794" i="6"/>
  <c r="R794" i="6"/>
  <c r="Q794" i="6"/>
  <c r="P794" i="6"/>
  <c r="O794" i="6"/>
  <c r="N794" i="6"/>
  <c r="H794" i="6"/>
  <c r="G794" i="6"/>
  <c r="F794" i="6"/>
  <c r="E794" i="6"/>
  <c r="AE793" i="6"/>
  <c r="AD793" i="6"/>
  <c r="AC793" i="6"/>
  <c r="AB793" i="6"/>
  <c r="AA793" i="6"/>
  <c r="U793" i="6"/>
  <c r="T793" i="6"/>
  <c r="R793" i="6"/>
  <c r="Q793" i="6"/>
  <c r="P793" i="6"/>
  <c r="O793" i="6"/>
  <c r="N793" i="6"/>
  <c r="H793" i="6"/>
  <c r="G793" i="6"/>
  <c r="F793" i="6"/>
  <c r="E793" i="6"/>
  <c r="AE792" i="6"/>
  <c r="AD792" i="6"/>
  <c r="AC792" i="6"/>
  <c r="AB792" i="6"/>
  <c r="AA792" i="6"/>
  <c r="R792" i="6"/>
  <c r="Q792" i="6"/>
  <c r="P792" i="6"/>
  <c r="O792" i="6"/>
  <c r="N792" i="6"/>
  <c r="H792" i="6"/>
  <c r="G792" i="6"/>
  <c r="F792" i="6"/>
  <c r="E792" i="6"/>
  <c r="AE791" i="6"/>
  <c r="AD791" i="6"/>
  <c r="AC791" i="6"/>
  <c r="AB791" i="6"/>
  <c r="AA791" i="6"/>
  <c r="U791" i="6"/>
  <c r="T791" i="6"/>
  <c r="R791" i="6"/>
  <c r="Q791" i="6"/>
  <c r="P791" i="6"/>
  <c r="O791" i="6"/>
  <c r="N791" i="6"/>
  <c r="H791" i="6"/>
  <c r="G791" i="6"/>
  <c r="F791" i="6"/>
  <c r="E791" i="6"/>
  <c r="AE790" i="6"/>
  <c r="AD790" i="6"/>
  <c r="AC790" i="6"/>
  <c r="AB790" i="6"/>
  <c r="AA790" i="6"/>
  <c r="U790" i="6"/>
  <c r="T790" i="6"/>
  <c r="R790" i="6"/>
  <c r="Q790" i="6"/>
  <c r="P790" i="6"/>
  <c r="O790" i="6"/>
  <c r="N790" i="6"/>
  <c r="H790" i="6"/>
  <c r="G790" i="6"/>
  <c r="F790" i="6"/>
  <c r="E790" i="6"/>
  <c r="M789" i="6"/>
  <c r="M795" i="6" s="1"/>
  <c r="M788" i="6"/>
  <c r="M794" i="6" s="1"/>
  <c r="M787" i="6"/>
  <c r="M793" i="6" s="1"/>
  <c r="M786" i="6"/>
  <c r="M792" i="6" s="1"/>
  <c r="M785" i="6"/>
  <c r="M791" i="6" s="1"/>
  <c r="M784" i="6"/>
  <c r="M790" i="6" s="1"/>
  <c r="AE783" i="6"/>
  <c r="AD783" i="6"/>
  <c r="AC783" i="6"/>
  <c r="AB783" i="6"/>
  <c r="AA783" i="6"/>
  <c r="U783" i="6"/>
  <c r="T783" i="6"/>
  <c r="R783" i="6"/>
  <c r="Q783" i="6"/>
  <c r="P783" i="6"/>
  <c r="O783" i="6"/>
  <c r="N783" i="6"/>
  <c r="H783" i="6"/>
  <c r="G783" i="6"/>
  <c r="F783" i="6"/>
  <c r="E783" i="6"/>
  <c r="AE782" i="6"/>
  <c r="AD782" i="6"/>
  <c r="AC782" i="6"/>
  <c r="AB782" i="6"/>
  <c r="AA782" i="6"/>
  <c r="U782" i="6"/>
  <c r="T782" i="6"/>
  <c r="R782" i="6"/>
  <c r="Q782" i="6"/>
  <c r="P782" i="6"/>
  <c r="O782" i="6"/>
  <c r="N782" i="6"/>
  <c r="H782" i="6"/>
  <c r="G782" i="6"/>
  <c r="F782" i="6"/>
  <c r="E782" i="6"/>
  <c r="AE781" i="6"/>
  <c r="AD781" i="6"/>
  <c r="AC781" i="6"/>
  <c r="AB781" i="6"/>
  <c r="AA781" i="6"/>
  <c r="U781" i="6"/>
  <c r="T781" i="6"/>
  <c r="R781" i="6"/>
  <c r="Q781" i="6"/>
  <c r="P781" i="6"/>
  <c r="O781" i="6"/>
  <c r="N781" i="6"/>
  <c r="H781" i="6"/>
  <c r="G781" i="6"/>
  <c r="F781" i="6"/>
  <c r="E781" i="6"/>
  <c r="AE780" i="6"/>
  <c r="AD780" i="6"/>
  <c r="AC780" i="6"/>
  <c r="AB780" i="6"/>
  <c r="AA780" i="6"/>
  <c r="U780" i="6"/>
  <c r="T780" i="6"/>
  <c r="R780" i="6"/>
  <c r="Q780" i="6"/>
  <c r="P780" i="6"/>
  <c r="O780" i="6"/>
  <c r="N780" i="6"/>
  <c r="H780" i="6"/>
  <c r="G780" i="6"/>
  <c r="F780" i="6"/>
  <c r="E780" i="6"/>
  <c r="AE779" i="6"/>
  <c r="AD779" i="6"/>
  <c r="AC779" i="6"/>
  <c r="AB779" i="6"/>
  <c r="AA779" i="6"/>
  <c r="U779" i="6"/>
  <c r="T779" i="6"/>
  <c r="R779" i="6"/>
  <c r="Q779" i="6"/>
  <c r="P779" i="6"/>
  <c r="O779" i="6"/>
  <c r="N779" i="6"/>
  <c r="H779" i="6"/>
  <c r="G779" i="6"/>
  <c r="F779" i="6"/>
  <c r="E779" i="6"/>
  <c r="AE778" i="6"/>
  <c r="AD778" i="6"/>
  <c r="AC778" i="6"/>
  <c r="AB778" i="6"/>
  <c r="AA778" i="6"/>
  <c r="U778" i="6"/>
  <c r="T778" i="6"/>
  <c r="R778" i="6"/>
  <c r="Q778" i="6"/>
  <c r="P778" i="6"/>
  <c r="O778" i="6"/>
  <c r="N778" i="6"/>
  <c r="H778" i="6"/>
  <c r="G778" i="6"/>
  <c r="F778" i="6"/>
  <c r="E778" i="6"/>
  <c r="M777" i="6"/>
  <c r="M783" i="6" s="1"/>
  <c r="M776" i="6"/>
  <c r="M782" i="6" s="1"/>
  <c r="M775" i="6"/>
  <c r="M781" i="6" s="1"/>
  <c r="M774" i="6"/>
  <c r="M780" i="6" s="1"/>
  <c r="M773" i="6"/>
  <c r="M779" i="6" s="1"/>
  <c r="M772" i="6"/>
  <c r="M778" i="6" s="1"/>
  <c r="AE771" i="6"/>
  <c r="AD771" i="6"/>
  <c r="AC771" i="6"/>
  <c r="AB771" i="6"/>
  <c r="AA771" i="6"/>
  <c r="U771" i="6"/>
  <c r="T771" i="6"/>
  <c r="R771" i="6"/>
  <c r="Q771" i="6"/>
  <c r="P771" i="6"/>
  <c r="O771" i="6"/>
  <c r="N771" i="6"/>
  <c r="H771" i="6"/>
  <c r="G771" i="6"/>
  <c r="E771" i="6"/>
  <c r="AE770" i="6"/>
  <c r="AD770" i="6"/>
  <c r="AC770" i="6"/>
  <c r="AB770" i="6"/>
  <c r="AA770" i="6"/>
  <c r="U770" i="6"/>
  <c r="T770" i="6"/>
  <c r="R770" i="6"/>
  <c r="Q770" i="6"/>
  <c r="P770" i="6"/>
  <c r="O770" i="6"/>
  <c r="N770" i="6"/>
  <c r="H770" i="6"/>
  <c r="G770" i="6"/>
  <c r="E770" i="6"/>
  <c r="AE769" i="6"/>
  <c r="AD769" i="6"/>
  <c r="AC769" i="6"/>
  <c r="AB769" i="6"/>
  <c r="AA769" i="6"/>
  <c r="U769" i="6"/>
  <c r="T769" i="6"/>
  <c r="R769" i="6"/>
  <c r="Q769" i="6"/>
  <c r="P769" i="6"/>
  <c r="O769" i="6"/>
  <c r="N769" i="6"/>
  <c r="H769" i="6"/>
  <c r="G769" i="6"/>
  <c r="E769" i="6"/>
  <c r="AE768" i="6"/>
  <c r="AD768" i="6"/>
  <c r="AC768" i="6"/>
  <c r="AB768" i="6"/>
  <c r="AA768" i="6"/>
  <c r="U768" i="6"/>
  <c r="T768" i="6"/>
  <c r="R768" i="6"/>
  <c r="Q768" i="6"/>
  <c r="P768" i="6"/>
  <c r="O768" i="6"/>
  <c r="N768" i="6"/>
  <c r="H768" i="6"/>
  <c r="G768" i="6"/>
  <c r="E768" i="6"/>
  <c r="AE767" i="6"/>
  <c r="AD767" i="6"/>
  <c r="AC767" i="6"/>
  <c r="AB767" i="6"/>
  <c r="AA767" i="6"/>
  <c r="U767" i="6"/>
  <c r="T767" i="6"/>
  <c r="R767" i="6"/>
  <c r="Q767" i="6"/>
  <c r="P767" i="6"/>
  <c r="O767" i="6"/>
  <c r="N767" i="6"/>
  <c r="H767" i="6"/>
  <c r="G767" i="6"/>
  <c r="E767" i="6"/>
  <c r="AE766" i="6"/>
  <c r="AD766" i="6"/>
  <c r="AC766" i="6"/>
  <c r="AB766" i="6"/>
  <c r="AA766" i="6"/>
  <c r="U766" i="6"/>
  <c r="T766" i="6"/>
  <c r="R766" i="6"/>
  <c r="Q766" i="6"/>
  <c r="P766" i="6"/>
  <c r="O766" i="6"/>
  <c r="N766" i="6"/>
  <c r="H766" i="6"/>
  <c r="G766" i="6"/>
  <c r="E766" i="6"/>
  <c r="K765" i="6"/>
  <c r="K764" i="6"/>
  <c r="K763" i="6"/>
  <c r="K762" i="6"/>
  <c r="K761" i="6"/>
  <c r="K760" i="6"/>
  <c r="K759" i="6"/>
  <c r="K758" i="6"/>
  <c r="K757" i="6"/>
  <c r="K756" i="6"/>
  <c r="K755" i="6"/>
  <c r="AG754" i="6"/>
  <c r="K754" i="6"/>
  <c r="K753" i="6"/>
  <c r="K752" i="6"/>
  <c r="K751" i="6"/>
  <c r="K750" i="6"/>
  <c r="K749" i="6"/>
  <c r="AG748" i="6"/>
  <c r="K748" i="6"/>
  <c r="K747" i="6"/>
  <c r="K746" i="6"/>
  <c r="K745" i="6"/>
  <c r="K744" i="6"/>
  <c r="K743" i="6"/>
  <c r="AG742" i="6"/>
  <c r="K742" i="6"/>
  <c r="K741" i="6"/>
  <c r="K740" i="6"/>
  <c r="K739" i="6"/>
  <c r="K738" i="6"/>
  <c r="K737" i="6"/>
  <c r="AG736" i="6"/>
  <c r="K736" i="6"/>
  <c r="K735" i="6"/>
  <c r="K734" i="6"/>
  <c r="K733" i="6"/>
  <c r="K732" i="6"/>
  <c r="K731" i="6"/>
  <c r="AG730" i="6"/>
  <c r="K730" i="6"/>
  <c r="K729" i="6"/>
  <c r="K728" i="6"/>
  <c r="K727" i="6"/>
  <c r="K726" i="6"/>
  <c r="K725" i="6"/>
  <c r="AG724" i="6"/>
  <c r="K724" i="6"/>
  <c r="K719" i="6"/>
  <c r="AG718" i="6"/>
  <c r="K718" i="6"/>
  <c r="K717" i="6"/>
  <c r="K716" i="6"/>
  <c r="K715" i="6"/>
  <c r="K714" i="6"/>
  <c r="AG712" i="6"/>
  <c r="K712" i="6"/>
  <c r="K711" i="6"/>
  <c r="K710" i="6"/>
  <c r="K709" i="6"/>
  <c r="K708" i="6"/>
  <c r="K707" i="6"/>
  <c r="AG706" i="6"/>
  <c r="M705" i="6"/>
  <c r="K705" i="6"/>
  <c r="K771" i="6" s="1"/>
  <c r="M704" i="6"/>
  <c r="K704" i="6"/>
  <c r="K770" i="6" s="1"/>
  <c r="X703" i="6"/>
  <c r="X769" i="6" s="1"/>
  <c r="M703" i="6"/>
  <c r="K703" i="6"/>
  <c r="K769" i="6" s="1"/>
  <c r="M702" i="6"/>
  <c r="K702" i="6"/>
  <c r="K768" i="6" s="1"/>
  <c r="M701" i="6"/>
  <c r="K701" i="6"/>
  <c r="K767" i="6" s="1"/>
  <c r="M700" i="6"/>
  <c r="K700" i="6"/>
  <c r="K766" i="6" s="1"/>
  <c r="AE699" i="6"/>
  <c r="AD699" i="6"/>
  <c r="AC699" i="6"/>
  <c r="AB699" i="6"/>
  <c r="AA699" i="6"/>
  <c r="Z699" i="6"/>
  <c r="U699" i="6"/>
  <c r="T699" i="6"/>
  <c r="R699" i="6"/>
  <c r="Q699" i="6"/>
  <c r="P699" i="6"/>
  <c r="O699" i="6"/>
  <c r="N699" i="6"/>
  <c r="H699" i="6"/>
  <c r="G699" i="6"/>
  <c r="F699" i="6"/>
  <c r="E699" i="6"/>
  <c r="AE698" i="6"/>
  <c r="AD698" i="6"/>
  <c r="AC698" i="6"/>
  <c r="AB698" i="6"/>
  <c r="AA698" i="6"/>
  <c r="Z698" i="6"/>
  <c r="U698" i="6"/>
  <c r="T698" i="6"/>
  <c r="R698" i="6"/>
  <c r="Q698" i="6"/>
  <c r="P698" i="6"/>
  <c r="O698" i="6"/>
  <c r="N698" i="6"/>
  <c r="H698" i="6"/>
  <c r="G698" i="6"/>
  <c r="F698" i="6"/>
  <c r="E698" i="6"/>
  <c r="AE697" i="6"/>
  <c r="AD697" i="6"/>
  <c r="AC697" i="6"/>
  <c r="AB697" i="6"/>
  <c r="AA697" i="6"/>
  <c r="Z697" i="6"/>
  <c r="U697" i="6"/>
  <c r="T697" i="6"/>
  <c r="R697" i="6"/>
  <c r="Q697" i="6"/>
  <c r="P697" i="6"/>
  <c r="O697" i="6"/>
  <c r="N697" i="6"/>
  <c r="H697" i="6"/>
  <c r="G697" i="6"/>
  <c r="F697" i="6"/>
  <c r="E697" i="6"/>
  <c r="AE696" i="6"/>
  <c r="AD696" i="6"/>
  <c r="AC696" i="6"/>
  <c r="AB696" i="6"/>
  <c r="AA696" i="6"/>
  <c r="Z696" i="6"/>
  <c r="R696" i="6"/>
  <c r="Q696" i="6"/>
  <c r="P696" i="6"/>
  <c r="O696" i="6"/>
  <c r="N696" i="6"/>
  <c r="F696" i="6"/>
  <c r="E696" i="6"/>
  <c r="AE695" i="6"/>
  <c r="AD695" i="6"/>
  <c r="AC695" i="6"/>
  <c r="AB695" i="6"/>
  <c r="AA695" i="6"/>
  <c r="Z695" i="6"/>
  <c r="U695" i="6"/>
  <c r="T695" i="6"/>
  <c r="R695" i="6"/>
  <c r="Q695" i="6"/>
  <c r="P695" i="6"/>
  <c r="O695" i="6"/>
  <c r="N695" i="6"/>
  <c r="H695" i="6"/>
  <c r="G695" i="6"/>
  <c r="F695" i="6"/>
  <c r="E695" i="6"/>
  <c r="AE694" i="6"/>
  <c r="AD694" i="6"/>
  <c r="AC694" i="6"/>
  <c r="AB694" i="6"/>
  <c r="AA694" i="6"/>
  <c r="Z694" i="6"/>
  <c r="U694" i="6"/>
  <c r="T694" i="6"/>
  <c r="R694" i="6"/>
  <c r="Q694" i="6"/>
  <c r="P694" i="6"/>
  <c r="O694" i="6"/>
  <c r="N694" i="6"/>
  <c r="H694" i="6"/>
  <c r="G694" i="6"/>
  <c r="F694" i="6"/>
  <c r="E694" i="6"/>
  <c r="W693" i="6"/>
  <c r="W699" i="6" s="1"/>
  <c r="V693" i="6"/>
  <c r="V699" i="6" s="1"/>
  <c r="M693" i="6"/>
  <c r="M699" i="6" s="1"/>
  <c r="K693" i="6"/>
  <c r="K699" i="6" s="1"/>
  <c r="J693" i="6"/>
  <c r="J699" i="6" s="1"/>
  <c r="I693" i="6"/>
  <c r="I699" i="6" s="1"/>
  <c r="W692" i="6"/>
  <c r="W698" i="6" s="1"/>
  <c r="V692" i="6"/>
  <c r="V698" i="6" s="1"/>
  <c r="M692" i="6"/>
  <c r="M698" i="6" s="1"/>
  <c r="K692" i="6"/>
  <c r="K698" i="6" s="1"/>
  <c r="J692" i="6"/>
  <c r="J698" i="6" s="1"/>
  <c r="I692" i="6"/>
  <c r="I698" i="6" s="1"/>
  <c r="W691" i="6"/>
  <c r="W697" i="6" s="1"/>
  <c r="V691" i="6"/>
  <c r="V697" i="6" s="1"/>
  <c r="M691" i="6"/>
  <c r="M697" i="6" s="1"/>
  <c r="K691" i="6"/>
  <c r="K697" i="6" s="1"/>
  <c r="J691" i="6"/>
  <c r="J697" i="6" s="1"/>
  <c r="I691" i="6"/>
  <c r="I697" i="6" s="1"/>
  <c r="W690" i="6"/>
  <c r="W696" i="6" s="1"/>
  <c r="V690" i="6"/>
  <c r="V696" i="6" s="1"/>
  <c r="M690" i="6"/>
  <c r="M696" i="6" s="1"/>
  <c r="K690" i="6"/>
  <c r="K696" i="6" s="1"/>
  <c r="J690" i="6"/>
  <c r="J696" i="6" s="1"/>
  <c r="I690" i="6"/>
  <c r="I696" i="6" s="1"/>
  <c r="W689" i="6"/>
  <c r="W695" i="6" s="1"/>
  <c r="V689" i="6"/>
  <c r="V695" i="6" s="1"/>
  <c r="M689" i="6"/>
  <c r="M695" i="6" s="1"/>
  <c r="K689" i="6"/>
  <c r="K695" i="6" s="1"/>
  <c r="J689" i="6"/>
  <c r="J695" i="6" s="1"/>
  <c r="I689" i="6"/>
  <c r="I695" i="6" s="1"/>
  <c r="W688" i="6"/>
  <c r="W694" i="6" s="1"/>
  <c r="V688" i="6"/>
  <c r="V694" i="6" s="1"/>
  <c r="M688" i="6"/>
  <c r="M694" i="6" s="1"/>
  <c r="K688" i="6"/>
  <c r="K694" i="6" s="1"/>
  <c r="J688" i="6"/>
  <c r="J694" i="6" s="1"/>
  <c r="I688" i="6"/>
  <c r="I694" i="6" s="1"/>
  <c r="AA687" i="6"/>
  <c r="Z687" i="6"/>
  <c r="X687" i="6"/>
  <c r="T687" i="6"/>
  <c r="R687" i="6"/>
  <c r="N687" i="6"/>
  <c r="K687" i="6"/>
  <c r="F687" i="6"/>
  <c r="E687" i="6"/>
  <c r="AE686" i="6"/>
  <c r="AD686" i="6"/>
  <c r="AC686" i="6"/>
  <c r="AA686" i="6"/>
  <c r="Z686" i="6"/>
  <c r="X686" i="6"/>
  <c r="W686" i="6"/>
  <c r="V686" i="6"/>
  <c r="U686" i="6"/>
  <c r="T686" i="6"/>
  <c r="Q686" i="6"/>
  <c r="P686" i="6"/>
  <c r="N686" i="6"/>
  <c r="K686" i="6"/>
  <c r="J686" i="6"/>
  <c r="I686" i="6"/>
  <c r="H686" i="6"/>
  <c r="G686" i="6"/>
  <c r="F686" i="6"/>
  <c r="E686" i="6"/>
  <c r="AE685" i="6"/>
  <c r="AD685" i="6"/>
  <c r="AC685" i="6"/>
  <c r="AB685" i="6"/>
  <c r="AA685" i="6"/>
  <c r="Z685" i="6"/>
  <c r="X685" i="6"/>
  <c r="W685" i="6"/>
  <c r="V685" i="6"/>
  <c r="Q685" i="6"/>
  <c r="P685" i="6"/>
  <c r="O685" i="6"/>
  <c r="N685" i="6"/>
  <c r="K685" i="6"/>
  <c r="J685" i="6"/>
  <c r="I685" i="6"/>
  <c r="G685" i="6"/>
  <c r="F685" i="6"/>
  <c r="E685" i="6"/>
  <c r="AB684" i="6"/>
  <c r="AA684" i="6"/>
  <c r="Z684" i="6"/>
  <c r="X684" i="6"/>
  <c r="W684" i="6"/>
  <c r="V684" i="6"/>
  <c r="U684" i="6"/>
  <c r="T684" i="6"/>
  <c r="Q684" i="6"/>
  <c r="P684" i="6"/>
  <c r="O684" i="6"/>
  <c r="N684" i="6"/>
  <c r="K684" i="6"/>
  <c r="J684" i="6"/>
  <c r="I684" i="6"/>
  <c r="H684" i="6"/>
  <c r="G684" i="6"/>
  <c r="F684" i="6"/>
  <c r="E684" i="6"/>
  <c r="AA683" i="6"/>
  <c r="Z683" i="6"/>
  <c r="X683" i="6"/>
  <c r="T683" i="6"/>
  <c r="R683" i="6"/>
  <c r="N683" i="6"/>
  <c r="K683" i="6"/>
  <c r="F683" i="6"/>
  <c r="E683" i="6"/>
  <c r="AC682" i="6"/>
  <c r="AB682" i="6"/>
  <c r="AA682" i="6"/>
  <c r="Z682" i="6"/>
  <c r="X682" i="6"/>
  <c r="W682" i="6"/>
  <c r="V682" i="6"/>
  <c r="U682" i="6"/>
  <c r="T682" i="6"/>
  <c r="Q682" i="6"/>
  <c r="P682" i="6"/>
  <c r="O682" i="6"/>
  <c r="N682" i="6"/>
  <c r="K682" i="6"/>
  <c r="J682" i="6"/>
  <c r="I682" i="6"/>
  <c r="H682" i="6"/>
  <c r="G682" i="6"/>
  <c r="F682" i="6"/>
  <c r="E682" i="6"/>
  <c r="AB681" i="6"/>
  <c r="R681" i="6"/>
  <c r="Q681" i="6"/>
  <c r="P681" i="6"/>
  <c r="H681" i="6"/>
  <c r="G681" i="6"/>
  <c r="AB680" i="6"/>
  <c r="R677" i="6"/>
  <c r="Q677" i="6"/>
  <c r="P677" i="6"/>
  <c r="O677" i="6"/>
  <c r="O681" i="6" s="1"/>
  <c r="H677" i="6"/>
  <c r="G677" i="6"/>
  <c r="U675" i="6"/>
  <c r="H675" i="6"/>
  <c r="O674" i="6"/>
  <c r="U673" i="6"/>
  <c r="H673" i="6"/>
  <c r="U671" i="6"/>
  <c r="O671" i="6"/>
  <c r="O675" i="6" s="1"/>
  <c r="H671" i="6"/>
  <c r="O668" i="6"/>
  <c r="U663" i="6"/>
  <c r="H663" i="6"/>
  <c r="G663" i="6"/>
  <c r="O662" i="6"/>
  <c r="U661" i="6"/>
  <c r="T661" i="6"/>
  <c r="T685" i="6" s="1"/>
  <c r="H661" i="6"/>
  <c r="U659" i="6"/>
  <c r="O659" i="6"/>
  <c r="O663" i="6" s="1"/>
  <c r="H659" i="6"/>
  <c r="G659" i="6"/>
  <c r="G683" i="6" s="1"/>
  <c r="AE657" i="6"/>
  <c r="AD657" i="6"/>
  <c r="AD687" i="6" s="1"/>
  <c r="AC657" i="6"/>
  <c r="AC687" i="6" s="1"/>
  <c r="R657" i="6"/>
  <c r="Q657" i="6"/>
  <c r="P657" i="6"/>
  <c r="AB656" i="6"/>
  <c r="O656" i="6"/>
  <c r="AE653" i="6"/>
  <c r="AD653" i="6"/>
  <c r="AD683" i="6" s="1"/>
  <c r="AC653" i="6"/>
  <c r="AC683" i="6" s="1"/>
  <c r="AB653" i="6"/>
  <c r="R653" i="6"/>
  <c r="Q653" i="6"/>
  <c r="P653" i="6"/>
  <c r="O653" i="6"/>
  <c r="O657" i="6" s="1"/>
  <c r="AE651" i="6"/>
  <c r="R651" i="6"/>
  <c r="R647" i="6"/>
  <c r="AE646" i="6"/>
  <c r="AE682" i="6" s="1"/>
  <c r="AD646" i="6"/>
  <c r="AD682" i="6" s="1"/>
  <c r="AC646" i="6"/>
  <c r="R645" i="6"/>
  <c r="Q645" i="6"/>
  <c r="P645" i="6"/>
  <c r="AE642" i="6"/>
  <c r="AE684" i="6" s="1"/>
  <c r="AD642" i="6"/>
  <c r="AD684" i="6" s="1"/>
  <c r="AC642" i="6"/>
  <c r="AC684" i="6" s="1"/>
  <c r="W639" i="6"/>
  <c r="V639" i="6"/>
  <c r="M639" i="6"/>
  <c r="M687" i="6" s="1"/>
  <c r="J639" i="6"/>
  <c r="I639" i="6"/>
  <c r="W638" i="6"/>
  <c r="V638" i="6"/>
  <c r="M638" i="6"/>
  <c r="M686" i="6" s="1"/>
  <c r="J638" i="6"/>
  <c r="I638" i="6"/>
  <c r="W637" i="6"/>
  <c r="V637" i="6"/>
  <c r="M637" i="6"/>
  <c r="M685" i="6" s="1"/>
  <c r="J637" i="6"/>
  <c r="I637" i="6"/>
  <c r="W636" i="6"/>
  <c r="V636" i="6"/>
  <c r="M636" i="6"/>
  <c r="M684" i="6" s="1"/>
  <c r="J636" i="6"/>
  <c r="I636" i="6"/>
  <c r="W635" i="6"/>
  <c r="V635" i="6"/>
  <c r="M635" i="6"/>
  <c r="M683" i="6" s="1"/>
  <c r="J635" i="6"/>
  <c r="I635" i="6"/>
  <c r="W634" i="6"/>
  <c r="V634" i="6"/>
  <c r="M634" i="6"/>
  <c r="M682" i="6" s="1"/>
  <c r="J634" i="6"/>
  <c r="I634" i="6"/>
  <c r="AA633" i="6"/>
  <c r="T633" i="6"/>
  <c r="N633" i="6"/>
  <c r="AE632" i="6"/>
  <c r="AE633" i="6" s="1"/>
  <c r="AD632" i="6"/>
  <c r="AC632" i="6"/>
  <c r="AA632" i="6"/>
  <c r="X632" i="6"/>
  <c r="W632" i="6"/>
  <c r="V632" i="6"/>
  <c r="U632" i="6"/>
  <c r="T632" i="6"/>
  <c r="R632" i="6"/>
  <c r="Q632" i="6"/>
  <c r="P632" i="6"/>
  <c r="N632" i="6"/>
  <c r="J632" i="6"/>
  <c r="I632" i="6"/>
  <c r="H632" i="6"/>
  <c r="G632" i="6"/>
  <c r="AD631" i="6"/>
  <c r="AC631" i="6"/>
  <c r="AB631" i="6"/>
  <c r="AA631" i="6"/>
  <c r="W631" i="6"/>
  <c r="V631" i="6"/>
  <c r="R631" i="6"/>
  <c r="Q631" i="6"/>
  <c r="P631" i="6"/>
  <c r="O631" i="6"/>
  <c r="N631" i="6"/>
  <c r="J631" i="6"/>
  <c r="I631" i="6"/>
  <c r="G631" i="6"/>
  <c r="AD630" i="6"/>
  <c r="AC630" i="6"/>
  <c r="AB630" i="6"/>
  <c r="AA630" i="6"/>
  <c r="W630" i="6"/>
  <c r="V630" i="6"/>
  <c r="U630" i="6"/>
  <c r="T630" i="6"/>
  <c r="R630" i="6"/>
  <c r="Q630" i="6"/>
  <c r="P630" i="6"/>
  <c r="O630" i="6"/>
  <c r="N630" i="6"/>
  <c r="J630" i="6"/>
  <c r="I630" i="6"/>
  <c r="H630" i="6"/>
  <c r="G630" i="6"/>
  <c r="AA629" i="6"/>
  <c r="T629" i="6"/>
  <c r="N629" i="6"/>
  <c r="AE628" i="6"/>
  <c r="AD628" i="6"/>
  <c r="AC628" i="6"/>
  <c r="AB628" i="6"/>
  <c r="AA628" i="6"/>
  <c r="X628" i="6"/>
  <c r="W628" i="6"/>
  <c r="V628" i="6"/>
  <c r="U628" i="6"/>
  <c r="T628" i="6"/>
  <c r="R628" i="6"/>
  <c r="Q628" i="6"/>
  <c r="P628" i="6"/>
  <c r="O628" i="6"/>
  <c r="N628" i="6"/>
  <c r="J628" i="6"/>
  <c r="I628" i="6"/>
  <c r="H628" i="6"/>
  <c r="G628" i="6"/>
  <c r="Q627" i="6"/>
  <c r="P627" i="6"/>
  <c r="H627" i="6"/>
  <c r="G627" i="6"/>
  <c r="O626" i="6"/>
  <c r="Q623" i="6"/>
  <c r="P623" i="6"/>
  <c r="O623" i="6"/>
  <c r="O627" i="6" s="1"/>
  <c r="H623" i="6"/>
  <c r="G623" i="6"/>
  <c r="AE621" i="6"/>
  <c r="AD621" i="6"/>
  <c r="U621" i="6"/>
  <c r="R621" i="6"/>
  <c r="Q621" i="6"/>
  <c r="H621" i="6"/>
  <c r="G621" i="6"/>
  <c r="U619" i="6"/>
  <c r="T619" i="6"/>
  <c r="H619" i="6"/>
  <c r="AE617" i="6"/>
  <c r="AD617" i="6"/>
  <c r="U617" i="6"/>
  <c r="R617" i="6"/>
  <c r="Q617" i="6"/>
  <c r="H617" i="6"/>
  <c r="G617" i="6"/>
  <c r="AG616" i="6"/>
  <c r="AG610" i="6"/>
  <c r="AG604" i="6"/>
  <c r="AE603" i="6"/>
  <c r="AD603" i="6"/>
  <c r="AC603" i="6"/>
  <c r="U603" i="6"/>
  <c r="R603" i="6"/>
  <c r="Q603" i="6"/>
  <c r="P603" i="6"/>
  <c r="H603" i="6"/>
  <c r="G603" i="6"/>
  <c r="AB602" i="6"/>
  <c r="O602" i="6"/>
  <c r="U601" i="6"/>
  <c r="T601" i="6"/>
  <c r="H601" i="6"/>
  <c r="AE599" i="6"/>
  <c r="AD599" i="6"/>
  <c r="AC599" i="6"/>
  <c r="AB599" i="6"/>
  <c r="AB603" i="6" s="1"/>
  <c r="U599" i="6"/>
  <c r="R599" i="6"/>
  <c r="Q599" i="6"/>
  <c r="P599" i="6"/>
  <c r="O599" i="6"/>
  <c r="O603" i="6" s="1"/>
  <c r="H599" i="6"/>
  <c r="G599" i="6"/>
  <c r="AG598" i="6"/>
  <c r="AE597" i="6"/>
  <c r="AD597" i="6"/>
  <c r="AC597" i="6"/>
  <c r="R597" i="6"/>
  <c r="Q597" i="6"/>
  <c r="P597" i="6"/>
  <c r="AE593" i="6"/>
  <c r="AD593" i="6"/>
  <c r="AC593" i="6"/>
  <c r="R593" i="6"/>
  <c r="Q593" i="6"/>
  <c r="P593" i="6"/>
  <c r="AG592" i="6"/>
  <c r="AE591" i="6"/>
  <c r="AD591" i="6"/>
  <c r="U591" i="6"/>
  <c r="R591" i="6"/>
  <c r="Q591" i="6"/>
  <c r="H591" i="6"/>
  <c r="U589" i="6"/>
  <c r="H589" i="6"/>
  <c r="AE587" i="6"/>
  <c r="AD587" i="6"/>
  <c r="U587" i="6"/>
  <c r="R587" i="6"/>
  <c r="Q587" i="6"/>
  <c r="H587" i="6"/>
  <c r="AG586" i="6"/>
  <c r="AE585" i="6"/>
  <c r="AD585" i="6"/>
  <c r="AC585" i="6"/>
  <c r="U585" i="6"/>
  <c r="R585" i="6"/>
  <c r="Q585" i="6"/>
  <c r="P585" i="6"/>
  <c r="H585" i="6"/>
  <c r="G585" i="6"/>
  <c r="AB584" i="6"/>
  <c r="O584" i="6"/>
  <c r="U583" i="6"/>
  <c r="T583" i="6"/>
  <c r="H583" i="6"/>
  <c r="AE581" i="6"/>
  <c r="AD581" i="6"/>
  <c r="AC581" i="6"/>
  <c r="AB581" i="6"/>
  <c r="AB585" i="6" s="1"/>
  <c r="U581" i="6"/>
  <c r="R581" i="6"/>
  <c r="Q581" i="6"/>
  <c r="P581" i="6"/>
  <c r="O581" i="6"/>
  <c r="O585" i="6" s="1"/>
  <c r="H581" i="6"/>
  <c r="G581" i="6"/>
  <c r="AG580" i="6"/>
  <c r="U579" i="6"/>
  <c r="H579" i="6"/>
  <c r="U577" i="6"/>
  <c r="H577" i="6"/>
  <c r="U575" i="6"/>
  <c r="H575" i="6"/>
  <c r="AG574" i="6"/>
  <c r="U573" i="6"/>
  <c r="H573" i="6"/>
  <c r="G573" i="6"/>
  <c r="U571" i="6"/>
  <c r="T571" i="6"/>
  <c r="H571" i="6"/>
  <c r="U569" i="6"/>
  <c r="H569" i="6"/>
  <c r="G569" i="6"/>
  <c r="AG568" i="6"/>
  <c r="AE567" i="6"/>
  <c r="AD567" i="6"/>
  <c r="AC567" i="6"/>
  <c r="U567" i="6"/>
  <c r="R567" i="6"/>
  <c r="Q567" i="6"/>
  <c r="P567" i="6"/>
  <c r="H567" i="6"/>
  <c r="G567" i="6"/>
  <c r="U565" i="6"/>
  <c r="T565" i="6"/>
  <c r="H565" i="6"/>
  <c r="AE563" i="6"/>
  <c r="AD563" i="6"/>
  <c r="AC563" i="6"/>
  <c r="U563" i="6"/>
  <c r="R563" i="6"/>
  <c r="Q563" i="6"/>
  <c r="P563" i="6"/>
  <c r="H563" i="6"/>
  <c r="G563" i="6"/>
  <c r="AG562" i="6"/>
  <c r="AE561" i="6"/>
  <c r="AD561" i="6"/>
  <c r="AC561" i="6"/>
  <c r="U561" i="6"/>
  <c r="R561" i="6"/>
  <c r="Q561" i="6"/>
  <c r="P561" i="6"/>
  <c r="H561" i="6"/>
  <c r="G561" i="6"/>
  <c r="AB560" i="6"/>
  <c r="O560" i="6"/>
  <c r="U559" i="6"/>
  <c r="T559" i="6"/>
  <c r="H559" i="6"/>
  <c r="AE557" i="6"/>
  <c r="AD557" i="6"/>
  <c r="AC557" i="6"/>
  <c r="AB557" i="6"/>
  <c r="AB561" i="6" s="1"/>
  <c r="U557" i="6"/>
  <c r="R557" i="6"/>
  <c r="Q557" i="6"/>
  <c r="P557" i="6"/>
  <c r="O557" i="6"/>
  <c r="O561" i="6" s="1"/>
  <c r="H557" i="6"/>
  <c r="G557" i="6"/>
  <c r="AG556" i="6"/>
  <c r="AE555" i="6"/>
  <c r="AD555" i="6"/>
  <c r="AC555" i="6"/>
  <c r="U555" i="6"/>
  <c r="R555" i="6"/>
  <c r="Q555" i="6"/>
  <c r="P555" i="6"/>
  <c r="H555" i="6"/>
  <c r="G555" i="6"/>
  <c r="U553" i="6"/>
  <c r="T553" i="6"/>
  <c r="H553" i="6"/>
  <c r="AE551" i="6"/>
  <c r="AD551" i="6"/>
  <c r="AC551" i="6"/>
  <c r="U551" i="6"/>
  <c r="R551" i="6"/>
  <c r="Q551" i="6"/>
  <c r="P551" i="6"/>
  <c r="H551" i="6"/>
  <c r="G551" i="6"/>
  <c r="AG550" i="6"/>
  <c r="AG544" i="6"/>
  <c r="AE543" i="6"/>
  <c r="AD543" i="6"/>
  <c r="AC543" i="6"/>
  <c r="U543" i="6"/>
  <c r="R543" i="6"/>
  <c r="Q543" i="6"/>
  <c r="P543" i="6"/>
  <c r="H543" i="6"/>
  <c r="G543" i="6"/>
  <c r="U541" i="6"/>
  <c r="T541" i="6"/>
  <c r="H541" i="6"/>
  <c r="AE539" i="6"/>
  <c r="AD539" i="6"/>
  <c r="AC539" i="6"/>
  <c r="U539" i="6"/>
  <c r="R539" i="6"/>
  <c r="Q539" i="6"/>
  <c r="P539" i="6"/>
  <c r="H539" i="6"/>
  <c r="G539" i="6"/>
  <c r="AG538" i="6"/>
  <c r="AE537" i="6"/>
  <c r="AD537" i="6"/>
  <c r="AC537" i="6"/>
  <c r="R537" i="6"/>
  <c r="Q537" i="6"/>
  <c r="P537" i="6"/>
  <c r="AE533" i="6"/>
  <c r="AD533" i="6"/>
  <c r="AC533" i="6"/>
  <c r="R533" i="6"/>
  <c r="Q533" i="6"/>
  <c r="P533" i="6"/>
  <c r="AG532" i="6"/>
  <c r="AG526" i="6"/>
  <c r="AE525" i="6"/>
  <c r="AD525" i="6"/>
  <c r="R525" i="6"/>
  <c r="Q525" i="6"/>
  <c r="AE521" i="6"/>
  <c r="AD521" i="6"/>
  <c r="R521" i="6"/>
  <c r="Q521" i="6"/>
  <c r="AG520" i="6"/>
  <c r="AE519" i="6"/>
  <c r="AD519" i="6"/>
  <c r="AC519" i="6"/>
  <c r="U519" i="6"/>
  <c r="R519" i="6"/>
  <c r="Q519" i="6"/>
  <c r="P519" i="6"/>
  <c r="H519" i="6"/>
  <c r="AB518" i="6"/>
  <c r="O518" i="6"/>
  <c r="U517" i="6"/>
  <c r="H517" i="6"/>
  <c r="AE515" i="6"/>
  <c r="AD515" i="6"/>
  <c r="AC515" i="6"/>
  <c r="AB515" i="6"/>
  <c r="U515" i="6"/>
  <c r="R515" i="6"/>
  <c r="Q515" i="6"/>
  <c r="P515" i="6"/>
  <c r="O515" i="6"/>
  <c r="H515" i="6"/>
  <c r="AG514" i="6"/>
  <c r="AE513" i="6"/>
  <c r="AD513" i="6"/>
  <c r="AC513" i="6"/>
  <c r="AB513" i="6"/>
  <c r="R513" i="6"/>
  <c r="Q513" i="6"/>
  <c r="P513" i="6"/>
  <c r="O513" i="6"/>
  <c r="AB512" i="6"/>
  <c r="AE509" i="6"/>
  <c r="AD509" i="6"/>
  <c r="AC509" i="6"/>
  <c r="R509" i="6"/>
  <c r="Q509" i="6"/>
  <c r="P509" i="6"/>
  <c r="W507" i="6"/>
  <c r="V507" i="6"/>
  <c r="M507" i="6"/>
  <c r="J507" i="6"/>
  <c r="I507" i="6"/>
  <c r="W506" i="6"/>
  <c r="V506" i="6"/>
  <c r="M506" i="6"/>
  <c r="J506" i="6"/>
  <c r="I506" i="6"/>
  <c r="W505" i="6"/>
  <c r="V505" i="6"/>
  <c r="M505" i="6"/>
  <c r="J505" i="6"/>
  <c r="I505" i="6"/>
  <c r="W504" i="6"/>
  <c r="V504" i="6"/>
  <c r="M504" i="6"/>
  <c r="J504" i="6"/>
  <c r="I504" i="6"/>
  <c r="W503" i="6"/>
  <c r="V503" i="6"/>
  <c r="M503" i="6"/>
  <c r="J503" i="6"/>
  <c r="I503" i="6"/>
  <c r="W502" i="6"/>
  <c r="V502" i="6"/>
  <c r="M502" i="6"/>
  <c r="J502" i="6"/>
  <c r="I502" i="6"/>
  <c r="AE501" i="6"/>
  <c r="AD501" i="6"/>
  <c r="AC501" i="6"/>
  <c r="AB501" i="6"/>
  <c r="AA501" i="6"/>
  <c r="U501" i="6"/>
  <c r="T501" i="6"/>
  <c r="R501" i="6"/>
  <c r="Q501" i="6"/>
  <c r="P501" i="6"/>
  <c r="O501" i="6"/>
  <c r="N501" i="6"/>
  <c r="F501" i="6"/>
  <c r="M501" i="6" s="1"/>
  <c r="E501" i="6"/>
  <c r="AE500" i="6"/>
  <c r="AD500" i="6"/>
  <c r="AC500" i="6"/>
  <c r="AB500" i="6"/>
  <c r="AA500" i="6"/>
  <c r="U500" i="6"/>
  <c r="T500" i="6"/>
  <c r="R500" i="6"/>
  <c r="Q500" i="6"/>
  <c r="P500" i="6"/>
  <c r="O500" i="6"/>
  <c r="N500" i="6"/>
  <c r="F500" i="6"/>
  <c r="M500" i="6" s="1"/>
  <c r="E500" i="6"/>
  <c r="AE499" i="6"/>
  <c r="AD499" i="6"/>
  <c r="AC499" i="6"/>
  <c r="AB499" i="6"/>
  <c r="AA499" i="6"/>
  <c r="U499" i="6"/>
  <c r="T499" i="6"/>
  <c r="R499" i="6"/>
  <c r="Q499" i="6"/>
  <c r="P499" i="6"/>
  <c r="O499" i="6"/>
  <c r="N499" i="6"/>
  <c r="F499" i="6"/>
  <c r="M499" i="6" s="1"/>
  <c r="E499" i="6"/>
  <c r="AE498" i="6"/>
  <c r="AD498" i="6"/>
  <c r="AC498" i="6"/>
  <c r="AB498" i="6"/>
  <c r="AA498" i="6"/>
  <c r="U498" i="6"/>
  <c r="T498" i="6"/>
  <c r="R498" i="6"/>
  <c r="Q498" i="6"/>
  <c r="P498" i="6"/>
  <c r="O498" i="6"/>
  <c r="N498" i="6"/>
  <c r="F498" i="6"/>
  <c r="M498" i="6" s="1"/>
  <c r="E498" i="6"/>
  <c r="AE497" i="6"/>
  <c r="AD497" i="6"/>
  <c r="AC497" i="6"/>
  <c r="AB497" i="6"/>
  <c r="AA497" i="6"/>
  <c r="U497" i="6"/>
  <c r="T497" i="6"/>
  <c r="R497" i="6"/>
  <c r="Q497" i="6"/>
  <c r="P497" i="6"/>
  <c r="O497" i="6"/>
  <c r="N497" i="6"/>
  <c r="F497" i="6"/>
  <c r="M497" i="6" s="1"/>
  <c r="E497" i="6"/>
  <c r="AE496" i="6"/>
  <c r="AD496" i="6"/>
  <c r="AC496" i="6"/>
  <c r="AB496" i="6"/>
  <c r="AA496" i="6"/>
  <c r="U496" i="6"/>
  <c r="T496" i="6"/>
  <c r="R496" i="6"/>
  <c r="Q496" i="6"/>
  <c r="P496" i="6"/>
  <c r="O496" i="6"/>
  <c r="N496" i="6"/>
  <c r="F496" i="6"/>
  <c r="M496" i="6" s="1"/>
  <c r="E496" i="6"/>
  <c r="W495" i="6"/>
  <c r="V495" i="6"/>
  <c r="V501" i="6" s="1"/>
  <c r="M495" i="6"/>
  <c r="W494" i="6"/>
  <c r="W501" i="6" s="1"/>
  <c r="V494" i="6"/>
  <c r="V500" i="6" s="1"/>
  <c r="M494" i="6"/>
  <c r="W493" i="6"/>
  <c r="W500" i="6" s="1"/>
  <c r="V493" i="6"/>
  <c r="V499" i="6" s="1"/>
  <c r="M493" i="6"/>
  <c r="K493" i="6"/>
  <c r="W492" i="6"/>
  <c r="W499" i="6" s="1"/>
  <c r="V492" i="6"/>
  <c r="V498" i="6" s="1"/>
  <c r="M492" i="6"/>
  <c r="W491" i="6"/>
  <c r="W498" i="6" s="1"/>
  <c r="V491" i="6"/>
  <c r="V497" i="6" s="1"/>
  <c r="M491" i="6"/>
  <c r="AS490" i="6"/>
  <c r="W490" i="6"/>
  <c r="W497" i="6" s="1"/>
  <c r="V490" i="6"/>
  <c r="V496" i="6" s="1"/>
  <c r="M490" i="6"/>
  <c r="AA489" i="6"/>
  <c r="T489" i="6"/>
  <c r="N489" i="6"/>
  <c r="AE488" i="6"/>
  <c r="AD488" i="6"/>
  <c r="AC488" i="6"/>
  <c r="AA488" i="6"/>
  <c r="W488" i="6"/>
  <c r="V488" i="6"/>
  <c r="U488" i="6"/>
  <c r="T488" i="6"/>
  <c r="R488" i="6"/>
  <c r="Q488" i="6"/>
  <c r="P488" i="6"/>
  <c r="N488" i="6"/>
  <c r="J488" i="6"/>
  <c r="I488" i="6"/>
  <c r="H488" i="6"/>
  <c r="G488" i="6"/>
  <c r="AE487" i="6"/>
  <c r="AD487" i="6"/>
  <c r="AC487" i="6"/>
  <c r="AA487" i="6"/>
  <c r="W487" i="6"/>
  <c r="V487" i="6"/>
  <c r="R487" i="6"/>
  <c r="Q487" i="6"/>
  <c r="P487" i="6"/>
  <c r="N487" i="6"/>
  <c r="J487" i="6"/>
  <c r="I487" i="6"/>
  <c r="H487" i="6"/>
  <c r="G487" i="6"/>
  <c r="AE486" i="6"/>
  <c r="AD486" i="6"/>
  <c r="AC486" i="6"/>
  <c r="AA486" i="6"/>
  <c r="W486" i="6"/>
  <c r="V486" i="6"/>
  <c r="U486" i="6"/>
  <c r="T486" i="6"/>
  <c r="R486" i="6"/>
  <c r="Q486" i="6"/>
  <c r="P486" i="6"/>
  <c r="N486" i="6"/>
  <c r="J486" i="6"/>
  <c r="I486" i="6"/>
  <c r="H486" i="6"/>
  <c r="G486" i="6"/>
  <c r="AE484" i="6"/>
  <c r="AD484" i="6"/>
  <c r="AC484" i="6"/>
  <c r="AB484" i="6"/>
  <c r="AB488" i="6" s="1"/>
  <c r="AA484" i="6"/>
  <c r="W484" i="6"/>
  <c r="V484" i="6"/>
  <c r="U484" i="6"/>
  <c r="T484" i="6"/>
  <c r="R484" i="6"/>
  <c r="Q484" i="6"/>
  <c r="P484" i="6"/>
  <c r="O484" i="6"/>
  <c r="O485" i="6" s="1"/>
  <c r="O489" i="6" s="1"/>
  <c r="N484" i="6"/>
  <c r="J484" i="6"/>
  <c r="I484" i="6"/>
  <c r="H484" i="6"/>
  <c r="G484" i="6"/>
  <c r="R483" i="6"/>
  <c r="Q483" i="6"/>
  <c r="P483" i="6"/>
  <c r="H483" i="6"/>
  <c r="G483" i="6"/>
  <c r="O482" i="6"/>
  <c r="R479" i="6"/>
  <c r="Q479" i="6"/>
  <c r="P479" i="6"/>
  <c r="O479" i="6"/>
  <c r="O483" i="6" s="1"/>
  <c r="N479" i="6"/>
  <c r="H479" i="6"/>
  <c r="G479" i="6"/>
  <c r="AE465" i="6"/>
  <c r="AD465" i="6"/>
  <c r="AC465" i="6"/>
  <c r="R465" i="6"/>
  <c r="Q465" i="6"/>
  <c r="P465" i="6"/>
  <c r="AB464" i="6"/>
  <c r="O464" i="6"/>
  <c r="AE461" i="6"/>
  <c r="AD461" i="6"/>
  <c r="AC461" i="6"/>
  <c r="AB461" i="6"/>
  <c r="AB465" i="6" s="1"/>
  <c r="AA461" i="6"/>
  <c r="R461" i="6"/>
  <c r="Q461" i="6"/>
  <c r="P461" i="6"/>
  <c r="O461" i="6"/>
  <c r="O465" i="6" s="1"/>
  <c r="N461" i="6"/>
  <c r="AE459" i="6"/>
  <c r="AD459" i="6"/>
  <c r="AC459" i="6"/>
  <c r="R459" i="6"/>
  <c r="Q459" i="6"/>
  <c r="P459" i="6"/>
  <c r="AE455" i="6"/>
  <c r="AD455" i="6"/>
  <c r="AC455" i="6"/>
  <c r="R455" i="6"/>
  <c r="Q455" i="6"/>
  <c r="P455" i="6"/>
  <c r="AE441" i="6"/>
  <c r="AD441" i="6"/>
  <c r="AC441" i="6"/>
  <c r="R441" i="6"/>
  <c r="Q441" i="6"/>
  <c r="P441" i="6"/>
  <c r="AE437" i="6"/>
  <c r="AD437" i="6"/>
  <c r="AC437" i="6"/>
  <c r="R437" i="6"/>
  <c r="Q437" i="6"/>
  <c r="P437" i="6"/>
  <c r="AE405" i="6"/>
  <c r="AD405" i="6"/>
  <c r="R405" i="6"/>
  <c r="Q405" i="6"/>
  <c r="AE401" i="6"/>
  <c r="AD401" i="6"/>
  <c r="R401" i="6"/>
  <c r="Q401" i="6"/>
  <c r="AE399" i="6"/>
  <c r="AD399" i="6"/>
  <c r="AC399" i="6"/>
  <c r="R399" i="6"/>
  <c r="Q399" i="6"/>
  <c r="P399" i="6"/>
  <c r="AB398" i="6"/>
  <c r="O398" i="6"/>
  <c r="AE395" i="6"/>
  <c r="AD395" i="6"/>
  <c r="AC395" i="6"/>
  <c r="AB395" i="6"/>
  <c r="AB399" i="6" s="1"/>
  <c r="AA395" i="6"/>
  <c r="R395" i="6"/>
  <c r="Q395" i="6"/>
  <c r="P395" i="6"/>
  <c r="O395" i="6"/>
  <c r="O399" i="6" s="1"/>
  <c r="N395" i="6"/>
  <c r="AE393" i="6"/>
  <c r="AD393" i="6"/>
  <c r="R393" i="6"/>
  <c r="Q393" i="6"/>
  <c r="AE389" i="6"/>
  <c r="AD389" i="6"/>
  <c r="R389" i="6"/>
  <c r="Q389" i="6"/>
  <c r="U357" i="6"/>
  <c r="H357" i="6"/>
  <c r="U353" i="6"/>
  <c r="H353" i="6"/>
  <c r="AE351" i="6"/>
  <c r="AD351" i="6"/>
  <c r="AC351" i="6"/>
  <c r="U351" i="6"/>
  <c r="R351" i="6"/>
  <c r="Q351" i="6"/>
  <c r="P351" i="6"/>
  <c r="H351" i="6"/>
  <c r="G351" i="6"/>
  <c r="U349" i="6"/>
  <c r="T349" i="6"/>
  <c r="AE347" i="6"/>
  <c r="AD347" i="6"/>
  <c r="AC347" i="6"/>
  <c r="U347" i="6"/>
  <c r="R347" i="6"/>
  <c r="Q347" i="6"/>
  <c r="P347" i="6"/>
  <c r="H347" i="6"/>
  <c r="G347" i="6"/>
  <c r="AE345" i="6"/>
  <c r="AD345" i="6"/>
  <c r="AC345" i="6"/>
  <c r="R345" i="6"/>
  <c r="Q345" i="6"/>
  <c r="P345" i="6"/>
  <c r="AE341" i="6"/>
  <c r="AD341" i="6"/>
  <c r="AC341" i="6"/>
  <c r="R341" i="6"/>
  <c r="Q341" i="6"/>
  <c r="P341" i="6"/>
  <c r="AE339" i="6"/>
  <c r="AD339" i="6"/>
  <c r="AC339" i="6"/>
  <c r="U339" i="6"/>
  <c r="R339" i="6"/>
  <c r="Q339" i="6"/>
  <c r="P339" i="6"/>
  <c r="H339" i="6"/>
  <c r="G339" i="6"/>
  <c r="U337" i="6"/>
  <c r="T337" i="6"/>
  <c r="AE335" i="6"/>
  <c r="AD335" i="6"/>
  <c r="AC335" i="6"/>
  <c r="U335" i="6"/>
  <c r="R335" i="6"/>
  <c r="Q335" i="6"/>
  <c r="P335" i="6"/>
  <c r="H335" i="6"/>
  <c r="G335" i="6"/>
  <c r="AE333" i="6"/>
  <c r="AD333" i="6"/>
  <c r="AC333" i="6"/>
  <c r="U333" i="6"/>
  <c r="R333" i="6"/>
  <c r="Q333" i="6"/>
  <c r="P333" i="6"/>
  <c r="H333" i="6"/>
  <c r="G333" i="6"/>
  <c r="AB332" i="6"/>
  <c r="O332" i="6"/>
  <c r="U331" i="6"/>
  <c r="T331" i="6"/>
  <c r="AE329" i="6"/>
  <c r="AD329" i="6"/>
  <c r="AC329" i="6"/>
  <c r="AB329" i="6"/>
  <c r="AB333" i="6" s="1"/>
  <c r="AA329" i="6"/>
  <c r="U329" i="6"/>
  <c r="R329" i="6"/>
  <c r="Q329" i="6"/>
  <c r="P329" i="6"/>
  <c r="O329" i="6"/>
  <c r="O333" i="6" s="1"/>
  <c r="N329" i="6"/>
  <c r="H329" i="6"/>
  <c r="G329" i="6"/>
  <c r="AE327" i="6"/>
  <c r="AD327" i="6"/>
  <c r="AC327" i="6"/>
  <c r="U327" i="6"/>
  <c r="R327" i="6"/>
  <c r="Q327" i="6"/>
  <c r="P327" i="6"/>
  <c r="H327" i="6"/>
  <c r="G327" i="6"/>
  <c r="AB326" i="6"/>
  <c r="O326" i="6"/>
  <c r="U325" i="6"/>
  <c r="T325" i="6"/>
  <c r="AE323" i="6"/>
  <c r="AD323" i="6"/>
  <c r="AC323" i="6"/>
  <c r="AB323" i="6"/>
  <c r="AB327" i="6" s="1"/>
  <c r="AA323" i="6"/>
  <c r="U323" i="6"/>
  <c r="T323" i="6"/>
  <c r="T485" i="6" s="1"/>
  <c r="R323" i="6"/>
  <c r="Q323" i="6"/>
  <c r="P323" i="6"/>
  <c r="O323" i="6"/>
  <c r="O327" i="6" s="1"/>
  <c r="N323" i="6"/>
  <c r="H323" i="6"/>
  <c r="G323" i="6"/>
  <c r="AE321" i="6"/>
  <c r="AD321" i="6"/>
  <c r="AC321" i="6"/>
  <c r="U321" i="6"/>
  <c r="R321" i="6"/>
  <c r="Q321" i="6"/>
  <c r="P321" i="6"/>
  <c r="H321" i="6"/>
  <c r="AB320" i="6"/>
  <c r="O320" i="6"/>
  <c r="AE317" i="6"/>
  <c r="AD317" i="6"/>
  <c r="AC317" i="6"/>
  <c r="AB317" i="6"/>
  <c r="AB321" i="6" s="1"/>
  <c r="AA317" i="6"/>
  <c r="U317" i="6"/>
  <c r="R317" i="6"/>
  <c r="Q317" i="6"/>
  <c r="P317" i="6"/>
  <c r="O317" i="6"/>
  <c r="O321" i="6" s="1"/>
  <c r="N317" i="6"/>
  <c r="H317" i="6"/>
  <c r="AE315" i="6"/>
  <c r="AD315" i="6"/>
  <c r="AC315" i="6"/>
  <c r="R315" i="6"/>
  <c r="Q315" i="6"/>
  <c r="P315" i="6"/>
  <c r="AB314" i="6"/>
  <c r="O314" i="6"/>
  <c r="AE311" i="6"/>
  <c r="AD311" i="6"/>
  <c r="AC311" i="6"/>
  <c r="AB311" i="6"/>
  <c r="AB315" i="6" s="1"/>
  <c r="AA311" i="6"/>
  <c r="R311" i="6"/>
  <c r="Q311" i="6"/>
  <c r="P311" i="6"/>
  <c r="O311" i="6"/>
  <c r="O315" i="6" s="1"/>
  <c r="N311" i="6"/>
  <c r="W303" i="6"/>
  <c r="V303" i="6"/>
  <c r="M303" i="6"/>
  <c r="J303" i="6"/>
  <c r="I303" i="6"/>
  <c r="W302" i="6"/>
  <c r="V302" i="6"/>
  <c r="M302" i="6"/>
  <c r="J302" i="6"/>
  <c r="I302" i="6"/>
  <c r="W301" i="6"/>
  <c r="V301" i="6"/>
  <c r="M301" i="6"/>
  <c r="J301" i="6"/>
  <c r="I301" i="6"/>
  <c r="W300" i="6"/>
  <c r="V300" i="6"/>
  <c r="M300" i="6"/>
  <c r="J300" i="6"/>
  <c r="I300" i="6"/>
  <c r="W299" i="6"/>
  <c r="V299" i="6"/>
  <c r="M299" i="6"/>
  <c r="J299" i="6"/>
  <c r="I299" i="6"/>
  <c r="W298" i="6"/>
  <c r="V298" i="6"/>
  <c r="M298" i="6"/>
  <c r="J298" i="6"/>
  <c r="I298" i="6"/>
  <c r="AE296" i="6"/>
  <c r="AD296" i="6"/>
  <c r="W296" i="6"/>
  <c r="V296" i="6"/>
  <c r="U296" i="6"/>
  <c r="T296" i="6"/>
  <c r="R296" i="6"/>
  <c r="Q296" i="6"/>
  <c r="O296" i="6"/>
  <c r="J296" i="6"/>
  <c r="I296" i="6"/>
  <c r="H296" i="6"/>
  <c r="G296" i="6"/>
  <c r="AE295" i="6"/>
  <c r="AD295" i="6"/>
  <c r="W295" i="6"/>
  <c r="V295" i="6"/>
  <c r="T295" i="6"/>
  <c r="R295" i="6"/>
  <c r="Q295" i="6"/>
  <c r="J295" i="6"/>
  <c r="I295" i="6"/>
  <c r="H295" i="6"/>
  <c r="G295" i="6"/>
  <c r="AE294" i="6"/>
  <c r="AD294" i="6"/>
  <c r="W294" i="6"/>
  <c r="V294" i="6"/>
  <c r="U294" i="6"/>
  <c r="T294" i="6"/>
  <c r="R294" i="6"/>
  <c r="Q294" i="6"/>
  <c r="J294" i="6"/>
  <c r="I294" i="6"/>
  <c r="H294" i="6"/>
  <c r="G294" i="6"/>
  <c r="O293" i="6"/>
  <c r="O297" i="6" s="1"/>
  <c r="AE292" i="6"/>
  <c r="AD292" i="6"/>
  <c r="AC292" i="6"/>
  <c r="AB292" i="6"/>
  <c r="AB296" i="6" s="1"/>
  <c r="W292" i="6"/>
  <c r="V292" i="6"/>
  <c r="U292" i="6"/>
  <c r="T292" i="6"/>
  <c r="R292" i="6"/>
  <c r="Q292" i="6"/>
  <c r="P292" i="6"/>
  <c r="J292" i="6"/>
  <c r="I292" i="6"/>
  <c r="H292" i="6"/>
  <c r="G292" i="6"/>
  <c r="R291" i="6"/>
  <c r="Q291" i="6"/>
  <c r="P291" i="6"/>
  <c r="H291" i="6"/>
  <c r="G291" i="6"/>
  <c r="O290" i="6"/>
  <c r="R287" i="6"/>
  <c r="Q287" i="6"/>
  <c r="P287" i="6"/>
  <c r="O287" i="6"/>
  <c r="O291" i="6" s="1"/>
  <c r="H287" i="6"/>
  <c r="G287" i="6"/>
  <c r="AE285" i="6"/>
  <c r="AD285" i="6"/>
  <c r="AC285" i="6"/>
  <c r="R285" i="6"/>
  <c r="Q285" i="6"/>
  <c r="P285" i="6"/>
  <c r="AE281" i="6"/>
  <c r="AD281" i="6"/>
  <c r="AC281" i="6"/>
  <c r="R281" i="6"/>
  <c r="Q281" i="6"/>
  <c r="P281" i="6"/>
  <c r="AE279" i="6"/>
  <c r="AD279" i="6"/>
  <c r="AC279" i="6"/>
  <c r="R279" i="6"/>
  <c r="Q279" i="6"/>
  <c r="P279" i="6"/>
  <c r="AE275" i="6"/>
  <c r="AD275" i="6"/>
  <c r="AC275" i="6"/>
  <c r="R275" i="6"/>
  <c r="Q275" i="6"/>
  <c r="P275" i="6"/>
  <c r="AE273" i="6"/>
  <c r="AD273" i="6"/>
  <c r="U273" i="6"/>
  <c r="T273" i="6"/>
  <c r="R273" i="6"/>
  <c r="Q273" i="6"/>
  <c r="H273" i="6"/>
  <c r="G273" i="6"/>
  <c r="U271" i="6"/>
  <c r="AE269" i="6"/>
  <c r="AD269" i="6"/>
  <c r="U269" i="6"/>
  <c r="T269" i="6"/>
  <c r="R269" i="6"/>
  <c r="Q269" i="6"/>
  <c r="H269" i="6"/>
  <c r="G269" i="6"/>
  <c r="AE267" i="6"/>
  <c r="AD267" i="6"/>
  <c r="R267" i="6"/>
  <c r="Q267" i="6"/>
  <c r="AE263" i="6"/>
  <c r="AD263" i="6"/>
  <c r="R263" i="6"/>
  <c r="Q263" i="6"/>
  <c r="AE249" i="6"/>
  <c r="R249" i="6"/>
  <c r="AE245" i="6"/>
  <c r="R245" i="6"/>
  <c r="U237" i="6"/>
  <c r="H237" i="6"/>
  <c r="U235" i="6"/>
  <c r="U233" i="6"/>
  <c r="H233" i="6"/>
  <c r="AE231" i="6"/>
  <c r="U231" i="6"/>
  <c r="T231" i="6"/>
  <c r="R231" i="6"/>
  <c r="H231" i="6"/>
  <c r="G231" i="6"/>
  <c r="U229" i="6"/>
  <c r="AE227" i="6"/>
  <c r="U227" i="6"/>
  <c r="T227" i="6"/>
  <c r="R227" i="6"/>
  <c r="H227" i="6"/>
  <c r="G227" i="6"/>
  <c r="AE225" i="6"/>
  <c r="AD225" i="6"/>
  <c r="U225" i="6"/>
  <c r="T225" i="6"/>
  <c r="R225" i="6"/>
  <c r="Q225" i="6"/>
  <c r="H225" i="6"/>
  <c r="G225" i="6"/>
  <c r="U223" i="6"/>
  <c r="AE221" i="6"/>
  <c r="AD221" i="6"/>
  <c r="U221" i="6"/>
  <c r="T221" i="6"/>
  <c r="R221" i="6"/>
  <c r="Q221" i="6"/>
  <c r="H221" i="6"/>
  <c r="G221" i="6"/>
  <c r="AE219" i="6"/>
  <c r="AD219" i="6"/>
  <c r="U219" i="6"/>
  <c r="T219" i="6"/>
  <c r="R219" i="6"/>
  <c r="Q219" i="6"/>
  <c r="H219" i="6"/>
  <c r="G219" i="6"/>
  <c r="U217" i="6"/>
  <c r="AE215" i="6"/>
  <c r="AD215" i="6"/>
  <c r="U215" i="6"/>
  <c r="T215" i="6"/>
  <c r="R215" i="6"/>
  <c r="Q215" i="6"/>
  <c r="H215" i="6"/>
  <c r="G215" i="6"/>
  <c r="AE213" i="6"/>
  <c r="AD213" i="6"/>
  <c r="AC213" i="6"/>
  <c r="U213" i="6"/>
  <c r="R213" i="6"/>
  <c r="Q213" i="6"/>
  <c r="P213" i="6"/>
  <c r="H213" i="6"/>
  <c r="AB212" i="6"/>
  <c r="O212" i="6"/>
  <c r="U211" i="6"/>
  <c r="AE209" i="6"/>
  <c r="AD209" i="6"/>
  <c r="AC209" i="6"/>
  <c r="AB209" i="6"/>
  <c r="AB213" i="6" s="1"/>
  <c r="U209" i="6"/>
  <c r="R209" i="6"/>
  <c r="Q209" i="6"/>
  <c r="P209" i="6"/>
  <c r="O209" i="6"/>
  <c r="O213" i="6" s="1"/>
  <c r="H209" i="6"/>
  <c r="AE207" i="6"/>
  <c r="R207" i="6"/>
  <c r="AE203" i="6"/>
  <c r="R203" i="6"/>
  <c r="AE201" i="6"/>
  <c r="U201" i="6"/>
  <c r="T201" i="6"/>
  <c r="R201" i="6"/>
  <c r="H201" i="6"/>
  <c r="U199" i="6"/>
  <c r="AE197" i="6"/>
  <c r="U197" i="6"/>
  <c r="T197" i="6"/>
  <c r="R197" i="6"/>
  <c r="H197" i="6"/>
  <c r="G197" i="6"/>
  <c r="AE177" i="6"/>
  <c r="AD177" i="6"/>
  <c r="AC177" i="6"/>
  <c r="R177" i="6"/>
  <c r="Q177" i="6"/>
  <c r="P177" i="6"/>
  <c r="AB176" i="6"/>
  <c r="O176" i="6"/>
  <c r="AE173" i="6"/>
  <c r="AD173" i="6"/>
  <c r="AC173" i="6"/>
  <c r="AB173" i="6"/>
  <c r="AB177" i="6" s="1"/>
  <c r="R173" i="6"/>
  <c r="Q173" i="6"/>
  <c r="P173" i="6"/>
  <c r="O173" i="6"/>
  <c r="O177" i="6" s="1"/>
  <c r="U171" i="6"/>
  <c r="H171" i="6"/>
  <c r="U169" i="6"/>
  <c r="U167" i="6"/>
  <c r="H167" i="6"/>
  <c r="W159" i="6"/>
  <c r="V159" i="6"/>
  <c r="M159" i="6"/>
  <c r="J159" i="6"/>
  <c r="I159" i="6"/>
  <c r="W158" i="6"/>
  <c r="V158" i="6"/>
  <c r="M158" i="6"/>
  <c r="J158" i="6"/>
  <c r="I158" i="6"/>
  <c r="W157" i="6"/>
  <c r="V157" i="6"/>
  <c r="M157" i="6"/>
  <c r="J157" i="6"/>
  <c r="I157" i="6"/>
  <c r="W156" i="6"/>
  <c r="V156" i="6"/>
  <c r="M156" i="6"/>
  <c r="J156" i="6"/>
  <c r="I156" i="6"/>
  <c r="W155" i="6"/>
  <c r="V155" i="6"/>
  <c r="M155" i="6"/>
  <c r="J155" i="6"/>
  <c r="I155" i="6"/>
  <c r="W154" i="6"/>
  <c r="V154" i="6"/>
  <c r="M154" i="6"/>
  <c r="J154" i="6"/>
  <c r="I154" i="6"/>
  <c r="AC153" i="6"/>
  <c r="P153" i="6"/>
  <c r="AE152" i="6"/>
  <c r="AD152" i="6"/>
  <c r="AB152" i="6"/>
  <c r="W152" i="6"/>
  <c r="V152" i="6"/>
  <c r="U152" i="6"/>
  <c r="T152" i="6"/>
  <c r="R152" i="6"/>
  <c r="Q152" i="6"/>
  <c r="O152" i="6"/>
  <c r="J152" i="6"/>
  <c r="I152" i="6"/>
  <c r="H152" i="6"/>
  <c r="G152" i="6"/>
  <c r="AE151" i="6"/>
  <c r="AD151" i="6"/>
  <c r="W151" i="6"/>
  <c r="V151" i="6"/>
  <c r="R151" i="6"/>
  <c r="Q151" i="6"/>
  <c r="J151" i="6"/>
  <c r="I151" i="6"/>
  <c r="H151" i="6"/>
  <c r="G151" i="6"/>
  <c r="AE150" i="6"/>
  <c r="AD150" i="6"/>
  <c r="W150" i="6"/>
  <c r="V150" i="6"/>
  <c r="U150" i="6"/>
  <c r="T150" i="6"/>
  <c r="R150" i="6"/>
  <c r="Q150" i="6"/>
  <c r="J150" i="6"/>
  <c r="I150" i="6"/>
  <c r="H150" i="6"/>
  <c r="G150" i="6"/>
  <c r="P149" i="6"/>
  <c r="O149" i="6"/>
  <c r="O153" i="6" s="1"/>
  <c r="AE148" i="6"/>
  <c r="AD148" i="6"/>
  <c r="AC148" i="6"/>
  <c r="AC149" i="6" s="1"/>
  <c r="AA148" i="6"/>
  <c r="Z148" i="6"/>
  <c r="W148" i="6"/>
  <c r="V148" i="6"/>
  <c r="U148" i="6"/>
  <c r="T148" i="6"/>
  <c r="R148" i="6"/>
  <c r="Q148" i="6"/>
  <c r="N148" i="6"/>
  <c r="M148" i="6"/>
  <c r="J148" i="6"/>
  <c r="I148" i="6"/>
  <c r="H148" i="6"/>
  <c r="G148" i="6"/>
  <c r="Q147" i="6"/>
  <c r="P147" i="6"/>
  <c r="H147" i="6"/>
  <c r="G147" i="6"/>
  <c r="AB146" i="6"/>
  <c r="O146" i="6"/>
  <c r="AC143" i="6"/>
  <c r="AB143" i="6"/>
  <c r="AB147" i="6" s="1"/>
  <c r="Q143" i="6"/>
  <c r="P143" i="6"/>
  <c r="O143" i="6"/>
  <c r="O147" i="6" s="1"/>
  <c r="N143" i="6"/>
  <c r="H143" i="6"/>
  <c r="G143" i="6"/>
  <c r="AE141" i="6"/>
  <c r="AD141" i="6"/>
  <c r="AC141" i="6"/>
  <c r="R141" i="6"/>
  <c r="Q141" i="6"/>
  <c r="P141" i="6"/>
  <c r="AB140" i="6"/>
  <c r="O140" i="6"/>
  <c r="AE137" i="6"/>
  <c r="AD137" i="6"/>
  <c r="AC137" i="6"/>
  <c r="AB137" i="6"/>
  <c r="AB141" i="6" s="1"/>
  <c r="AA137" i="6"/>
  <c r="Z137" i="6"/>
  <c r="R137" i="6"/>
  <c r="Q137" i="6"/>
  <c r="P137" i="6"/>
  <c r="O137" i="6"/>
  <c r="O141" i="6" s="1"/>
  <c r="N137" i="6"/>
  <c r="AE135" i="6"/>
  <c r="AD135" i="6"/>
  <c r="AC135" i="6"/>
  <c r="R135" i="6"/>
  <c r="Q135" i="6"/>
  <c r="P135" i="6"/>
  <c r="AB134" i="6"/>
  <c r="O134" i="6"/>
  <c r="AE131" i="6"/>
  <c r="AD131" i="6"/>
  <c r="AC131" i="6"/>
  <c r="AB131" i="6"/>
  <c r="AB135" i="6" s="1"/>
  <c r="AA131" i="6"/>
  <c r="Z131" i="6"/>
  <c r="R131" i="6"/>
  <c r="Q131" i="6"/>
  <c r="P131" i="6"/>
  <c r="O131" i="6"/>
  <c r="O135" i="6" s="1"/>
  <c r="N131" i="6"/>
  <c r="AE123" i="6"/>
  <c r="AD123" i="6"/>
  <c r="AC123" i="6"/>
  <c r="U123" i="6"/>
  <c r="T123" i="6"/>
  <c r="R123" i="6"/>
  <c r="Q123" i="6"/>
  <c r="P123" i="6"/>
  <c r="H123" i="6"/>
  <c r="G123" i="6"/>
  <c r="AB122" i="6"/>
  <c r="O122" i="6"/>
  <c r="U121" i="6"/>
  <c r="T121" i="6"/>
  <c r="AE119" i="6"/>
  <c r="AD119" i="6"/>
  <c r="AC119" i="6"/>
  <c r="AB119" i="6"/>
  <c r="AB123" i="6" s="1"/>
  <c r="AA119" i="6"/>
  <c r="Z119" i="6"/>
  <c r="U119" i="6"/>
  <c r="T119" i="6"/>
  <c r="R119" i="6"/>
  <c r="Q119" i="6"/>
  <c r="P119" i="6"/>
  <c r="O119" i="6"/>
  <c r="O123" i="6" s="1"/>
  <c r="N119" i="6"/>
  <c r="H119" i="6"/>
  <c r="G119" i="6"/>
  <c r="AE117" i="6"/>
  <c r="AD117" i="6"/>
  <c r="U117" i="6"/>
  <c r="R117" i="6"/>
  <c r="Q117" i="6"/>
  <c r="H117" i="6"/>
  <c r="AE113" i="6"/>
  <c r="AD113" i="6"/>
  <c r="U113" i="6"/>
  <c r="R113" i="6"/>
  <c r="Q113" i="6"/>
  <c r="H113" i="6"/>
  <c r="AE111" i="6"/>
  <c r="AD111" i="6"/>
  <c r="AC111" i="6"/>
  <c r="R111" i="6"/>
  <c r="Q111" i="6"/>
  <c r="P111" i="6"/>
  <c r="AB110" i="6"/>
  <c r="O110" i="6"/>
  <c r="AE107" i="6"/>
  <c r="AD107" i="6"/>
  <c r="AC107" i="6"/>
  <c r="AB107" i="6"/>
  <c r="AB111" i="6" s="1"/>
  <c r="AA107" i="6"/>
  <c r="R107" i="6"/>
  <c r="Q107" i="6"/>
  <c r="P107" i="6"/>
  <c r="O107" i="6"/>
  <c r="O111" i="6" s="1"/>
  <c r="N107" i="6"/>
  <c r="AE105" i="6"/>
  <c r="AD105" i="6"/>
  <c r="R105" i="6"/>
  <c r="Q105" i="6"/>
  <c r="O105" i="6"/>
  <c r="O104" i="6"/>
  <c r="AE101" i="6"/>
  <c r="AD101" i="6"/>
  <c r="R101" i="6"/>
  <c r="Q101" i="6"/>
  <c r="AE99" i="6"/>
  <c r="AD99" i="6"/>
  <c r="AC99" i="6"/>
  <c r="R99" i="6"/>
  <c r="Q99" i="6"/>
  <c r="P99" i="6"/>
  <c r="AB98" i="6"/>
  <c r="O98" i="6"/>
  <c r="AE95" i="6"/>
  <c r="AD95" i="6"/>
  <c r="AB95" i="6"/>
  <c r="AB99" i="6" s="1"/>
  <c r="AA95" i="6"/>
  <c r="R95" i="6"/>
  <c r="Q95" i="6"/>
  <c r="P95" i="6"/>
  <c r="O95" i="6"/>
  <c r="O99" i="6" s="1"/>
  <c r="N95" i="6"/>
  <c r="AE93" i="6"/>
  <c r="AD93" i="6"/>
  <c r="AC93" i="6"/>
  <c r="U93" i="6"/>
  <c r="R93" i="6"/>
  <c r="Q93" i="6"/>
  <c r="P93" i="6"/>
  <c r="H93" i="6"/>
  <c r="AB92" i="6"/>
  <c r="O92" i="6"/>
  <c r="AE89" i="6"/>
  <c r="AD89" i="6"/>
  <c r="AC89" i="6"/>
  <c r="AB89" i="6"/>
  <c r="AB93" i="6" s="1"/>
  <c r="AA89" i="6"/>
  <c r="Z89" i="6"/>
  <c r="U89" i="6"/>
  <c r="R89" i="6"/>
  <c r="Q89" i="6"/>
  <c r="P89" i="6"/>
  <c r="O89" i="6"/>
  <c r="O93" i="6" s="1"/>
  <c r="N89" i="6"/>
  <c r="H89" i="6"/>
  <c r="AE87" i="6"/>
  <c r="AD87" i="6"/>
  <c r="AC87" i="6"/>
  <c r="R87" i="6"/>
  <c r="Q87" i="6"/>
  <c r="P87" i="6"/>
  <c r="AB86" i="6"/>
  <c r="O86" i="6"/>
  <c r="AE83" i="6"/>
  <c r="AD83" i="6"/>
  <c r="AC83" i="6"/>
  <c r="AB83" i="6"/>
  <c r="AB87" i="6" s="1"/>
  <c r="AA83" i="6"/>
  <c r="Z83" i="6"/>
  <c r="R83" i="6"/>
  <c r="Q83" i="6"/>
  <c r="P83" i="6"/>
  <c r="O83" i="6"/>
  <c r="O87" i="6" s="1"/>
  <c r="N83" i="6"/>
  <c r="AE81" i="6"/>
  <c r="AD81" i="6"/>
  <c r="AC81" i="6"/>
  <c r="U81" i="6"/>
  <c r="T81" i="6"/>
  <c r="R81" i="6"/>
  <c r="Q81" i="6"/>
  <c r="P81" i="6"/>
  <c r="H81" i="6"/>
  <c r="G81" i="6"/>
  <c r="AB80" i="6"/>
  <c r="O80" i="6"/>
  <c r="U79" i="6"/>
  <c r="T79" i="6"/>
  <c r="AE77" i="6"/>
  <c r="AD77" i="6"/>
  <c r="AC77" i="6"/>
  <c r="AB77" i="6"/>
  <c r="AB81" i="6" s="1"/>
  <c r="AA77" i="6"/>
  <c r="Z77" i="6"/>
  <c r="U77" i="6"/>
  <c r="T77" i="6"/>
  <c r="R77" i="6"/>
  <c r="Q77" i="6"/>
  <c r="P77" i="6"/>
  <c r="O77" i="6"/>
  <c r="O81" i="6" s="1"/>
  <c r="N77" i="6"/>
  <c r="H77" i="6"/>
  <c r="G77" i="6"/>
  <c r="AE75" i="6"/>
  <c r="AD75" i="6"/>
  <c r="AC75" i="6"/>
  <c r="R75" i="6"/>
  <c r="Q75" i="6"/>
  <c r="P75" i="6"/>
  <c r="AB74" i="6"/>
  <c r="O74" i="6"/>
  <c r="AE71" i="6"/>
  <c r="AD71" i="6"/>
  <c r="AC71" i="6"/>
  <c r="AB71" i="6"/>
  <c r="AB75" i="6" s="1"/>
  <c r="AA71" i="6"/>
  <c r="R71" i="6"/>
  <c r="Q71" i="6"/>
  <c r="P71" i="6"/>
  <c r="O71" i="6"/>
  <c r="O75" i="6" s="1"/>
  <c r="N71" i="6"/>
  <c r="AE69" i="6"/>
  <c r="AD69" i="6"/>
  <c r="AC69" i="6"/>
  <c r="U69" i="6"/>
  <c r="T69" i="6"/>
  <c r="R69" i="6"/>
  <c r="Q69" i="6"/>
  <c r="P69" i="6"/>
  <c r="H69" i="6"/>
  <c r="G69" i="6"/>
  <c r="AB68" i="6"/>
  <c r="O68" i="6"/>
  <c r="U67" i="6"/>
  <c r="T67" i="6"/>
  <c r="AE65" i="6"/>
  <c r="AD65" i="6"/>
  <c r="AC65" i="6"/>
  <c r="AB65" i="6"/>
  <c r="AB69" i="6" s="1"/>
  <c r="AA65" i="6"/>
  <c r="Z65" i="6"/>
  <c r="U65" i="6"/>
  <c r="T65" i="6"/>
  <c r="R65" i="6"/>
  <c r="Q65" i="6"/>
  <c r="P65" i="6"/>
  <c r="O65" i="6"/>
  <c r="O69" i="6" s="1"/>
  <c r="N65" i="6"/>
  <c r="H65" i="6"/>
  <c r="G65" i="6"/>
  <c r="AE63" i="6"/>
  <c r="AD63" i="6"/>
  <c r="AC63" i="6"/>
  <c r="R63" i="6"/>
  <c r="Q63" i="6"/>
  <c r="P63" i="6"/>
  <c r="AB62" i="6"/>
  <c r="O62" i="6"/>
  <c r="AE59" i="6"/>
  <c r="AD59" i="6"/>
  <c r="AC59" i="6"/>
  <c r="AB59" i="6"/>
  <c r="AB63" i="6" s="1"/>
  <c r="R59" i="6"/>
  <c r="Q59" i="6"/>
  <c r="P59" i="6"/>
  <c r="O59" i="6"/>
  <c r="O63" i="6" s="1"/>
  <c r="AE51" i="6"/>
  <c r="AD51" i="6"/>
  <c r="AC51" i="6"/>
  <c r="U51" i="6"/>
  <c r="R51" i="6"/>
  <c r="Q51" i="6"/>
  <c r="P51" i="6"/>
  <c r="H51" i="6"/>
  <c r="AB50" i="6"/>
  <c r="O50" i="6"/>
  <c r="AE47" i="6"/>
  <c r="AD47" i="6"/>
  <c r="AC47" i="6"/>
  <c r="AB47" i="6"/>
  <c r="AB51" i="6" s="1"/>
  <c r="AA47" i="6"/>
  <c r="Z47" i="6"/>
  <c r="U47" i="6"/>
  <c r="R47" i="6"/>
  <c r="Q47" i="6"/>
  <c r="P47" i="6"/>
  <c r="O47" i="6"/>
  <c r="O51" i="6" s="1"/>
  <c r="N47" i="6"/>
  <c r="H47" i="6"/>
  <c r="AE45" i="6"/>
  <c r="R45" i="6"/>
  <c r="AE41" i="6"/>
  <c r="R41" i="6"/>
  <c r="AE39" i="6"/>
  <c r="AD39" i="6"/>
  <c r="AC39" i="6"/>
  <c r="R39" i="6"/>
  <c r="Q39" i="6"/>
  <c r="P39" i="6"/>
  <c r="AB38" i="6"/>
  <c r="O38" i="6"/>
  <c r="AE35" i="6"/>
  <c r="AD35" i="6"/>
  <c r="AC35" i="6"/>
  <c r="AB35" i="6"/>
  <c r="AB39" i="6" s="1"/>
  <c r="AA35" i="6"/>
  <c r="Z35" i="6"/>
  <c r="R35" i="6"/>
  <c r="Q35" i="6"/>
  <c r="P35" i="6"/>
  <c r="O35" i="6"/>
  <c r="O39" i="6" s="1"/>
  <c r="N35" i="6"/>
  <c r="AE33" i="6"/>
  <c r="AD33" i="6"/>
  <c r="AC33" i="6"/>
  <c r="R33" i="6"/>
  <c r="Q33" i="6"/>
  <c r="P33" i="6"/>
  <c r="AE29" i="6"/>
  <c r="AD29" i="6"/>
  <c r="AC29" i="6"/>
  <c r="R29" i="6"/>
  <c r="Q29" i="6"/>
  <c r="P29" i="6"/>
  <c r="AE27" i="6"/>
  <c r="AD27" i="6"/>
  <c r="AC27" i="6"/>
  <c r="U27" i="6"/>
  <c r="T27" i="6"/>
  <c r="R27" i="6"/>
  <c r="Q27" i="6"/>
  <c r="P27" i="6"/>
  <c r="H27" i="6"/>
  <c r="G27" i="6"/>
  <c r="U25" i="6"/>
  <c r="T25" i="6"/>
  <c r="AE23" i="6"/>
  <c r="AD23" i="6"/>
  <c r="AC23" i="6"/>
  <c r="U23" i="6"/>
  <c r="T23" i="6"/>
  <c r="R23" i="6"/>
  <c r="Q23" i="6"/>
  <c r="P23" i="6"/>
  <c r="H23" i="6"/>
  <c r="G23" i="6"/>
  <c r="AE21" i="6"/>
  <c r="AD21" i="6"/>
  <c r="AC21" i="6"/>
  <c r="U21" i="6"/>
  <c r="T21" i="6"/>
  <c r="R21" i="6"/>
  <c r="Q21" i="6"/>
  <c r="P21" i="6"/>
  <c r="H21" i="6"/>
  <c r="G21" i="6"/>
  <c r="AB20" i="6"/>
  <c r="O20" i="6"/>
  <c r="U19" i="6"/>
  <c r="T19" i="6"/>
  <c r="AE17" i="6"/>
  <c r="AD17" i="6"/>
  <c r="AC17" i="6"/>
  <c r="AB17" i="6"/>
  <c r="AB21" i="6" s="1"/>
  <c r="AA17" i="6"/>
  <c r="Z17" i="6"/>
  <c r="U17" i="6"/>
  <c r="T17" i="6"/>
  <c r="R17" i="6"/>
  <c r="Q17" i="6"/>
  <c r="P17" i="6"/>
  <c r="O17" i="6"/>
  <c r="O21" i="6" s="1"/>
  <c r="N17" i="6"/>
  <c r="H17" i="6"/>
  <c r="G17" i="6"/>
  <c r="W15" i="6"/>
  <c r="V15" i="6"/>
  <c r="M15" i="6"/>
  <c r="J15" i="6"/>
  <c r="I15" i="6"/>
  <c r="W14" i="6"/>
  <c r="V14" i="6"/>
  <c r="M14" i="6"/>
  <c r="J14" i="6"/>
  <c r="I14" i="6"/>
  <c r="W13" i="6"/>
  <c r="V13" i="6"/>
  <c r="M13" i="6"/>
  <c r="J13" i="6"/>
  <c r="I13" i="6"/>
  <c r="W12" i="6"/>
  <c r="V12" i="6"/>
  <c r="M12" i="6"/>
  <c r="J12" i="6"/>
  <c r="I12" i="6"/>
  <c r="W11" i="6"/>
  <c r="V11" i="6"/>
  <c r="M11" i="6"/>
  <c r="J11" i="6"/>
  <c r="I11" i="6"/>
  <c r="W10" i="6"/>
  <c r="V10" i="6"/>
  <c r="M10" i="6"/>
  <c r="J10" i="6"/>
  <c r="I10" i="6"/>
  <c r="G1126" i="5"/>
  <c r="G1125" i="5"/>
  <c r="G1107" i="5"/>
  <c r="G1106" i="5"/>
  <c r="G1105" i="5"/>
  <c r="G1104" i="5"/>
  <c r="G1103" i="5"/>
  <c r="G1102" i="5"/>
  <c r="G1101" i="5"/>
  <c r="G1100" i="5"/>
  <c r="G1099" i="5"/>
  <c r="G1098" i="5"/>
  <c r="G1097" i="5"/>
  <c r="G1096" i="5"/>
  <c r="G1095" i="5"/>
  <c r="G1094" i="5"/>
  <c r="G1093" i="5"/>
  <c r="G1092" i="5"/>
  <c r="G1091" i="5"/>
  <c r="G1090" i="5"/>
  <c r="G1089" i="5"/>
  <c r="G1088" i="5"/>
  <c r="G1087" i="5"/>
  <c r="G1086" i="5"/>
  <c r="G1085" i="5"/>
  <c r="G1084" i="5"/>
  <c r="G1083" i="5"/>
  <c r="G1082" i="5"/>
  <c r="G1081" i="5"/>
  <c r="G1080" i="5"/>
  <c r="G1079" i="5"/>
  <c r="G1078" i="5"/>
  <c r="G1077" i="5"/>
  <c r="G1076" i="5"/>
  <c r="G1075" i="5"/>
  <c r="G1074" i="5"/>
  <c r="G1073" i="5"/>
  <c r="G1072" i="5"/>
  <c r="G1071" i="5"/>
  <c r="G1070" i="5"/>
  <c r="G1069" i="5"/>
  <c r="G1068" i="5"/>
  <c r="G1067" i="5"/>
  <c r="G1066" i="5"/>
  <c r="G1065" i="5"/>
  <c r="G1064" i="5"/>
  <c r="G1063" i="5"/>
  <c r="G1062" i="5"/>
  <c r="G1061" i="5"/>
  <c r="G1060" i="5"/>
  <c r="G1059" i="5"/>
  <c r="G1058" i="5"/>
  <c r="G1057" i="5"/>
  <c r="G1056" i="5"/>
  <c r="G1055" i="5"/>
  <c r="G1054" i="5"/>
  <c r="G1053" i="5"/>
  <c r="G1052" i="5"/>
  <c r="G1051" i="5"/>
  <c r="G1050" i="5"/>
  <c r="G1049" i="5"/>
  <c r="G1048" i="5"/>
  <c r="G1044" i="5"/>
  <c r="G1043" i="5"/>
  <c r="G1042" i="5"/>
  <c r="G1041" i="5"/>
  <c r="G1040" i="5"/>
  <c r="G1039" i="5"/>
  <c r="G1038" i="5"/>
  <c r="G1037" i="5"/>
  <c r="G1036" i="5"/>
  <c r="G1035" i="5"/>
  <c r="G1034" i="5"/>
  <c r="G1033" i="5"/>
  <c r="G1032" i="5"/>
  <c r="G1031" i="5"/>
  <c r="G1030" i="5"/>
  <c r="G1029" i="5"/>
  <c r="G1028" i="5"/>
  <c r="G1027" i="5"/>
  <c r="G1026" i="5"/>
  <c r="G1025" i="5"/>
  <c r="G1024" i="5"/>
  <c r="G1023" i="5"/>
  <c r="G1022" i="5"/>
  <c r="G1021" i="5"/>
  <c r="G1020" i="5"/>
  <c r="G1019" i="5"/>
  <c r="G1018" i="5"/>
  <c r="G1017" i="5"/>
  <c r="G1016" i="5"/>
  <c r="G1015" i="5"/>
  <c r="G1014" i="5"/>
  <c r="G1013" i="5"/>
  <c r="G1012" i="5"/>
  <c r="G1011" i="5"/>
  <c r="G1010" i="5"/>
  <c r="G1009" i="5"/>
  <c r="G1008" i="5"/>
  <c r="G1007" i="5"/>
  <c r="G1006" i="5"/>
  <c r="G1005" i="5"/>
  <c r="G1004" i="5"/>
  <c r="G1003" i="5"/>
  <c r="G1002" i="5"/>
  <c r="G1001" i="5"/>
  <c r="G1000" i="5"/>
  <c r="G999" i="5"/>
  <c r="G998" i="5"/>
  <c r="G997" i="5"/>
  <c r="G996" i="5"/>
  <c r="G995" i="5"/>
  <c r="G994" i="5"/>
  <c r="G993" i="5"/>
  <c r="G992" i="5"/>
  <c r="G991" i="5"/>
  <c r="G990" i="5"/>
  <c r="G986" i="5"/>
  <c r="G985" i="5"/>
  <c r="G984" i="5"/>
  <c r="G983" i="5"/>
  <c r="G982" i="5"/>
  <c r="G981" i="5"/>
  <c r="G980" i="5"/>
  <c r="G979" i="5"/>
  <c r="G978" i="5"/>
  <c r="G977" i="5"/>
  <c r="G976" i="5"/>
  <c r="G975" i="5"/>
  <c r="G974" i="5"/>
  <c r="G973" i="5"/>
  <c r="G972" i="5"/>
  <c r="G971" i="5"/>
  <c r="G970" i="5"/>
  <c r="G969" i="5"/>
  <c r="G968" i="5"/>
  <c r="G967" i="5"/>
  <c r="G966" i="5"/>
  <c r="G965" i="5"/>
  <c r="G964" i="5"/>
  <c r="G963" i="5"/>
  <c r="G962" i="5"/>
  <c r="G961" i="5"/>
  <c r="G960" i="5"/>
  <c r="G959" i="5"/>
  <c r="G958" i="5"/>
  <c r="G957" i="5"/>
  <c r="G956" i="5"/>
  <c r="G955" i="5"/>
  <c r="G954" i="5"/>
  <c r="G953" i="5"/>
  <c r="G952" i="5"/>
  <c r="G951" i="5"/>
  <c r="G950" i="5"/>
  <c r="G949" i="5"/>
  <c r="G948" i="5"/>
  <c r="G947" i="5"/>
  <c r="G946" i="5"/>
  <c r="G945" i="5"/>
  <c r="G944" i="5"/>
  <c r="G943" i="5"/>
  <c r="G942" i="5"/>
  <c r="G941" i="5"/>
  <c r="G940" i="5"/>
  <c r="G939" i="5"/>
  <c r="G938" i="5"/>
  <c r="G937" i="5"/>
  <c r="G936" i="5"/>
  <c r="G935" i="5"/>
  <c r="G934" i="5"/>
  <c r="G933" i="5"/>
  <c r="G932" i="5"/>
  <c r="G931" i="5"/>
  <c r="G930" i="5"/>
  <c r="G929" i="5"/>
  <c r="G928" i="5"/>
  <c r="G927" i="5"/>
  <c r="G926" i="5"/>
  <c r="G925" i="5"/>
  <c r="G921" i="5"/>
  <c r="G920" i="5"/>
  <c r="G919" i="5"/>
  <c r="G918" i="5"/>
  <c r="G917" i="5"/>
  <c r="G916" i="5"/>
  <c r="G915" i="5"/>
  <c r="G914" i="5"/>
  <c r="M269" i="5"/>
  <c r="J269" i="5"/>
  <c r="M268" i="5"/>
  <c r="J268" i="5"/>
  <c r="M267" i="5"/>
  <c r="J267" i="5"/>
  <c r="M266" i="5"/>
  <c r="J266" i="5"/>
  <c r="M265" i="5"/>
  <c r="J265" i="5"/>
  <c r="M264" i="5"/>
  <c r="J264" i="5"/>
  <c r="M263" i="5"/>
  <c r="J263" i="5"/>
  <c r="M262" i="5"/>
  <c r="J262" i="5"/>
  <c r="M249" i="5"/>
  <c r="J249" i="5"/>
  <c r="M248" i="5"/>
  <c r="J248" i="5"/>
  <c r="M247" i="5"/>
  <c r="J247" i="5"/>
  <c r="J246" i="5"/>
  <c r="M243" i="5"/>
  <c r="J243" i="5"/>
  <c r="M242" i="5"/>
  <c r="J242" i="5"/>
  <c r="M241" i="5"/>
  <c r="J241" i="5"/>
  <c r="M240" i="5"/>
  <c r="J240" i="5"/>
  <c r="M239" i="5"/>
  <c r="J239" i="5"/>
  <c r="M238" i="5"/>
  <c r="J238" i="5"/>
  <c r="M237" i="5"/>
  <c r="J237" i="5"/>
  <c r="M236" i="5"/>
  <c r="J236" i="5"/>
  <c r="M235" i="5"/>
  <c r="J235" i="5"/>
  <c r="M234" i="5"/>
  <c r="J234" i="5"/>
  <c r="M233" i="5"/>
  <c r="J233" i="5"/>
  <c r="M232" i="5"/>
  <c r="J232" i="5"/>
  <c r="M231" i="5"/>
  <c r="J231" i="5"/>
  <c r="M230" i="5"/>
  <c r="J230" i="5"/>
  <c r="M229" i="5"/>
  <c r="J229" i="5"/>
  <c r="M228" i="5"/>
  <c r="J228" i="5"/>
  <c r="M227" i="5"/>
  <c r="J227" i="5"/>
  <c r="M226" i="5"/>
  <c r="J226" i="5"/>
  <c r="M225" i="5"/>
  <c r="J225" i="5"/>
  <c r="M224" i="5"/>
  <c r="J224" i="5"/>
  <c r="M223" i="5"/>
  <c r="J223" i="5"/>
  <c r="M222" i="5"/>
  <c r="J222" i="5"/>
  <c r="M221" i="5"/>
  <c r="J221" i="5"/>
  <c r="M220" i="5"/>
  <c r="J220" i="5"/>
  <c r="M219" i="5"/>
  <c r="J219" i="5"/>
  <c r="M218" i="5"/>
  <c r="J218" i="5"/>
  <c r="M217" i="5"/>
  <c r="J217" i="5"/>
  <c r="M216" i="5"/>
  <c r="J216" i="5"/>
  <c r="M215" i="5"/>
  <c r="J215" i="5"/>
  <c r="M214" i="5"/>
  <c r="J214" i="5"/>
  <c r="M213" i="5"/>
  <c r="J213" i="5"/>
  <c r="M212" i="5"/>
  <c r="J212" i="5"/>
  <c r="M211" i="5"/>
  <c r="J211" i="5"/>
  <c r="M210" i="5"/>
  <c r="J210" i="5"/>
  <c r="M209" i="5"/>
  <c r="J209" i="5"/>
  <c r="M208" i="5"/>
  <c r="J208" i="5"/>
  <c r="M207" i="5"/>
  <c r="J207" i="5"/>
  <c r="M206" i="5"/>
  <c r="J206" i="5"/>
  <c r="M205" i="5"/>
  <c r="J205" i="5"/>
  <c r="M204" i="5"/>
  <c r="J204" i="5"/>
  <c r="M203" i="5"/>
  <c r="J203" i="5"/>
  <c r="M202" i="5"/>
  <c r="J202" i="5"/>
  <c r="M201" i="5"/>
  <c r="J201" i="5"/>
  <c r="M200" i="5"/>
  <c r="J200" i="5"/>
  <c r="M199" i="5"/>
  <c r="J199" i="5"/>
  <c r="M198" i="5"/>
  <c r="J198" i="5"/>
  <c r="M197" i="5"/>
  <c r="J197" i="5"/>
  <c r="M196" i="5"/>
  <c r="J196" i="5"/>
  <c r="M192" i="5"/>
  <c r="J192" i="5"/>
  <c r="M191" i="5"/>
  <c r="J191" i="5"/>
  <c r="M190" i="5"/>
  <c r="J190" i="5"/>
  <c r="J189" i="5"/>
  <c r="M188" i="5"/>
  <c r="J188" i="5"/>
  <c r="M187" i="5"/>
  <c r="J187" i="5"/>
  <c r="M186" i="5"/>
  <c r="J186" i="5"/>
  <c r="J185" i="5"/>
  <c r="M184" i="5"/>
  <c r="J184" i="5"/>
  <c r="M183" i="5"/>
  <c r="J183" i="5"/>
  <c r="M182" i="5"/>
  <c r="J182" i="5"/>
  <c r="J181" i="5"/>
  <c r="M180" i="5"/>
  <c r="J180" i="5"/>
  <c r="M179" i="5"/>
  <c r="J179" i="5"/>
  <c r="M178" i="5"/>
  <c r="J178" i="5"/>
  <c r="J177" i="5"/>
  <c r="M176" i="5"/>
  <c r="J176" i="5"/>
  <c r="M175" i="5"/>
  <c r="J175" i="5"/>
  <c r="M174" i="5"/>
  <c r="J174" i="5"/>
  <c r="M172" i="5"/>
  <c r="J172" i="5"/>
  <c r="M171" i="5"/>
  <c r="J171" i="5"/>
  <c r="M170" i="5"/>
  <c r="J170" i="5"/>
  <c r="M168" i="5"/>
  <c r="J168" i="5"/>
  <c r="M167" i="5"/>
  <c r="J167" i="5"/>
  <c r="M166" i="5"/>
  <c r="J166" i="5"/>
  <c r="M164" i="5"/>
  <c r="J164" i="5"/>
  <c r="M163" i="5"/>
  <c r="J163" i="5"/>
  <c r="M162" i="5"/>
  <c r="J162" i="5"/>
  <c r="M160" i="5"/>
  <c r="J160" i="5"/>
  <c r="M159" i="5"/>
  <c r="J159" i="5"/>
  <c r="M158" i="5"/>
  <c r="J158" i="5"/>
  <c r="M156" i="5"/>
  <c r="J156" i="5"/>
  <c r="M155" i="5"/>
  <c r="J155" i="5"/>
  <c r="M154" i="5"/>
  <c r="J154" i="5"/>
  <c r="M152" i="5"/>
  <c r="J152" i="5"/>
  <c r="M151" i="5"/>
  <c r="J151" i="5"/>
  <c r="M150" i="5"/>
  <c r="J150" i="5"/>
  <c r="M149" i="5"/>
  <c r="J149" i="5"/>
  <c r="M145" i="5"/>
  <c r="J145" i="5"/>
  <c r="M144" i="5"/>
  <c r="J144" i="5"/>
  <c r="M143" i="5"/>
  <c r="J143" i="5"/>
  <c r="M142" i="5"/>
  <c r="J142" i="5"/>
  <c r="M141" i="5"/>
  <c r="J141" i="5"/>
  <c r="M140" i="5"/>
  <c r="J140" i="5"/>
  <c r="M139" i="5"/>
  <c r="J139" i="5"/>
  <c r="M138" i="5"/>
  <c r="J138" i="5"/>
  <c r="M137" i="5"/>
  <c r="J137" i="5"/>
  <c r="M136" i="5"/>
  <c r="J136" i="5"/>
  <c r="M135" i="5"/>
  <c r="J135" i="5"/>
  <c r="M134" i="5"/>
  <c r="J134" i="5"/>
  <c r="M133" i="5"/>
  <c r="J133" i="5"/>
  <c r="M132" i="5"/>
  <c r="J132" i="5"/>
  <c r="M131" i="5"/>
  <c r="J131" i="5"/>
  <c r="M130" i="5"/>
  <c r="J130" i="5"/>
  <c r="M129" i="5"/>
  <c r="J129" i="5"/>
  <c r="M128" i="5"/>
  <c r="J128" i="5"/>
  <c r="M127" i="5"/>
  <c r="J127" i="5"/>
  <c r="M126" i="5"/>
  <c r="J126" i="5"/>
  <c r="M125" i="5"/>
  <c r="J125" i="5"/>
  <c r="M124" i="5"/>
  <c r="J124" i="5"/>
  <c r="M123" i="5"/>
  <c r="J123" i="5"/>
  <c r="M122" i="5"/>
  <c r="J122" i="5"/>
  <c r="M121" i="5"/>
  <c r="J121" i="5"/>
  <c r="M120" i="5"/>
  <c r="J120" i="5"/>
  <c r="M119" i="5"/>
  <c r="J119" i="5"/>
  <c r="M118" i="5"/>
  <c r="J118" i="5"/>
  <c r="M117" i="5"/>
  <c r="J117" i="5"/>
  <c r="M116" i="5"/>
  <c r="J116" i="5"/>
  <c r="M115" i="5"/>
  <c r="J115" i="5"/>
  <c r="M114" i="5"/>
  <c r="J114" i="5"/>
  <c r="M113" i="5"/>
  <c r="J113" i="5"/>
  <c r="M112" i="5"/>
  <c r="J112" i="5"/>
  <c r="M111" i="5"/>
  <c r="J111" i="5"/>
  <c r="M110" i="5"/>
  <c r="J110" i="5"/>
  <c r="M109" i="5"/>
  <c r="J109" i="5"/>
  <c r="M108" i="5"/>
  <c r="J108" i="5"/>
  <c r="M107" i="5"/>
  <c r="J107" i="5"/>
  <c r="M106" i="5"/>
  <c r="J106" i="5"/>
  <c r="M105" i="5"/>
  <c r="J105" i="5"/>
  <c r="M104" i="5"/>
  <c r="J104" i="5"/>
  <c r="M103" i="5"/>
  <c r="J103" i="5"/>
  <c r="M102" i="5"/>
  <c r="J102" i="5"/>
  <c r="M101" i="5"/>
  <c r="J101" i="5"/>
  <c r="M100" i="5"/>
  <c r="J100" i="5"/>
  <c r="M99" i="5"/>
  <c r="J99" i="5"/>
  <c r="M98" i="5"/>
  <c r="J98" i="5"/>
  <c r="M92" i="5"/>
  <c r="J92" i="5"/>
  <c r="M91" i="5"/>
  <c r="J91" i="5"/>
  <c r="M90" i="5"/>
  <c r="J90" i="5"/>
  <c r="M89" i="5"/>
  <c r="J89" i="5"/>
  <c r="M88" i="5"/>
  <c r="J88" i="5"/>
  <c r="M87" i="5"/>
  <c r="J87" i="5"/>
  <c r="M86" i="5"/>
  <c r="J86" i="5"/>
  <c r="M85" i="5"/>
  <c r="J85" i="5"/>
  <c r="M84" i="5"/>
  <c r="J84" i="5"/>
  <c r="M83" i="5"/>
  <c r="J83" i="5"/>
  <c r="M82" i="5"/>
  <c r="J82" i="5"/>
  <c r="M81" i="5"/>
  <c r="J81" i="5"/>
  <c r="M80" i="5"/>
  <c r="J80" i="5"/>
  <c r="M79" i="5"/>
  <c r="J79" i="5"/>
  <c r="M78" i="5"/>
  <c r="J78" i="5"/>
  <c r="H74" i="5"/>
  <c r="H73" i="5"/>
  <c r="H72" i="5"/>
  <c r="H71" i="5"/>
  <c r="H70" i="5"/>
  <c r="H69" i="5"/>
  <c r="H68" i="5"/>
  <c r="H67" i="5"/>
  <c r="H66" i="5"/>
  <c r="H65" i="5"/>
  <c r="H64" i="5"/>
  <c r="H63" i="5"/>
  <c r="H59" i="5"/>
  <c r="H58" i="5"/>
  <c r="H57" i="5"/>
  <c r="H56" i="5"/>
  <c r="H55" i="5"/>
  <c r="H54" i="5"/>
  <c r="H53" i="5"/>
  <c r="H52" i="5"/>
  <c r="H51" i="5"/>
  <c r="H50" i="5"/>
  <c r="H49" i="5"/>
  <c r="H48" i="5"/>
  <c r="H44" i="5"/>
  <c r="H43" i="5"/>
  <c r="H42" i="5"/>
  <c r="H41" i="5"/>
  <c r="H40" i="5"/>
  <c r="H39" i="5"/>
  <c r="H38" i="5"/>
  <c r="H37" i="5"/>
  <c r="H36" i="5"/>
  <c r="H35" i="5"/>
  <c r="H34" i="5"/>
  <c r="H33" i="5"/>
  <c r="H29" i="5"/>
  <c r="H28" i="5"/>
  <c r="H27" i="5"/>
  <c r="H26" i="5"/>
  <c r="H25" i="5"/>
  <c r="H24" i="5"/>
  <c r="H23" i="5"/>
  <c r="H22" i="5"/>
  <c r="H21" i="5"/>
  <c r="H20" i="5"/>
  <c r="H19" i="5"/>
  <c r="H18" i="5"/>
  <c r="H14" i="5"/>
  <c r="H13" i="5"/>
  <c r="H12" i="5"/>
  <c r="H11" i="5"/>
  <c r="H10" i="5"/>
  <c r="H9" i="5"/>
  <c r="AD738" i="4"/>
  <c r="AC738" i="4"/>
  <c r="AC737" i="4"/>
  <c r="AB737" i="4"/>
  <c r="AA737" i="4"/>
  <c r="AD736" i="4"/>
  <c r="AC736" i="4"/>
  <c r="AB736" i="4"/>
  <c r="AA736" i="4"/>
  <c r="Z736" i="4"/>
  <c r="Z738" i="4" s="1"/>
  <c r="AE734" i="4"/>
  <c r="AD734" i="4"/>
  <c r="AC734" i="4"/>
  <c r="AA734" i="4"/>
  <c r="Z734" i="4"/>
  <c r="AE733" i="4"/>
  <c r="AD733" i="4"/>
  <c r="AC733" i="4"/>
  <c r="AB733" i="4"/>
  <c r="AA733" i="4"/>
  <c r="Z733" i="4"/>
  <c r="AE732" i="4"/>
  <c r="AD732" i="4"/>
  <c r="AC732" i="4"/>
  <c r="AB732" i="4"/>
  <c r="AA732" i="4"/>
  <c r="Z732" i="4"/>
  <c r="AE731" i="4"/>
  <c r="AD731" i="4"/>
  <c r="AC731" i="4"/>
  <c r="AB731" i="4"/>
  <c r="AA731" i="4"/>
  <c r="Z731" i="4"/>
  <c r="AE730" i="4"/>
  <c r="AD730" i="4"/>
  <c r="AC730" i="4"/>
  <c r="AB730" i="4"/>
  <c r="AA730" i="4"/>
  <c r="Z730" i="4"/>
  <c r="AD735" i="4"/>
  <c r="AB735" i="4"/>
  <c r="AA735" i="4"/>
  <c r="Z735" i="4"/>
  <c r="AB734" i="4"/>
  <c r="AE416" i="4"/>
  <c r="AD416" i="4"/>
  <c r="AC416" i="4"/>
  <c r="AB416" i="4"/>
  <c r="AA416" i="4"/>
  <c r="Z416" i="4"/>
  <c r="AE415" i="4"/>
  <c r="AD415" i="4"/>
  <c r="AC415" i="4"/>
  <c r="AB415" i="4"/>
  <c r="AA415" i="4"/>
  <c r="Z415" i="4"/>
  <c r="AE414" i="4"/>
  <c r="AD414" i="4"/>
  <c r="AC414" i="4"/>
  <c r="AB414" i="4"/>
  <c r="AA414" i="4"/>
  <c r="Z414" i="4"/>
  <c r="AE413" i="4"/>
  <c r="AD413" i="4"/>
  <c r="AC413" i="4"/>
  <c r="AB413" i="4"/>
  <c r="AA413" i="4"/>
  <c r="Z413" i="4"/>
  <c r="AE412" i="4"/>
  <c r="AD412" i="4"/>
  <c r="AC412" i="4"/>
  <c r="AB412" i="4"/>
  <c r="AA412" i="4"/>
  <c r="Z412" i="4"/>
  <c r="AE417" i="4"/>
  <c r="AC417" i="4"/>
  <c r="AB417" i="4"/>
  <c r="AA417" i="4"/>
  <c r="Z417" i="4"/>
  <c r="T47" i="3"/>
  <c r="S46" i="3"/>
  <c r="S45" i="3"/>
  <c r="S44" i="3"/>
  <c r="S43" i="3"/>
  <c r="S42" i="3"/>
  <c r="S41" i="3"/>
  <c r="S40" i="3"/>
  <c r="S39" i="3"/>
  <c r="S38" i="3"/>
  <c r="S37" i="3"/>
  <c r="S36" i="3"/>
  <c r="S35" i="3"/>
  <c r="S34" i="3"/>
  <c r="S33" i="3"/>
  <c r="S32" i="3"/>
  <c r="S31" i="3"/>
  <c r="S30" i="3"/>
  <c r="S29" i="3"/>
  <c r="S28" i="3"/>
  <c r="S27" i="3"/>
  <c r="S26" i="3"/>
  <c r="S25" i="3"/>
  <c r="S23" i="3"/>
  <c r="S22" i="3"/>
  <c r="S21" i="3"/>
  <c r="S20" i="3"/>
  <c r="S19" i="3"/>
  <c r="S18" i="3"/>
  <c r="S17" i="3"/>
  <c r="S16" i="3"/>
  <c r="S14" i="3"/>
  <c r="U13" i="3"/>
  <c r="S13" i="3"/>
  <c r="S12" i="3"/>
  <c r="U11" i="3"/>
  <c r="S11" i="3"/>
  <c r="S10" i="3"/>
  <c r="U9" i="3"/>
  <c r="S9" i="3"/>
  <c r="DN82" i="2"/>
  <c r="DH81" i="2"/>
  <c r="DG81" i="2"/>
  <c r="DF81" i="2"/>
  <c r="DE81" i="2"/>
  <c r="DD81" i="2"/>
  <c r="DC81" i="2"/>
  <c r="DB81" i="2"/>
  <c r="DA81" i="2"/>
  <c r="CZ81" i="2"/>
  <c r="CY81" i="2"/>
  <c r="CX81" i="2"/>
  <c r="CW81" i="2"/>
  <c r="CV81" i="2"/>
  <c r="CT81" i="2"/>
  <c r="CS81" i="2"/>
  <c r="CR81" i="2"/>
  <c r="CQ81" i="2"/>
  <c r="CP81" i="2"/>
  <c r="CO81" i="2"/>
  <c r="CN81" i="2"/>
  <c r="CM81" i="2"/>
  <c r="CL81" i="2"/>
  <c r="CK81" i="2"/>
  <c r="CK82" i="2" s="1"/>
  <c r="CJ81" i="2"/>
  <c r="CD81" i="2"/>
  <c r="CC81" i="2"/>
  <c r="CB81" i="2"/>
  <c r="CA81" i="2"/>
  <c r="BZ81" i="2"/>
  <c r="BY81" i="2"/>
  <c r="BX81" i="2"/>
  <c r="BW81" i="2"/>
  <c r="BV81" i="2"/>
  <c r="BU81" i="2"/>
  <c r="BT81" i="2"/>
  <c r="BS81" i="2"/>
  <c r="BR81" i="2"/>
  <c r="BQ81" i="2"/>
  <c r="BP81" i="2"/>
  <c r="BO81" i="2"/>
  <c r="BN81" i="2"/>
  <c r="BL81" i="2"/>
  <c r="BK81" i="2"/>
  <c r="BJ81" i="2"/>
  <c r="BH81" i="2"/>
  <c r="BG81" i="2"/>
  <c r="BF81" i="2"/>
  <c r="AZ81" i="2"/>
  <c r="AY81" i="2"/>
  <c r="AX81" i="2"/>
  <c r="AW81" i="2"/>
  <c r="AV81" i="2"/>
  <c r="AU81" i="2"/>
  <c r="AT81" i="2"/>
  <c r="AS81" i="2"/>
  <c r="AR81" i="2"/>
  <c r="AQ81" i="2"/>
  <c r="AP81" i="2"/>
  <c r="AO81" i="2"/>
  <c r="AN81" i="2"/>
  <c r="AM81" i="2"/>
  <c r="AL81" i="2"/>
  <c r="AJ81" i="2"/>
  <c r="AH81" i="2"/>
  <c r="AF81" i="2"/>
  <c r="AD81" i="2"/>
  <c r="AC81" i="2"/>
  <c r="AB81" i="2"/>
  <c r="K722" i="6" s="1"/>
  <c r="V81" i="2"/>
  <c r="U81" i="2"/>
  <c r="T81" i="2"/>
  <c r="S81" i="2"/>
  <c r="R81" i="2"/>
  <c r="Q81" i="2"/>
  <c r="P81" i="2"/>
  <c r="O81" i="2"/>
  <c r="N81" i="2"/>
  <c r="M81" i="2"/>
  <c r="L81" i="2"/>
  <c r="K81" i="2"/>
  <c r="J81" i="2"/>
  <c r="I81" i="2"/>
  <c r="H81" i="2"/>
  <c r="DH80" i="2"/>
  <c r="DF80" i="2"/>
  <c r="DD80" i="2"/>
  <c r="DC80" i="2"/>
  <c r="DB80" i="2"/>
  <c r="DA80" i="2"/>
  <c r="CZ80" i="2"/>
  <c r="CY80" i="2"/>
  <c r="CX80" i="2"/>
  <c r="CV80" i="2"/>
  <c r="CV82" i="2" s="1"/>
  <c r="CU80" i="2"/>
  <c r="CT80" i="2"/>
  <c r="CR80" i="2"/>
  <c r="CP80" i="2"/>
  <c r="CO80" i="2"/>
  <c r="CN80" i="2"/>
  <c r="CL80" i="2"/>
  <c r="CJ80" i="2"/>
  <c r="CD80" i="2"/>
  <c r="CB80" i="2"/>
  <c r="BZ80" i="2"/>
  <c r="BY80" i="2"/>
  <c r="BX80" i="2"/>
  <c r="BW80" i="2"/>
  <c r="BV80" i="2"/>
  <c r="BU80" i="2"/>
  <c r="BT80" i="2"/>
  <c r="BS80" i="2"/>
  <c r="BR80" i="2"/>
  <c r="BQ80" i="2"/>
  <c r="BP80" i="2"/>
  <c r="BO80" i="2"/>
  <c r="BN80" i="2"/>
  <c r="BM80" i="2"/>
  <c r="BL80" i="2"/>
  <c r="BJ80" i="2"/>
  <c r="BH80" i="2"/>
  <c r="BG80" i="2"/>
  <c r="BF80" i="2"/>
  <c r="AZ80" i="2"/>
  <c r="AX80" i="2"/>
  <c r="AT80" i="2"/>
  <c r="AR80" i="2"/>
  <c r="AP80" i="2"/>
  <c r="AO80" i="2"/>
  <c r="AN80" i="2"/>
  <c r="AM80" i="2"/>
  <c r="AL80" i="2"/>
  <c r="AJ80" i="2"/>
  <c r="AH80" i="2"/>
  <c r="AF80" i="2"/>
  <c r="AE80" i="2"/>
  <c r="AD80" i="2"/>
  <c r="AC80" i="2"/>
  <c r="AB80" i="2"/>
  <c r="K721" i="6" s="1"/>
  <c r="V80" i="2"/>
  <c r="U80" i="2"/>
  <c r="T80" i="2"/>
  <c r="S80" i="2"/>
  <c r="R80" i="2"/>
  <c r="Q80" i="2"/>
  <c r="P80" i="2"/>
  <c r="O80" i="2"/>
  <c r="N80" i="2"/>
  <c r="M80" i="2"/>
  <c r="L80" i="2"/>
  <c r="K80" i="2"/>
  <c r="J80" i="2"/>
  <c r="I80" i="2"/>
  <c r="H80" i="2"/>
  <c r="E729" i="4"/>
  <c r="E735" i="4" s="1"/>
  <c r="DH79" i="2"/>
  <c r="DG79" i="2"/>
  <c r="DF79" i="2"/>
  <c r="DE79" i="2"/>
  <c r="DD79" i="2"/>
  <c r="DC79" i="2"/>
  <c r="DB79" i="2"/>
  <c r="DA79" i="2"/>
  <c r="CZ79" i="2"/>
  <c r="CY79" i="2"/>
  <c r="CX79" i="2"/>
  <c r="CV79" i="2"/>
  <c r="CT79" i="2"/>
  <c r="CS79" i="2"/>
  <c r="CR79" i="2"/>
  <c r="CP79" i="2"/>
  <c r="CO79" i="2"/>
  <c r="CN79" i="2"/>
  <c r="CM79" i="2"/>
  <c r="CL79" i="2"/>
  <c r="CK79" i="2"/>
  <c r="CJ79" i="2"/>
  <c r="CD79" i="2"/>
  <c r="CC79" i="2"/>
  <c r="CB79" i="2"/>
  <c r="CA79" i="2"/>
  <c r="BZ79" i="2"/>
  <c r="BY79" i="2"/>
  <c r="BX79" i="2"/>
  <c r="BW79" i="2"/>
  <c r="BV79" i="2"/>
  <c r="BU79" i="2"/>
  <c r="BT79" i="2"/>
  <c r="BS79" i="2"/>
  <c r="BR79" i="2"/>
  <c r="BQ79" i="2"/>
  <c r="BP79" i="2"/>
  <c r="BO79" i="2"/>
  <c r="BN79" i="2"/>
  <c r="BM79" i="2"/>
  <c r="BL79" i="2"/>
  <c r="BK79" i="2"/>
  <c r="BJ79" i="2"/>
  <c r="BH79" i="2"/>
  <c r="BG79" i="2"/>
  <c r="BF79" i="2"/>
  <c r="AZ79" i="2"/>
  <c r="AX79" i="2"/>
  <c r="AW79" i="2"/>
  <c r="AU79" i="2"/>
  <c r="AT79" i="2"/>
  <c r="AS79" i="2"/>
  <c r="AR79" i="2"/>
  <c r="AQ79" i="2"/>
  <c r="AP79" i="2"/>
  <c r="AO79" i="2"/>
  <c r="AN79" i="2"/>
  <c r="AM79" i="2"/>
  <c r="AL79" i="2"/>
  <c r="AK79" i="2"/>
  <c r="AJ79" i="2"/>
  <c r="AH79" i="2"/>
  <c r="AF79" i="2"/>
  <c r="AD79" i="2"/>
  <c r="AC79" i="2"/>
  <c r="AB79" i="2"/>
  <c r="K720" i="6" s="1"/>
  <c r="V79" i="2"/>
  <c r="U79" i="2"/>
  <c r="T79" i="2"/>
  <c r="S79" i="2"/>
  <c r="R79" i="2"/>
  <c r="Q79" i="2"/>
  <c r="P79" i="2"/>
  <c r="O79" i="2"/>
  <c r="N79" i="2"/>
  <c r="M79" i="2"/>
  <c r="L79" i="2"/>
  <c r="K79" i="2"/>
  <c r="J79" i="2"/>
  <c r="I79" i="2"/>
  <c r="H79" i="2"/>
  <c r="EP78" i="2"/>
  <c r="EO78" i="2"/>
  <c r="EM78" i="2"/>
  <c r="DH78" i="2"/>
  <c r="DG78" i="2"/>
  <c r="DF78" i="2"/>
  <c r="DE78" i="2"/>
  <c r="DD78" i="2"/>
  <c r="DC78" i="2"/>
  <c r="DB78" i="2"/>
  <c r="DA78" i="2"/>
  <c r="CZ78" i="2"/>
  <c r="CY78" i="2"/>
  <c r="CX78" i="2"/>
  <c r="CW78" i="2"/>
  <c r="CV78" i="2"/>
  <c r="CU78" i="2"/>
  <c r="CT78" i="2"/>
  <c r="CS78" i="2"/>
  <c r="CR78" i="2"/>
  <c r="CQ78" i="2"/>
  <c r="CP78" i="2"/>
  <c r="CO78" i="2"/>
  <c r="CN78" i="2"/>
  <c r="CM78" i="2"/>
  <c r="CL78" i="2"/>
  <c r="CK78" i="2"/>
  <c r="CD78" i="2"/>
  <c r="CC78" i="2"/>
  <c r="CB78" i="2"/>
  <c r="CA78" i="2"/>
  <c r="BZ78" i="2"/>
  <c r="BY78" i="2"/>
  <c r="BX78" i="2"/>
  <c r="BW78" i="2"/>
  <c r="BV78" i="2"/>
  <c r="BU78" i="2"/>
  <c r="BT78" i="2"/>
  <c r="BS78" i="2"/>
  <c r="BR78" i="2"/>
  <c r="BQ78" i="2"/>
  <c r="BP78" i="2"/>
  <c r="BO78" i="2"/>
  <c r="BN78" i="2"/>
  <c r="BM78" i="2"/>
  <c r="BL78" i="2"/>
  <c r="BK78" i="2"/>
  <c r="BJ78" i="2"/>
  <c r="BI78" i="2"/>
  <c r="BH78" i="2"/>
  <c r="BG78" i="2"/>
  <c r="BC78" i="2"/>
  <c r="BB78" i="2"/>
  <c r="AA78" i="2"/>
  <c r="Z78" i="2"/>
  <c r="Y78" i="2"/>
  <c r="X78" i="2"/>
  <c r="W78" i="2"/>
  <c r="EP77" i="2"/>
  <c r="EM77" i="2"/>
  <c r="DK77" i="2"/>
  <c r="CU77" i="2"/>
  <c r="CU79" i="2" s="1"/>
  <c r="CI77" i="2"/>
  <c r="CG77" i="2"/>
  <c r="BI77" i="2"/>
  <c r="BI81" i="2" s="1"/>
  <c r="BC77" i="2"/>
  <c r="AI77" i="2"/>
  <c r="AG77" i="2"/>
  <c r="AE77" i="2"/>
  <c r="AE79" i="2" s="1"/>
  <c r="AA77" i="2"/>
  <c r="Z77" i="2"/>
  <c r="Y77" i="2"/>
  <c r="X77" i="2"/>
  <c r="W77" i="2"/>
  <c r="EP76" i="2"/>
  <c r="EO76" i="2"/>
  <c r="EM76" i="2"/>
  <c r="DM76" i="2"/>
  <c r="DK76" i="2"/>
  <c r="DJ76" i="2"/>
  <c r="DI76" i="2"/>
  <c r="DL76" i="2" s="1"/>
  <c r="CI76" i="2"/>
  <c r="CH76" i="2"/>
  <c r="CG76" i="2"/>
  <c r="CF76" i="2"/>
  <c r="BE76" i="2"/>
  <c r="BD76" i="2"/>
  <c r="BC76" i="2"/>
  <c r="BB76" i="2"/>
  <c r="AA76" i="2"/>
  <c r="Z76" i="2"/>
  <c r="Y76" i="2"/>
  <c r="X76" i="2"/>
  <c r="W76" i="2"/>
  <c r="EO75" i="2"/>
  <c r="ES75" i="2" s="1"/>
  <c r="DM75" i="2"/>
  <c r="DK75" i="2"/>
  <c r="DE75" i="2"/>
  <c r="CS75" i="2"/>
  <c r="CI75" i="2"/>
  <c r="CG75" i="2"/>
  <c r="CC75" i="2"/>
  <c r="AV75" i="2"/>
  <c r="BE75" i="2" s="1"/>
  <c r="AI75" i="2"/>
  <c r="AG75" i="2"/>
  <c r="AA75" i="2"/>
  <c r="Z75" i="2"/>
  <c r="Y75" i="2"/>
  <c r="X75" i="2"/>
  <c r="W75" i="2"/>
  <c r="EP74" i="2"/>
  <c r="EO74" i="2"/>
  <c r="EM74" i="2"/>
  <c r="DM74" i="2"/>
  <c r="DM79" i="2" s="1"/>
  <c r="DK74" i="2"/>
  <c r="CW74" i="2"/>
  <c r="CQ74" i="2"/>
  <c r="CI74" i="2"/>
  <c r="CG74" i="2"/>
  <c r="BI74" i="2"/>
  <c r="BI80" i="2" s="1"/>
  <c r="AY74" i="2"/>
  <c r="AY80" i="2" s="1"/>
  <c r="AV74" i="2"/>
  <c r="AI74" i="2"/>
  <c r="AG74" i="2"/>
  <c r="AA74" i="2"/>
  <c r="Z74" i="2"/>
  <c r="Y74" i="2"/>
  <c r="X74" i="2"/>
  <c r="W74" i="2"/>
  <c r="EP73" i="2"/>
  <c r="EO73" i="2"/>
  <c r="DM73" i="2"/>
  <c r="DK73" i="2"/>
  <c r="DJ73" i="2"/>
  <c r="DI73" i="2"/>
  <c r="DL73" i="2" s="1"/>
  <c r="CI73" i="2"/>
  <c r="CI78" i="2" s="1"/>
  <c r="CG73" i="2"/>
  <c r="CF73" i="2"/>
  <c r="CE73" i="2"/>
  <c r="CE78" i="2" s="1"/>
  <c r="BE73" i="2"/>
  <c r="BE78" i="2" s="1"/>
  <c r="BC73" i="2"/>
  <c r="BB73" i="2"/>
  <c r="BA73" i="2"/>
  <c r="AA73" i="2"/>
  <c r="Z73" i="2"/>
  <c r="Y73" i="2"/>
  <c r="X73" i="2"/>
  <c r="W73" i="2"/>
  <c r="EM72" i="2"/>
  <c r="DN72" i="2"/>
  <c r="DH72" i="2"/>
  <c r="DG72" i="2"/>
  <c r="DF72" i="2"/>
  <c r="DE72" i="2"/>
  <c r="DD72" i="2"/>
  <c r="DC72" i="2"/>
  <c r="DB72" i="2"/>
  <c r="DA72" i="2"/>
  <c r="CZ72" i="2"/>
  <c r="CY72" i="2"/>
  <c r="CX72" i="2"/>
  <c r="CW72" i="2"/>
  <c r="CV72" i="2"/>
  <c r="CU72" i="2"/>
  <c r="CT72" i="2"/>
  <c r="CS72" i="2"/>
  <c r="CR72" i="2"/>
  <c r="CQ72" i="2"/>
  <c r="CP72" i="2"/>
  <c r="CO72" i="2"/>
  <c r="CN72" i="2"/>
  <c r="CM72" i="2"/>
  <c r="CL72" i="2"/>
  <c r="CK72" i="2"/>
  <c r="CJ72" i="2"/>
  <c r="CD72" i="2"/>
  <c r="CC72" i="2"/>
  <c r="CB72" i="2"/>
  <c r="CA72" i="2"/>
  <c r="BZ72" i="2"/>
  <c r="BY72" i="2"/>
  <c r="BX72" i="2"/>
  <c r="BW72" i="2"/>
  <c r="BV72" i="2"/>
  <c r="BU72" i="2"/>
  <c r="BT72" i="2"/>
  <c r="BS72" i="2"/>
  <c r="BR72" i="2"/>
  <c r="BQ72" i="2"/>
  <c r="BP72" i="2"/>
  <c r="BO72" i="2"/>
  <c r="BN72" i="2"/>
  <c r="BM72" i="2"/>
  <c r="BL72" i="2"/>
  <c r="BK72" i="2"/>
  <c r="BJ72" i="2"/>
  <c r="BI72" i="2"/>
  <c r="BH72" i="2"/>
  <c r="BG72" i="2"/>
  <c r="BF72" i="2"/>
  <c r="AZ72" i="2"/>
  <c r="AY72" i="2"/>
  <c r="AX72" i="2"/>
  <c r="AW72" i="2"/>
  <c r="AV72" i="2"/>
  <c r="AU72" i="2"/>
  <c r="AT72" i="2"/>
  <c r="AS72" i="2"/>
  <c r="AR72" i="2"/>
  <c r="AQ72" i="2"/>
  <c r="AP72" i="2"/>
  <c r="AO72" i="2"/>
  <c r="AN72" i="2"/>
  <c r="AM72" i="2"/>
  <c r="AL72" i="2"/>
  <c r="AJ72" i="2"/>
  <c r="AI72" i="2"/>
  <c r="AH72" i="2"/>
  <c r="AF72" i="2"/>
  <c r="AD72" i="2"/>
  <c r="AC72" i="2"/>
  <c r="AB72" i="2"/>
  <c r="K713" i="6" s="1"/>
  <c r="V72" i="2"/>
  <c r="U72" i="2"/>
  <c r="T72" i="2"/>
  <c r="S72" i="2"/>
  <c r="R72" i="2"/>
  <c r="Q72" i="2"/>
  <c r="P72" i="2"/>
  <c r="O72" i="2"/>
  <c r="N72" i="2"/>
  <c r="M72" i="2"/>
  <c r="L72" i="2"/>
  <c r="K72" i="2"/>
  <c r="J72" i="2"/>
  <c r="I72" i="2"/>
  <c r="H72" i="2"/>
  <c r="EP71" i="2"/>
  <c r="ET71" i="2" s="1"/>
  <c r="EO71" i="2"/>
  <c r="EN71" i="2"/>
  <c r="EM71" i="2"/>
  <c r="DJ71" i="2"/>
  <c r="DL71" i="2" s="1"/>
  <c r="DI71" i="2"/>
  <c r="CI71" i="2"/>
  <c r="CG71" i="2"/>
  <c r="CF71" i="2"/>
  <c r="BC71" i="2"/>
  <c r="BB71" i="2"/>
  <c r="AA71" i="2"/>
  <c r="Z71" i="2"/>
  <c r="Y71" i="2"/>
  <c r="X71" i="2"/>
  <c r="W71" i="2"/>
  <c r="EP70" i="2"/>
  <c r="ET70" i="2" s="1"/>
  <c r="EO70" i="2"/>
  <c r="EN70" i="2"/>
  <c r="EN81" i="2" s="1"/>
  <c r="EM70" i="2"/>
  <c r="DJ70" i="2"/>
  <c r="DL70" i="2" s="1"/>
  <c r="DI70" i="2"/>
  <c r="DK70" i="2" s="1"/>
  <c r="CI70" i="2"/>
  <c r="CG70" i="2"/>
  <c r="CF70" i="2"/>
  <c r="CE70" i="2"/>
  <c r="CH70" i="2" s="1"/>
  <c r="BE70" i="2"/>
  <c r="BC70" i="2"/>
  <c r="AK70" i="2"/>
  <c r="AG70" i="2"/>
  <c r="AG72" i="2" s="1"/>
  <c r="AE70" i="2"/>
  <c r="AA70" i="2"/>
  <c r="Z70" i="2"/>
  <c r="Y70" i="2"/>
  <c r="X70" i="2"/>
  <c r="W70" i="2"/>
  <c r="EP69" i="2"/>
  <c r="ET69" i="2" s="1"/>
  <c r="EO69" i="2"/>
  <c r="ES69" i="2" s="1"/>
  <c r="EN69" i="2"/>
  <c r="EM69" i="2"/>
  <c r="DJ69" i="2"/>
  <c r="DL69" i="2" s="1"/>
  <c r="DI69" i="2"/>
  <c r="DK69" i="2" s="1"/>
  <c r="CI69" i="2"/>
  <c r="CH69" i="2"/>
  <c r="CG69" i="2"/>
  <c r="CF69" i="2"/>
  <c r="CE69" i="2"/>
  <c r="BE69" i="2"/>
  <c r="BD69" i="2"/>
  <c r="BC69" i="2"/>
  <c r="BB69" i="2"/>
  <c r="BA69" i="2"/>
  <c r="AA69" i="2"/>
  <c r="Z69" i="2"/>
  <c r="Y69" i="2"/>
  <c r="X69" i="2"/>
  <c r="W69" i="2"/>
  <c r="EP68" i="2"/>
  <c r="ET68" i="2" s="1"/>
  <c r="EO68" i="2"/>
  <c r="EN68" i="2"/>
  <c r="EM68" i="2"/>
  <c r="DM68" i="2"/>
  <c r="DL68" i="2"/>
  <c r="DK68" i="2"/>
  <c r="DJ68" i="2"/>
  <c r="DI68" i="2"/>
  <c r="CI68" i="2"/>
  <c r="CH68" i="2"/>
  <c r="CG68" i="2"/>
  <c r="CF68" i="2"/>
  <c r="CE68" i="2"/>
  <c r="BE68" i="2"/>
  <c r="BD68" i="2"/>
  <c r="BC68" i="2"/>
  <c r="BB68" i="2"/>
  <c r="BA68" i="2"/>
  <c r="AA68" i="2"/>
  <c r="Z68" i="2"/>
  <c r="Y68" i="2"/>
  <c r="X68" i="2"/>
  <c r="W68" i="2"/>
  <c r="EP67" i="2"/>
  <c r="EO67" i="2"/>
  <c r="EN67" i="2"/>
  <c r="EM67" i="2"/>
  <c r="DM67" i="2"/>
  <c r="DL67" i="2"/>
  <c r="DK67" i="2"/>
  <c r="DJ67" i="2"/>
  <c r="DI67" i="2"/>
  <c r="CI67" i="2"/>
  <c r="CH67" i="2"/>
  <c r="CG67" i="2"/>
  <c r="CF67" i="2"/>
  <c r="CE67" i="2"/>
  <c r="BE67" i="2"/>
  <c r="BD67" i="2"/>
  <c r="BC67" i="2"/>
  <c r="BB67" i="2"/>
  <c r="BA67" i="2"/>
  <c r="AA67" i="2"/>
  <c r="Z67" i="2"/>
  <c r="Y67" i="2"/>
  <c r="X67" i="2"/>
  <c r="W67" i="2"/>
  <c r="EP66" i="2"/>
  <c r="ET66" i="2" s="1"/>
  <c r="EO66" i="2"/>
  <c r="EN66" i="2"/>
  <c r="EM66" i="2"/>
  <c r="DM66" i="2"/>
  <c r="DL66" i="2"/>
  <c r="DK66" i="2"/>
  <c r="DJ66" i="2"/>
  <c r="DI66" i="2"/>
  <c r="CI66" i="2"/>
  <c r="CG66" i="2"/>
  <c r="CF66" i="2"/>
  <c r="CE66" i="2"/>
  <c r="CH66" i="2" s="1"/>
  <c r="BE66" i="2"/>
  <c r="BC66" i="2"/>
  <c r="BB66" i="2"/>
  <c r="BA66" i="2"/>
  <c r="AA66" i="2"/>
  <c r="Z66" i="2"/>
  <c r="Y66" i="2"/>
  <c r="X66" i="2"/>
  <c r="W66" i="2"/>
  <c r="E681" i="4"/>
  <c r="E711" i="4" s="1"/>
  <c r="DK65" i="2"/>
  <c r="DH65" i="2"/>
  <c r="DG65" i="2"/>
  <c r="DF65" i="2"/>
  <c r="DE65" i="2"/>
  <c r="DD65" i="2"/>
  <c r="DC65" i="2"/>
  <c r="DB65" i="2"/>
  <c r="DA65" i="2"/>
  <c r="CZ65" i="2"/>
  <c r="CY65" i="2"/>
  <c r="CX65" i="2"/>
  <c r="CW65" i="2"/>
  <c r="CV65" i="2"/>
  <c r="CU65" i="2"/>
  <c r="CT65" i="2"/>
  <c r="CS65" i="2"/>
  <c r="CR65" i="2"/>
  <c r="CQ65" i="2"/>
  <c r="CP65" i="2"/>
  <c r="CO65" i="2"/>
  <c r="CN65" i="2"/>
  <c r="CM65" i="2"/>
  <c r="CL65" i="2"/>
  <c r="CK65" i="2"/>
  <c r="CJ65" i="2"/>
  <c r="CD65" i="2"/>
  <c r="CC65" i="2"/>
  <c r="CB65" i="2"/>
  <c r="CA65" i="2"/>
  <c r="BZ65" i="2"/>
  <c r="BY65" i="2"/>
  <c r="BX65" i="2"/>
  <c r="BW65" i="2"/>
  <c r="BV65" i="2"/>
  <c r="BU65" i="2"/>
  <c r="BT65" i="2"/>
  <c r="BS65" i="2"/>
  <c r="BR65" i="2"/>
  <c r="BQ65" i="2"/>
  <c r="BP65" i="2"/>
  <c r="BO65" i="2"/>
  <c r="BN65" i="2"/>
  <c r="BL65" i="2"/>
  <c r="BK65" i="2"/>
  <c r="BJ65" i="2"/>
  <c r="BI65" i="2"/>
  <c r="BH65" i="2"/>
  <c r="BG65" i="2"/>
  <c r="BF65" i="2"/>
  <c r="AZ65" i="2"/>
  <c r="AY65" i="2"/>
  <c r="AX65" i="2"/>
  <c r="AW65" i="2"/>
  <c r="AV65" i="2"/>
  <c r="AU65" i="2"/>
  <c r="AT65" i="2"/>
  <c r="AS65" i="2"/>
  <c r="AR65" i="2"/>
  <c r="AP65" i="2"/>
  <c r="AO65" i="2"/>
  <c r="AN65" i="2"/>
  <c r="AM65" i="2"/>
  <c r="AL65" i="2"/>
  <c r="AJ65" i="2"/>
  <c r="AH65" i="2"/>
  <c r="AF65" i="2"/>
  <c r="AD65" i="2"/>
  <c r="AC65" i="2"/>
  <c r="AB65" i="2"/>
  <c r="K706" i="6" s="1"/>
  <c r="V65" i="2"/>
  <c r="U65" i="2"/>
  <c r="T65" i="2"/>
  <c r="S65" i="2"/>
  <c r="R65" i="2"/>
  <c r="Q65" i="2"/>
  <c r="P65" i="2"/>
  <c r="O65" i="2"/>
  <c r="N65" i="2"/>
  <c r="M65" i="2"/>
  <c r="L65" i="2"/>
  <c r="K65" i="2"/>
  <c r="J65" i="2"/>
  <c r="I65" i="2"/>
  <c r="H65" i="2"/>
  <c r="EP64" i="2"/>
  <c r="EO64" i="2"/>
  <c r="EM64" i="2"/>
  <c r="DH64" i="2"/>
  <c r="DG64" i="2"/>
  <c r="DF64" i="2"/>
  <c r="DE64" i="2"/>
  <c r="DD64" i="2"/>
  <c r="DC64" i="2"/>
  <c r="DB64" i="2"/>
  <c r="DA64" i="2"/>
  <c r="CZ64" i="2"/>
  <c r="CY64" i="2"/>
  <c r="CX64" i="2"/>
  <c r="CW64" i="2"/>
  <c r="CV64" i="2"/>
  <c r="CU64" i="2"/>
  <c r="CT64" i="2"/>
  <c r="CS64" i="2"/>
  <c r="CR64" i="2"/>
  <c r="CQ64" i="2"/>
  <c r="CP64" i="2"/>
  <c r="CO64" i="2"/>
  <c r="CN64" i="2"/>
  <c r="CM64" i="2"/>
  <c r="CL64" i="2"/>
  <c r="CK64" i="2"/>
  <c r="CD64" i="2"/>
  <c r="CC64" i="2"/>
  <c r="CB64" i="2"/>
  <c r="CA64" i="2"/>
  <c r="BZ64" i="2"/>
  <c r="BY64" i="2"/>
  <c r="BX64" i="2"/>
  <c r="BW64" i="2"/>
  <c r="BV64" i="2"/>
  <c r="BU64" i="2"/>
  <c r="BT64" i="2"/>
  <c r="BS64" i="2"/>
  <c r="BR64" i="2"/>
  <c r="BQ64" i="2"/>
  <c r="BP64" i="2"/>
  <c r="BO64" i="2"/>
  <c r="BN64" i="2"/>
  <c r="BM64" i="2"/>
  <c r="BL64" i="2"/>
  <c r="BK64" i="2"/>
  <c r="BJ64" i="2"/>
  <c r="BI64" i="2"/>
  <c r="BH64" i="2"/>
  <c r="BG64" i="2"/>
  <c r="BE64" i="2"/>
  <c r="BC64" i="2"/>
  <c r="BB64" i="2"/>
  <c r="AA64" i="2"/>
  <c r="Z64" i="2"/>
  <c r="Y64" i="2"/>
  <c r="X64" i="2"/>
  <c r="W64" i="2"/>
  <c r="EP63" i="2"/>
  <c r="EO63" i="2"/>
  <c r="EM63" i="2"/>
  <c r="EM65" i="2" s="1"/>
  <c r="DM63" i="2"/>
  <c r="DJ63" i="2"/>
  <c r="DI63" i="2"/>
  <c r="DL63" i="2" s="1"/>
  <c r="CI63" i="2"/>
  <c r="CG63" i="2"/>
  <c r="BM63" i="2"/>
  <c r="BM81" i="2" s="1"/>
  <c r="BE63" i="2"/>
  <c r="BC63" i="2"/>
  <c r="AK63" i="2"/>
  <c r="AI63" i="2"/>
  <c r="AG63" i="2"/>
  <c r="AE63" i="2"/>
  <c r="AE65" i="2" s="1"/>
  <c r="AA63" i="2"/>
  <c r="Z63" i="2"/>
  <c r="Y63" i="2"/>
  <c r="X63" i="2"/>
  <c r="W63" i="2"/>
  <c r="EP62" i="2"/>
  <c r="EO62" i="2"/>
  <c r="EM62" i="2"/>
  <c r="DM62" i="2"/>
  <c r="DJ62" i="2"/>
  <c r="DI62" i="2"/>
  <c r="DL62" i="2" s="1"/>
  <c r="CI62" i="2"/>
  <c r="CH62" i="2"/>
  <c r="CG62" i="2"/>
  <c r="CF62" i="2"/>
  <c r="BE62" i="2"/>
  <c r="BD62" i="2"/>
  <c r="BC62" i="2"/>
  <c r="BB62" i="2"/>
  <c r="AA62" i="2"/>
  <c r="Z62" i="2"/>
  <c r="Y62" i="2"/>
  <c r="X62" i="2"/>
  <c r="W62" i="2"/>
  <c r="EO61" i="2"/>
  <c r="ES61" i="2" s="1"/>
  <c r="DM61" i="2"/>
  <c r="DJ61" i="2"/>
  <c r="DI61" i="2"/>
  <c r="CC61" i="2"/>
  <c r="BL61" i="2"/>
  <c r="CG61" i="2" s="1"/>
  <c r="BE61" i="2"/>
  <c r="BC61" i="2"/>
  <c r="AW61" i="2"/>
  <c r="AO61" i="2"/>
  <c r="AI61" i="2"/>
  <c r="AA61" i="2"/>
  <c r="Z61" i="2"/>
  <c r="Y61" i="2"/>
  <c r="X61" i="2"/>
  <c r="W61" i="2"/>
  <c r="EP60" i="2"/>
  <c r="ET60" i="2" s="1"/>
  <c r="EO60" i="2"/>
  <c r="DM60" i="2"/>
  <c r="DJ60" i="2"/>
  <c r="DI60" i="2"/>
  <c r="CI60" i="2"/>
  <c r="CG60" i="2"/>
  <c r="CF60" i="2"/>
  <c r="CE60" i="2"/>
  <c r="BE60" i="2"/>
  <c r="BC60" i="2"/>
  <c r="AQ60" i="2"/>
  <c r="AI60" i="2"/>
  <c r="AG60" i="2"/>
  <c r="AA60" i="2"/>
  <c r="Z60" i="2"/>
  <c r="Y60" i="2"/>
  <c r="X60" i="2"/>
  <c r="W60" i="2"/>
  <c r="EP59" i="2"/>
  <c r="EO59" i="2"/>
  <c r="EM59" i="2"/>
  <c r="DJ59" i="2"/>
  <c r="DI59" i="2"/>
  <c r="DL59" i="2" s="1"/>
  <c r="CI59" i="2"/>
  <c r="CG59" i="2"/>
  <c r="CF59" i="2"/>
  <c r="CE59" i="2"/>
  <c r="CH59" i="2" s="1"/>
  <c r="BE59" i="2"/>
  <c r="BC59" i="2"/>
  <c r="BB59" i="2"/>
  <c r="BA59" i="2"/>
  <c r="X700" i="6" s="1"/>
  <c r="X766" i="6" s="1"/>
  <c r="AA59" i="2"/>
  <c r="Z59" i="2"/>
  <c r="Y59" i="2"/>
  <c r="X59" i="2"/>
  <c r="W59" i="2"/>
  <c r="E669" i="4"/>
  <c r="E675" i="4" s="1"/>
  <c r="DH58" i="2"/>
  <c r="DF58" i="2"/>
  <c r="DD58" i="2"/>
  <c r="DC58" i="2"/>
  <c r="DB58" i="2"/>
  <c r="DA58" i="2"/>
  <c r="CZ58" i="2"/>
  <c r="CY58" i="2"/>
  <c r="CX58" i="2"/>
  <c r="CV58" i="2"/>
  <c r="CU58" i="2"/>
  <c r="CT58" i="2"/>
  <c r="CR58" i="2"/>
  <c r="CQ58" i="2"/>
  <c r="CP58" i="2"/>
  <c r="CO58" i="2"/>
  <c r="CN58" i="2"/>
  <c r="CM58" i="2"/>
  <c r="CL58" i="2"/>
  <c r="CK58" i="2"/>
  <c r="CJ58" i="2"/>
  <c r="CD58" i="2"/>
  <c r="CB58" i="2"/>
  <c r="BZ58" i="2"/>
  <c r="BY58" i="2"/>
  <c r="BX58" i="2"/>
  <c r="BW58" i="2"/>
  <c r="BV58" i="2"/>
  <c r="BU58" i="2"/>
  <c r="BT58" i="2"/>
  <c r="BS58" i="2"/>
  <c r="BR58" i="2"/>
  <c r="BQ58" i="2"/>
  <c r="BP58" i="2"/>
  <c r="BO58" i="2"/>
  <c r="BN58" i="2"/>
  <c r="BM58" i="2"/>
  <c r="BL58" i="2"/>
  <c r="BK58" i="2"/>
  <c r="BJ58" i="2"/>
  <c r="BI58" i="2"/>
  <c r="BH58" i="2"/>
  <c r="BG58" i="2"/>
  <c r="BF58" i="2"/>
  <c r="AZ58" i="2"/>
  <c r="AY58" i="2"/>
  <c r="AX58" i="2"/>
  <c r="AW58" i="2"/>
  <c r="AV58" i="2"/>
  <c r="AU58" i="2"/>
  <c r="AT58" i="2"/>
  <c r="AS58" i="2"/>
  <c r="AR58" i="2"/>
  <c r="AQ58" i="2"/>
  <c r="AP58" i="2"/>
  <c r="AO58" i="2"/>
  <c r="AN58" i="2"/>
  <c r="AM58" i="2"/>
  <c r="AL58" i="2"/>
  <c r="AK58" i="2"/>
  <c r="AJ58" i="2"/>
  <c r="AI58" i="2"/>
  <c r="AH58" i="2"/>
  <c r="AF58" i="2"/>
  <c r="AD58" i="2"/>
  <c r="AC58" i="2"/>
  <c r="AB58" i="2"/>
  <c r="V58" i="2"/>
  <c r="U58" i="2"/>
  <c r="T58" i="2"/>
  <c r="S58" i="2"/>
  <c r="R58" i="2"/>
  <c r="Q58" i="2"/>
  <c r="P58" i="2"/>
  <c r="O58" i="2"/>
  <c r="N58" i="2"/>
  <c r="M58" i="2"/>
  <c r="L58" i="2"/>
  <c r="K58" i="2"/>
  <c r="J58" i="2"/>
  <c r="I58" i="2"/>
  <c r="H58" i="2"/>
  <c r="EO57" i="2"/>
  <c r="ES57" i="2" s="1"/>
  <c r="DH57" i="2"/>
  <c r="DG57" i="2"/>
  <c r="DF57" i="2"/>
  <c r="DE57" i="2"/>
  <c r="DD57" i="2"/>
  <c r="DC57" i="2"/>
  <c r="DB57" i="2"/>
  <c r="DA57" i="2"/>
  <c r="CZ57" i="2"/>
  <c r="CY57" i="2"/>
  <c r="CX57" i="2"/>
  <c r="CW57" i="2"/>
  <c r="CV57" i="2"/>
  <c r="CU57" i="2"/>
  <c r="CT57" i="2"/>
  <c r="CS57" i="2"/>
  <c r="CR57" i="2"/>
  <c r="CQ57" i="2"/>
  <c r="CP57" i="2"/>
  <c r="CO57" i="2"/>
  <c r="CN57" i="2"/>
  <c r="CM57" i="2"/>
  <c r="CL57" i="2"/>
  <c r="CK57" i="2"/>
  <c r="CD57" i="2"/>
  <c r="CB57" i="2"/>
  <c r="BZ57" i="2"/>
  <c r="BY57" i="2"/>
  <c r="BX57" i="2"/>
  <c r="BW57" i="2"/>
  <c r="BV57" i="2"/>
  <c r="BU57" i="2"/>
  <c r="BT57" i="2"/>
  <c r="BS57" i="2"/>
  <c r="BR57" i="2"/>
  <c r="BQ57" i="2"/>
  <c r="BP57" i="2"/>
  <c r="BO57" i="2"/>
  <c r="BN57" i="2"/>
  <c r="BM57" i="2"/>
  <c r="BL57" i="2"/>
  <c r="BK57" i="2"/>
  <c r="BJ57" i="2"/>
  <c r="BI57" i="2"/>
  <c r="BH57" i="2"/>
  <c r="BG57" i="2"/>
  <c r="BF57" i="2"/>
  <c r="BE57" i="2"/>
  <c r="BC57" i="2"/>
  <c r="BB57" i="2"/>
  <c r="X693" i="6" s="1"/>
  <c r="X699" i="6" s="1"/>
  <c r="AA57" i="2"/>
  <c r="Z57" i="2"/>
  <c r="Y57" i="2"/>
  <c r="X57" i="2"/>
  <c r="W57" i="2"/>
  <c r="EP56" i="2"/>
  <c r="EO56" i="2"/>
  <c r="EM56" i="2"/>
  <c r="EM58" i="2" s="1"/>
  <c r="DM56" i="2"/>
  <c r="DK56" i="2"/>
  <c r="DK58" i="2" s="1"/>
  <c r="DJ56" i="2"/>
  <c r="DI56" i="2"/>
  <c r="DL56" i="2" s="1"/>
  <c r="CI56" i="2"/>
  <c r="CG56" i="2"/>
  <c r="CF56" i="2"/>
  <c r="CE56" i="2"/>
  <c r="CH56" i="2" s="1"/>
  <c r="BE56" i="2"/>
  <c r="BC56" i="2"/>
  <c r="AG56" i="2"/>
  <c r="AE56" i="2"/>
  <c r="AA56" i="2"/>
  <c r="Z56" i="2"/>
  <c r="Y56" i="2"/>
  <c r="X56" i="2"/>
  <c r="W56" i="2"/>
  <c r="EO55" i="2"/>
  <c r="EM55" i="2"/>
  <c r="DK55" i="2"/>
  <c r="DJ55" i="2"/>
  <c r="DI55" i="2"/>
  <c r="DL55" i="2" s="1"/>
  <c r="CI55" i="2"/>
  <c r="CH55" i="2"/>
  <c r="CG55" i="2"/>
  <c r="CF55" i="2"/>
  <c r="BE55" i="2"/>
  <c r="BD55" i="2"/>
  <c r="BC55" i="2"/>
  <c r="BB55" i="2"/>
  <c r="X691" i="6" s="1"/>
  <c r="X697" i="6" s="1"/>
  <c r="AA55" i="2"/>
  <c r="Z55" i="2"/>
  <c r="Y55" i="2"/>
  <c r="X55" i="2"/>
  <c r="W55" i="2"/>
  <c r="DM54" i="2"/>
  <c r="DK54" i="2"/>
  <c r="DE54" i="2"/>
  <c r="DC54" i="2"/>
  <c r="DA54" i="2"/>
  <c r="CY54" i="2"/>
  <c r="CW54" i="2"/>
  <c r="CU54" i="2"/>
  <c r="CC54" i="2"/>
  <c r="BY54" i="2"/>
  <c r="BL54" i="2"/>
  <c r="CI54" i="2" s="1"/>
  <c r="BE54" i="2"/>
  <c r="BC54" i="2"/>
  <c r="BB54" i="2"/>
  <c r="X690" i="6" s="1"/>
  <c r="X696" i="6" s="1"/>
  <c r="BA54" i="2"/>
  <c r="BD54" i="2" s="1"/>
  <c r="AA54" i="2"/>
  <c r="Z54" i="2"/>
  <c r="Y54" i="2"/>
  <c r="X54" i="2"/>
  <c r="W54" i="2"/>
  <c r="EP53" i="2"/>
  <c r="EO53" i="2"/>
  <c r="DY54" i="2"/>
  <c r="EM54" i="2" s="1"/>
  <c r="DM53" i="2"/>
  <c r="DG53" i="2"/>
  <c r="DG58" i="2" s="1"/>
  <c r="DE53" i="2"/>
  <c r="DE80" i="2" s="1"/>
  <c r="CW53" i="2"/>
  <c r="CW58" i="2" s="1"/>
  <c r="CS53" i="2"/>
  <c r="CI53" i="2"/>
  <c r="CG53" i="2"/>
  <c r="CC53" i="2"/>
  <c r="CA53" i="2"/>
  <c r="BE53" i="2"/>
  <c r="BC53" i="2"/>
  <c r="AG53" i="2"/>
  <c r="BA53" i="2" s="1"/>
  <c r="BD53" i="2" s="1"/>
  <c r="AA53" i="2"/>
  <c r="Z53" i="2"/>
  <c r="Y53" i="2"/>
  <c r="X53" i="2"/>
  <c r="W53" i="2"/>
  <c r="EO52" i="2"/>
  <c r="DM52" i="2"/>
  <c r="DJ52" i="2"/>
  <c r="DI52" i="2"/>
  <c r="DL52" i="2" s="1"/>
  <c r="CI52" i="2"/>
  <c r="CG52" i="2"/>
  <c r="CC52" i="2"/>
  <c r="CA52" i="2"/>
  <c r="BE52" i="2"/>
  <c r="BC52" i="2"/>
  <c r="BB52" i="2"/>
  <c r="X688" i="6" s="1"/>
  <c r="X694" i="6" s="1"/>
  <c r="BA52" i="2"/>
  <c r="BA57" i="2" s="1"/>
  <c r="AA52" i="2"/>
  <c r="Z52" i="2"/>
  <c r="Y52" i="2"/>
  <c r="X52" i="2"/>
  <c r="W52" i="2"/>
  <c r="E561" i="4"/>
  <c r="E663" i="4" s="1"/>
  <c r="DH51" i="2"/>
  <c r="DG51" i="2"/>
  <c r="DF51" i="2"/>
  <c r="DE51" i="2"/>
  <c r="DD51" i="2"/>
  <c r="DC51" i="2"/>
  <c r="DB51" i="2"/>
  <c r="DA51" i="2"/>
  <c r="CZ51" i="2"/>
  <c r="CY51" i="2"/>
  <c r="CX51" i="2"/>
  <c r="CW51" i="2"/>
  <c r="CV51" i="2"/>
  <c r="CU51" i="2"/>
  <c r="CT51" i="2"/>
  <c r="CS51" i="2"/>
  <c r="CR51" i="2"/>
  <c r="CQ51" i="2"/>
  <c r="CP51" i="2"/>
  <c r="CO51" i="2"/>
  <c r="CN51" i="2"/>
  <c r="CM51" i="2"/>
  <c r="CL51" i="2"/>
  <c r="CK51" i="2"/>
  <c r="CJ51" i="2"/>
  <c r="CD51" i="2"/>
  <c r="CC51" i="2"/>
  <c r="CB51" i="2"/>
  <c r="CA51" i="2"/>
  <c r="BZ51" i="2"/>
  <c r="BY51" i="2"/>
  <c r="BX51" i="2"/>
  <c r="BW51" i="2"/>
  <c r="BV51" i="2"/>
  <c r="BU51" i="2"/>
  <c r="BT51" i="2"/>
  <c r="BS51" i="2"/>
  <c r="BR51" i="2"/>
  <c r="BQ51" i="2"/>
  <c r="BP51" i="2"/>
  <c r="BO51" i="2"/>
  <c r="BN51" i="2"/>
  <c r="BM51" i="2"/>
  <c r="BL51" i="2"/>
  <c r="BK51" i="2"/>
  <c r="BJ51" i="2"/>
  <c r="BI51" i="2"/>
  <c r="BH51" i="2"/>
  <c r="BG51" i="2"/>
  <c r="BF51" i="2"/>
  <c r="AZ51" i="2"/>
  <c r="AY51" i="2"/>
  <c r="AX51" i="2"/>
  <c r="AU51" i="2"/>
  <c r="AT51" i="2"/>
  <c r="AS51" i="2"/>
  <c r="AR51" i="2"/>
  <c r="AQ51" i="2"/>
  <c r="AP51" i="2"/>
  <c r="AO51" i="2"/>
  <c r="AN51" i="2"/>
  <c r="AM51" i="2"/>
  <c r="AL51" i="2"/>
  <c r="AK51" i="2"/>
  <c r="AJ51" i="2"/>
  <c r="AI51" i="2"/>
  <c r="AH51" i="2"/>
  <c r="AG51" i="2"/>
  <c r="AF51" i="2"/>
  <c r="AD51" i="2"/>
  <c r="AC51" i="2"/>
  <c r="AB51" i="2"/>
  <c r="V51" i="2"/>
  <c r="U51" i="2"/>
  <c r="T51" i="2"/>
  <c r="S51" i="2"/>
  <c r="R51" i="2"/>
  <c r="Q51" i="2"/>
  <c r="P51" i="2"/>
  <c r="O51" i="2"/>
  <c r="N51" i="2"/>
  <c r="M51" i="2"/>
  <c r="L51" i="2"/>
  <c r="K51" i="2"/>
  <c r="J51" i="2"/>
  <c r="I51" i="2"/>
  <c r="H51" i="2"/>
  <c r="EP50" i="2"/>
  <c r="EO50" i="2"/>
  <c r="EM50" i="2"/>
  <c r="DH50" i="2"/>
  <c r="DG50" i="2"/>
  <c r="DF50" i="2"/>
  <c r="DE50" i="2"/>
  <c r="DD50" i="2"/>
  <c r="DC50" i="2"/>
  <c r="DB50" i="2"/>
  <c r="DA50" i="2"/>
  <c r="CZ50" i="2"/>
  <c r="CY50" i="2"/>
  <c r="CX50" i="2"/>
  <c r="CW50" i="2"/>
  <c r="CV50" i="2"/>
  <c r="CU50" i="2"/>
  <c r="CT50" i="2"/>
  <c r="CS50" i="2"/>
  <c r="CR50" i="2"/>
  <c r="CQ50" i="2"/>
  <c r="CP50" i="2"/>
  <c r="CO50" i="2"/>
  <c r="CN50" i="2"/>
  <c r="CM50" i="2"/>
  <c r="CL50" i="2"/>
  <c r="CK50" i="2"/>
  <c r="CD50" i="2"/>
  <c r="CC50" i="2"/>
  <c r="CB50" i="2"/>
  <c r="CA50" i="2"/>
  <c r="BZ50" i="2"/>
  <c r="BY50" i="2"/>
  <c r="BX50" i="2"/>
  <c r="BW50" i="2"/>
  <c r="BV50" i="2"/>
  <c r="BU50" i="2"/>
  <c r="BT50" i="2"/>
  <c r="BS50" i="2"/>
  <c r="BR50" i="2"/>
  <c r="BQ50" i="2"/>
  <c r="BP50" i="2"/>
  <c r="BO50" i="2"/>
  <c r="BN50" i="2"/>
  <c r="BM50" i="2"/>
  <c r="BL50" i="2"/>
  <c r="BK50" i="2"/>
  <c r="BJ50" i="2"/>
  <c r="BI50" i="2"/>
  <c r="BH50" i="2"/>
  <c r="BG50" i="2"/>
  <c r="BE50" i="2"/>
  <c r="BC50" i="2"/>
  <c r="BB50" i="2"/>
  <c r="AA50" i="2"/>
  <c r="Z50" i="2"/>
  <c r="Y50" i="2"/>
  <c r="X50" i="2"/>
  <c r="W50" i="2"/>
  <c r="EP49" i="2"/>
  <c r="EO49" i="2"/>
  <c r="EM49" i="2"/>
  <c r="EM51" i="2" s="1"/>
  <c r="DM49" i="2"/>
  <c r="DK49" i="2"/>
  <c r="DJ49" i="2"/>
  <c r="DI49" i="2"/>
  <c r="DL49" i="2" s="1"/>
  <c r="CI49" i="2"/>
  <c r="CG49" i="2"/>
  <c r="CF49" i="2"/>
  <c r="CE49" i="2"/>
  <c r="CH49" i="2" s="1"/>
  <c r="BE49" i="2"/>
  <c r="BC49" i="2"/>
  <c r="AE49" i="2"/>
  <c r="BB49" i="2" s="1"/>
  <c r="AA49" i="2"/>
  <c r="Z49" i="2"/>
  <c r="Y49" i="2"/>
  <c r="X49" i="2"/>
  <c r="W49" i="2"/>
  <c r="EP48" i="2"/>
  <c r="EO48" i="2"/>
  <c r="EM48" i="2"/>
  <c r="DM48" i="2"/>
  <c r="DK48" i="2"/>
  <c r="DJ48" i="2"/>
  <c r="DI48" i="2"/>
  <c r="DL48" i="2" s="1"/>
  <c r="CI48" i="2"/>
  <c r="CH48" i="2"/>
  <c r="CG48" i="2"/>
  <c r="CF48" i="2"/>
  <c r="BE48" i="2"/>
  <c r="BD48" i="2"/>
  <c r="BC48" i="2"/>
  <c r="BB48" i="2"/>
  <c r="AA48" i="2"/>
  <c r="Z48" i="2"/>
  <c r="Y48" i="2"/>
  <c r="X48" i="2"/>
  <c r="W48" i="2"/>
  <c r="EP47" i="2"/>
  <c r="ET47" i="2" s="1"/>
  <c r="EO47" i="2"/>
  <c r="ES47" i="2" s="1"/>
  <c r="EM47" i="2"/>
  <c r="DM47" i="2"/>
  <c r="DK47" i="2"/>
  <c r="DJ47" i="2"/>
  <c r="DI47" i="2"/>
  <c r="CC47" i="2"/>
  <c r="BL47" i="2"/>
  <c r="CG47" i="2" s="1"/>
  <c r="AV47" i="2"/>
  <c r="BE47" i="2" s="1"/>
  <c r="AI47" i="2"/>
  <c r="AA47" i="2"/>
  <c r="Z47" i="2"/>
  <c r="Y47" i="2"/>
  <c r="X47" i="2"/>
  <c r="W47" i="2"/>
  <c r="EP46" i="2"/>
  <c r="EO46" i="2"/>
  <c r="DM46" i="2"/>
  <c r="DK46" i="2"/>
  <c r="DJ46" i="2"/>
  <c r="DI46" i="2"/>
  <c r="DL46" i="2" s="1"/>
  <c r="CI46" i="2"/>
  <c r="CG46" i="2"/>
  <c r="CF46" i="2"/>
  <c r="CE46" i="2"/>
  <c r="CH46" i="2" s="1"/>
  <c r="AW46" i="2"/>
  <c r="AW80" i="2" s="1"/>
  <c r="AV46" i="2"/>
  <c r="AV51" i="2" s="1"/>
  <c r="AA46" i="2"/>
  <c r="Z46" i="2"/>
  <c r="Y46" i="2"/>
  <c r="X46" i="2"/>
  <c r="W46" i="2"/>
  <c r="EP45" i="2"/>
  <c r="EM45" i="2"/>
  <c r="DM45" i="2"/>
  <c r="DK45" i="2"/>
  <c r="DJ45" i="2"/>
  <c r="DI45" i="2"/>
  <c r="DL45" i="2" s="1"/>
  <c r="CI45" i="2"/>
  <c r="CG45" i="2"/>
  <c r="CF45" i="2"/>
  <c r="CE45" i="2"/>
  <c r="BE45" i="2"/>
  <c r="BC45" i="2"/>
  <c r="BB45" i="2"/>
  <c r="BA45" i="2"/>
  <c r="BA50" i="2" s="1"/>
  <c r="AA45" i="2"/>
  <c r="Z45" i="2"/>
  <c r="Y45" i="2"/>
  <c r="X45" i="2"/>
  <c r="W45" i="2"/>
  <c r="E555" i="4"/>
  <c r="DH44" i="2"/>
  <c r="DG44" i="2"/>
  <c r="DF44" i="2"/>
  <c r="DE44" i="2"/>
  <c r="DD44" i="2"/>
  <c r="DC44" i="2"/>
  <c r="DB44" i="2"/>
  <c r="DA44" i="2"/>
  <c r="CZ44" i="2"/>
  <c r="CY44" i="2"/>
  <c r="CX44" i="2"/>
  <c r="CW44" i="2"/>
  <c r="CV44" i="2"/>
  <c r="CU44" i="2"/>
  <c r="CT44" i="2"/>
  <c r="CS44" i="2"/>
  <c r="CR44" i="2"/>
  <c r="CQ44" i="2"/>
  <c r="CP44" i="2"/>
  <c r="CO44" i="2"/>
  <c r="CN44" i="2"/>
  <c r="CL44" i="2"/>
  <c r="CK44" i="2"/>
  <c r="CJ44" i="2"/>
  <c r="CD44" i="2"/>
  <c r="CC44" i="2"/>
  <c r="CB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L44" i="2"/>
  <c r="AJ44" i="2"/>
  <c r="AH44" i="2"/>
  <c r="AF44" i="2"/>
  <c r="AD44" i="2"/>
  <c r="AC44" i="2"/>
  <c r="AB44" i="2"/>
  <c r="V44" i="2"/>
  <c r="U44" i="2"/>
  <c r="T44" i="2"/>
  <c r="S44" i="2"/>
  <c r="R44" i="2"/>
  <c r="Q44" i="2"/>
  <c r="P44" i="2"/>
  <c r="O44" i="2"/>
  <c r="N44" i="2"/>
  <c r="M44" i="2"/>
  <c r="L44" i="2"/>
  <c r="K44" i="2"/>
  <c r="J44" i="2"/>
  <c r="I44" i="2"/>
  <c r="H44" i="2"/>
  <c r="EP43" i="2"/>
  <c r="EM43" i="2"/>
  <c r="DN43" i="2"/>
  <c r="E422" i="4" s="1"/>
  <c r="E554" i="4" s="1"/>
  <c r="DH43" i="2"/>
  <c r="DG43" i="2"/>
  <c r="DF43" i="2"/>
  <c r="DE43" i="2"/>
  <c r="DD43" i="2"/>
  <c r="DC43" i="2"/>
  <c r="DB43" i="2"/>
  <c r="DA43" i="2"/>
  <c r="CZ43" i="2"/>
  <c r="CY43" i="2"/>
  <c r="CX43" i="2"/>
  <c r="CW43" i="2"/>
  <c r="CV43" i="2"/>
  <c r="CU43" i="2"/>
  <c r="CT43" i="2"/>
  <c r="CS43" i="2"/>
  <c r="CR43" i="2"/>
  <c r="CQ43" i="2"/>
  <c r="CP43" i="2"/>
  <c r="CO43" i="2"/>
  <c r="CN43" i="2"/>
  <c r="CM43" i="2"/>
  <c r="CL43" i="2"/>
  <c r="CK43" i="2"/>
  <c r="CD43" i="2"/>
  <c r="CC43" i="2"/>
  <c r="CB43" i="2"/>
  <c r="CA43" i="2"/>
  <c r="BZ43" i="2"/>
  <c r="BY43" i="2"/>
  <c r="BX43" i="2"/>
  <c r="BW43" i="2"/>
  <c r="BV43" i="2"/>
  <c r="BU43" i="2"/>
  <c r="BT43" i="2"/>
  <c r="BS43" i="2"/>
  <c r="BR43" i="2"/>
  <c r="BQ43" i="2"/>
  <c r="BP43" i="2"/>
  <c r="BO43" i="2"/>
  <c r="BN43" i="2"/>
  <c r="BM43" i="2"/>
  <c r="BL43" i="2"/>
  <c r="BK43" i="2"/>
  <c r="BJ43" i="2"/>
  <c r="BI43" i="2"/>
  <c r="BH43" i="2"/>
  <c r="BG43" i="2"/>
  <c r="BE43" i="2"/>
  <c r="BC43" i="2"/>
  <c r="BB43" i="2"/>
  <c r="AA43" i="2"/>
  <c r="Z43" i="2"/>
  <c r="Y43" i="2"/>
  <c r="X43" i="2"/>
  <c r="W43" i="2"/>
  <c r="EP42" i="2"/>
  <c r="EO42" i="2"/>
  <c r="EM42" i="2"/>
  <c r="DM42" i="2"/>
  <c r="DK42" i="2"/>
  <c r="DJ42" i="2"/>
  <c r="DI42" i="2"/>
  <c r="DL42" i="2" s="1"/>
  <c r="CI42" i="2"/>
  <c r="CG42" i="2"/>
  <c r="CF42" i="2"/>
  <c r="CE42" i="2"/>
  <c r="CH42" i="2" s="1"/>
  <c r="BE42" i="2"/>
  <c r="BC42" i="2"/>
  <c r="AI42" i="2"/>
  <c r="AI44" i="2" s="1"/>
  <c r="AG42" i="2"/>
  <c r="AE42" i="2"/>
  <c r="AE44" i="2" s="1"/>
  <c r="AA42" i="2"/>
  <c r="Z42" i="2"/>
  <c r="Y42" i="2"/>
  <c r="X42" i="2"/>
  <c r="W42" i="2"/>
  <c r="EP41" i="2"/>
  <c r="EM41" i="2"/>
  <c r="DM41" i="2"/>
  <c r="DK41" i="2"/>
  <c r="DJ41" i="2"/>
  <c r="DI41" i="2"/>
  <c r="DL41" i="2" s="1"/>
  <c r="CI41" i="2"/>
  <c r="CH41" i="2"/>
  <c r="CG41" i="2"/>
  <c r="CF41" i="2"/>
  <c r="BE41" i="2"/>
  <c r="BD41" i="2"/>
  <c r="BC41" i="2"/>
  <c r="BB41" i="2"/>
  <c r="AA41" i="2"/>
  <c r="Z41" i="2"/>
  <c r="Y41" i="2"/>
  <c r="X41" i="2"/>
  <c r="W41" i="2"/>
  <c r="EO40" i="2"/>
  <c r="ES40" i="2" s="1"/>
  <c r="DM40" i="2"/>
  <c r="DK40" i="2"/>
  <c r="DC40" i="2"/>
  <c r="DI40" i="2" s="1"/>
  <c r="CC40" i="2"/>
  <c r="CA40" i="2"/>
  <c r="BY40" i="2"/>
  <c r="BW40" i="2"/>
  <c r="BL40" i="2"/>
  <c r="CI40" i="2" s="1"/>
  <c r="BE40" i="2"/>
  <c r="BC40" i="2"/>
  <c r="BB40" i="2"/>
  <c r="BA40" i="2"/>
  <c r="BD40" i="2" s="1"/>
  <c r="AA40" i="2"/>
  <c r="Z40" i="2"/>
  <c r="Y40" i="2"/>
  <c r="X40" i="2"/>
  <c r="W40" i="2"/>
  <c r="EP39" i="2"/>
  <c r="EO39" i="2"/>
  <c r="EM39" i="2"/>
  <c r="DM39" i="2"/>
  <c r="DK39" i="2"/>
  <c r="CM39" i="2"/>
  <c r="DJ39" i="2" s="1"/>
  <c r="CI39" i="2"/>
  <c r="CG39" i="2"/>
  <c r="CA39" i="2"/>
  <c r="CE39" i="2" s="1"/>
  <c r="BE39" i="2"/>
  <c r="BC39" i="2"/>
  <c r="AK39" i="2"/>
  <c r="AK44" i="2" s="1"/>
  <c r="AG39" i="2"/>
  <c r="AA39" i="2"/>
  <c r="Z39" i="2"/>
  <c r="Y39" i="2"/>
  <c r="X39" i="2"/>
  <c r="W39" i="2"/>
  <c r="EP38" i="2"/>
  <c r="EO38" i="2"/>
  <c r="EM38" i="2"/>
  <c r="DM38" i="2"/>
  <c r="DK38" i="2"/>
  <c r="DJ38" i="2"/>
  <c r="DI38" i="2"/>
  <c r="DL38" i="2" s="1"/>
  <c r="CI38" i="2"/>
  <c r="CG38" i="2"/>
  <c r="CF38" i="2"/>
  <c r="CE38" i="2"/>
  <c r="CH38" i="2" s="1"/>
  <c r="BE38" i="2"/>
  <c r="BC38" i="2"/>
  <c r="BB38" i="2"/>
  <c r="BA38" i="2"/>
  <c r="BA43" i="2" s="1"/>
  <c r="AA38" i="2"/>
  <c r="Z38" i="2"/>
  <c r="Y38" i="2"/>
  <c r="X38" i="2"/>
  <c r="W38" i="2"/>
  <c r="E411" i="4"/>
  <c r="E417" i="4" s="1"/>
  <c r="DH37" i="2"/>
  <c r="DG37" i="2"/>
  <c r="DF37" i="2"/>
  <c r="DE37" i="2"/>
  <c r="DD37" i="2"/>
  <c r="DC37" i="2"/>
  <c r="DB37" i="2"/>
  <c r="DA37" i="2"/>
  <c r="CZ37" i="2"/>
  <c r="CY37" i="2"/>
  <c r="CX37" i="2"/>
  <c r="CW37" i="2"/>
  <c r="CV37" i="2"/>
  <c r="CU37" i="2"/>
  <c r="CT37" i="2"/>
  <c r="CS37" i="2"/>
  <c r="CR37" i="2"/>
  <c r="CQ37" i="2"/>
  <c r="CP37" i="2"/>
  <c r="CO37" i="2"/>
  <c r="CN37" i="2"/>
  <c r="CL37" i="2"/>
  <c r="CK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AZ37" i="2"/>
  <c r="AY37" i="2"/>
  <c r="AX37" i="2"/>
  <c r="AW37" i="2"/>
  <c r="AV37" i="2"/>
  <c r="AU37" i="2"/>
  <c r="AT37" i="2"/>
  <c r="AS37" i="2"/>
  <c r="AR37" i="2"/>
  <c r="AQ37" i="2"/>
  <c r="AP37" i="2"/>
  <c r="AO37" i="2"/>
  <c r="AN37" i="2"/>
  <c r="AM37" i="2"/>
  <c r="AL37" i="2"/>
  <c r="AK37" i="2"/>
  <c r="AJ37" i="2"/>
  <c r="AI37" i="2"/>
  <c r="AH37" i="2"/>
  <c r="AF37" i="2"/>
  <c r="AD37" i="2"/>
  <c r="AC37" i="2"/>
  <c r="AB37" i="2"/>
  <c r="V37" i="2"/>
  <c r="U37" i="2"/>
  <c r="T37" i="2"/>
  <c r="S37" i="2"/>
  <c r="R37" i="2"/>
  <c r="Q37" i="2"/>
  <c r="P37" i="2"/>
  <c r="O37" i="2"/>
  <c r="N37" i="2"/>
  <c r="M37" i="2"/>
  <c r="L37" i="2"/>
  <c r="K37" i="2"/>
  <c r="J37" i="2"/>
  <c r="I37" i="2"/>
  <c r="H37" i="2"/>
  <c r="EO36" i="2"/>
  <c r="ES36" i="2" s="1"/>
  <c r="EM36" i="2"/>
  <c r="DH36" i="2"/>
  <c r="DG36" i="2"/>
  <c r="DF36" i="2"/>
  <c r="DE36" i="2"/>
  <c r="DD36" i="2"/>
  <c r="DC36" i="2"/>
  <c r="DB36" i="2"/>
  <c r="DA36" i="2"/>
  <c r="CZ36" i="2"/>
  <c r="CY36" i="2"/>
  <c r="CX36" i="2"/>
  <c r="CW36" i="2"/>
  <c r="CV36" i="2"/>
  <c r="CU36" i="2"/>
  <c r="CT36" i="2"/>
  <c r="CS36" i="2"/>
  <c r="CR36" i="2"/>
  <c r="CQ36" i="2"/>
  <c r="CP36" i="2"/>
  <c r="CO36" i="2"/>
  <c r="CN36" i="2"/>
  <c r="CM36" i="2"/>
  <c r="CL36" i="2"/>
  <c r="CK36" i="2"/>
  <c r="CE36" i="2"/>
  <c r="CD36" i="2"/>
  <c r="CC36" i="2"/>
  <c r="CB36" i="2"/>
  <c r="CA36" i="2"/>
  <c r="BZ36" i="2"/>
  <c r="BY36" i="2"/>
  <c r="BX36" i="2"/>
  <c r="BW36" i="2"/>
  <c r="BV36" i="2"/>
  <c r="BU36" i="2"/>
  <c r="BT36" i="2"/>
  <c r="BS36" i="2"/>
  <c r="BR36" i="2"/>
  <c r="BQ36" i="2"/>
  <c r="BP36" i="2"/>
  <c r="BO36" i="2"/>
  <c r="BN36" i="2"/>
  <c r="BM36" i="2"/>
  <c r="BL36" i="2"/>
  <c r="BK36" i="2"/>
  <c r="BJ36" i="2"/>
  <c r="BI36" i="2"/>
  <c r="BH36" i="2"/>
  <c r="BG36" i="2"/>
  <c r="BC36" i="2"/>
  <c r="BE36" i="2" s="1"/>
  <c r="BB36" i="2"/>
  <c r="X495" i="6" s="1"/>
  <c r="X501" i="6" s="1"/>
  <c r="AA36" i="2"/>
  <c r="Z36" i="2"/>
  <c r="Y36" i="2"/>
  <c r="X36" i="2"/>
  <c r="W36" i="2"/>
  <c r="EP35" i="2"/>
  <c r="EO35" i="2"/>
  <c r="ES35" i="2" s="1"/>
  <c r="EM35" i="2"/>
  <c r="EM37" i="2" s="1"/>
  <c r="DM35" i="2"/>
  <c r="DK35" i="2"/>
  <c r="DJ35" i="2"/>
  <c r="DI35" i="2"/>
  <c r="DL35" i="2" s="1"/>
  <c r="CI35" i="2"/>
  <c r="CG35" i="2"/>
  <c r="CF35" i="2"/>
  <c r="CE35" i="2"/>
  <c r="CH35" i="2" s="1"/>
  <c r="BE35" i="2"/>
  <c r="BC35" i="2"/>
  <c r="AG35" i="2"/>
  <c r="AG37" i="2" s="1"/>
  <c r="AE35" i="2"/>
  <c r="AE37" i="2" s="1"/>
  <c r="AA35" i="2"/>
  <c r="Z35" i="2"/>
  <c r="Y35" i="2"/>
  <c r="X35" i="2"/>
  <c r="W35" i="2"/>
  <c r="EP34" i="2"/>
  <c r="EO34" i="2"/>
  <c r="ES34" i="2" s="1"/>
  <c r="EM34" i="2"/>
  <c r="DM34" i="2"/>
  <c r="DK34" i="2"/>
  <c r="DJ34" i="2"/>
  <c r="DI34" i="2"/>
  <c r="CI34" i="2"/>
  <c r="CH34" i="2"/>
  <c r="CG34" i="2"/>
  <c r="CF34" i="2"/>
  <c r="BE34" i="2"/>
  <c r="BD34" i="2"/>
  <c r="BC34" i="2"/>
  <c r="BB34" i="2"/>
  <c r="X493" i="6" s="1"/>
  <c r="X499" i="6" s="1"/>
  <c r="AA34" i="2"/>
  <c r="Z34" i="2"/>
  <c r="Y34" i="2"/>
  <c r="X34" i="2"/>
  <c r="W34" i="2"/>
  <c r="EO33" i="2"/>
  <c r="ES33" i="2" s="1"/>
  <c r="DM33" i="2"/>
  <c r="DK33" i="2"/>
  <c r="DJ33" i="2"/>
  <c r="DI33" i="2"/>
  <c r="CC33" i="2"/>
  <c r="CA33" i="2"/>
  <c r="BY33" i="2"/>
  <c r="BL33" i="2"/>
  <c r="CI33" i="2" s="1"/>
  <c r="BE33" i="2"/>
  <c r="BC33" i="2"/>
  <c r="AY33" i="2"/>
  <c r="AA33" i="2"/>
  <c r="Z33" i="2"/>
  <c r="Y33" i="2"/>
  <c r="X33" i="2"/>
  <c r="W33" i="2"/>
  <c r="EO32" i="2"/>
  <c r="ES32" i="2" s="1"/>
  <c r="DM32" i="2"/>
  <c r="DK32" i="2"/>
  <c r="CM32" i="2"/>
  <c r="CI32" i="2"/>
  <c r="CG32" i="2"/>
  <c r="CF32" i="2"/>
  <c r="CE32" i="2"/>
  <c r="BE32" i="2"/>
  <c r="BC32" i="2"/>
  <c r="BB32" i="2"/>
  <c r="X491" i="6" s="1"/>
  <c r="BA32" i="2"/>
  <c r="K491" i="6" s="1"/>
  <c r="K497" i="6" s="1"/>
  <c r="AA32" i="2"/>
  <c r="Z32" i="2"/>
  <c r="Y32" i="2"/>
  <c r="X32" i="2"/>
  <c r="W32" i="2"/>
  <c r="EM31" i="2"/>
  <c r="DK31" i="2"/>
  <c r="DJ31" i="2"/>
  <c r="DI31" i="2"/>
  <c r="CG31" i="2"/>
  <c r="CF31" i="2"/>
  <c r="BC31" i="2"/>
  <c r="BE31" i="2" s="1"/>
  <c r="BB31" i="2"/>
  <c r="X490" i="6" s="1"/>
  <c r="X496" i="6" s="1"/>
  <c r="BA31" i="2"/>
  <c r="AA31" i="2"/>
  <c r="Z31" i="2"/>
  <c r="Y31" i="2"/>
  <c r="X31" i="2"/>
  <c r="W31" i="2"/>
  <c r="DH30" i="2"/>
  <c r="DG30" i="2"/>
  <c r="DF30" i="2"/>
  <c r="DE30" i="2"/>
  <c r="DD30" i="2"/>
  <c r="DC30" i="2"/>
  <c r="DB30" i="2"/>
  <c r="DA30" i="2"/>
  <c r="CZ30" i="2"/>
  <c r="CY30" i="2"/>
  <c r="CX30" i="2"/>
  <c r="CW30" i="2"/>
  <c r="CV30" i="2"/>
  <c r="CU30" i="2"/>
  <c r="CT30" i="2"/>
  <c r="CS30" i="2"/>
  <c r="CR30" i="2"/>
  <c r="CQ30" i="2"/>
  <c r="CP30" i="2"/>
  <c r="CO30" i="2"/>
  <c r="CN30" i="2"/>
  <c r="CM30" i="2"/>
  <c r="CL30" i="2"/>
  <c r="CK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Z30" i="2"/>
  <c r="AY30" i="2"/>
  <c r="AX30" i="2"/>
  <c r="AW30" i="2"/>
  <c r="AV30" i="2"/>
  <c r="AU30" i="2"/>
  <c r="AT30" i="2"/>
  <c r="AS30" i="2"/>
  <c r="AR30" i="2"/>
  <c r="AQ30" i="2"/>
  <c r="AP30" i="2"/>
  <c r="AO30" i="2"/>
  <c r="AN30" i="2"/>
  <c r="AM30" i="2"/>
  <c r="AL30" i="2"/>
  <c r="AK30" i="2"/>
  <c r="AJ30" i="2"/>
  <c r="AI30" i="2"/>
  <c r="AH30" i="2"/>
  <c r="AG30" i="2"/>
  <c r="AF30" i="2"/>
  <c r="AE30" i="2"/>
  <c r="AD30" i="2"/>
  <c r="AC30" i="2"/>
  <c r="AB30" i="2"/>
  <c r="V30" i="2"/>
  <c r="U30" i="2"/>
  <c r="T30" i="2"/>
  <c r="S30" i="2"/>
  <c r="R30" i="2"/>
  <c r="Q30" i="2"/>
  <c r="P30" i="2"/>
  <c r="O30" i="2"/>
  <c r="N30" i="2"/>
  <c r="M30" i="2"/>
  <c r="L30" i="2"/>
  <c r="K30" i="2"/>
  <c r="J30" i="2"/>
  <c r="I30" i="2"/>
  <c r="H30" i="2"/>
  <c r="EP29" i="2"/>
  <c r="EO29" i="2"/>
  <c r="EM29" i="2"/>
  <c r="DH29" i="2"/>
  <c r="DG29" i="2"/>
  <c r="DF29" i="2"/>
  <c r="DE29" i="2"/>
  <c r="DD29" i="2"/>
  <c r="DC29" i="2"/>
  <c r="DB29" i="2"/>
  <c r="DA29" i="2"/>
  <c r="CZ29" i="2"/>
  <c r="CY29" i="2"/>
  <c r="CX29" i="2"/>
  <c r="CW29" i="2"/>
  <c r="CV29" i="2"/>
  <c r="CU29" i="2"/>
  <c r="CT29" i="2"/>
  <c r="CS29" i="2"/>
  <c r="CR29" i="2"/>
  <c r="CQ29" i="2"/>
  <c r="CP29" i="2"/>
  <c r="CO29" i="2"/>
  <c r="CN29" i="2"/>
  <c r="CM29" i="2"/>
  <c r="CL29" i="2"/>
  <c r="CK29" i="2"/>
  <c r="CD29" i="2"/>
  <c r="CB29" i="2"/>
  <c r="CA29" i="2"/>
  <c r="BZ29" i="2"/>
  <c r="BY29" i="2"/>
  <c r="BX29" i="2"/>
  <c r="BW29" i="2"/>
  <c r="BV29" i="2"/>
  <c r="BU29" i="2"/>
  <c r="BT29" i="2"/>
  <c r="BS29" i="2"/>
  <c r="BR29" i="2"/>
  <c r="BQ29" i="2"/>
  <c r="BP29" i="2"/>
  <c r="BO29" i="2"/>
  <c r="BN29" i="2"/>
  <c r="BM29" i="2"/>
  <c r="BL29" i="2"/>
  <c r="BK29" i="2"/>
  <c r="BJ29" i="2"/>
  <c r="BI29" i="2"/>
  <c r="BH29" i="2"/>
  <c r="BG29" i="2"/>
  <c r="BB29" i="2"/>
  <c r="BA29" i="2"/>
  <c r="BD29" i="2" s="1"/>
  <c r="AN29" i="2"/>
  <c r="BE29" i="2" s="1"/>
  <c r="AA29" i="2"/>
  <c r="Z29" i="2"/>
  <c r="Y29" i="2"/>
  <c r="X29" i="2"/>
  <c r="W29" i="2"/>
  <c r="EO28" i="2"/>
  <c r="EM28" i="2"/>
  <c r="DM28" i="2"/>
  <c r="DK28" i="2"/>
  <c r="DJ28" i="2"/>
  <c r="DI28" i="2"/>
  <c r="DL28" i="2" s="1"/>
  <c r="CI28" i="2"/>
  <c r="CG28" i="2"/>
  <c r="CF28" i="2"/>
  <c r="CE28" i="2"/>
  <c r="CH28" i="2" s="1"/>
  <c r="BE28" i="2"/>
  <c r="BC28" i="2"/>
  <c r="BB28" i="2"/>
  <c r="BA28" i="2"/>
  <c r="BD28" i="2" s="1"/>
  <c r="AA28" i="2"/>
  <c r="Z28" i="2"/>
  <c r="Y28" i="2"/>
  <c r="X28" i="2"/>
  <c r="W28" i="2"/>
  <c r="EO27" i="2"/>
  <c r="EM27" i="2"/>
  <c r="DM27" i="2"/>
  <c r="DK27" i="2"/>
  <c r="DJ27" i="2"/>
  <c r="DI27" i="2"/>
  <c r="DL27" i="2" s="1"/>
  <c r="CI27" i="2"/>
  <c r="CG27" i="2"/>
  <c r="CF27" i="2"/>
  <c r="CE27" i="2"/>
  <c r="CH27" i="2" s="1"/>
  <c r="BE27" i="2"/>
  <c r="BC27" i="2"/>
  <c r="BB27" i="2"/>
  <c r="BA27" i="2"/>
  <c r="BD27" i="2" s="1"/>
  <c r="AA27" i="2"/>
  <c r="Z27" i="2"/>
  <c r="Y27" i="2"/>
  <c r="X27" i="2"/>
  <c r="W27" i="2"/>
  <c r="EP26" i="2"/>
  <c r="ET26" i="2" s="1"/>
  <c r="EO26" i="2"/>
  <c r="ES26" i="2" s="1"/>
  <c r="EM26" i="2"/>
  <c r="DM26" i="2"/>
  <c r="DK26" i="2"/>
  <c r="DJ26" i="2"/>
  <c r="DI26" i="2"/>
  <c r="CI26" i="2"/>
  <c r="CG26" i="2"/>
  <c r="CC26" i="2"/>
  <c r="BQ26" i="2"/>
  <c r="BE26" i="2"/>
  <c r="BC26" i="2"/>
  <c r="AI26" i="2"/>
  <c r="BB26" i="2" s="1"/>
  <c r="AA26" i="2"/>
  <c r="Z26" i="2"/>
  <c r="Y26" i="2"/>
  <c r="X26" i="2"/>
  <c r="W26" i="2"/>
  <c r="EO25" i="2"/>
  <c r="DM25" i="2"/>
  <c r="DK25" i="2"/>
  <c r="DJ25" i="2"/>
  <c r="DI25" i="2"/>
  <c r="DL25" i="2" s="1"/>
  <c r="CI25" i="2"/>
  <c r="CG25" i="2"/>
  <c r="CF25" i="2"/>
  <c r="CE25" i="2"/>
  <c r="CH25" i="2" s="1"/>
  <c r="BE25" i="2"/>
  <c r="BC25" i="2"/>
  <c r="BB25" i="2"/>
  <c r="BA25" i="2"/>
  <c r="BD25" i="2" s="1"/>
  <c r="AA25" i="2"/>
  <c r="G25" i="2" s="1"/>
  <c r="Z25" i="2"/>
  <c r="Y25" i="2"/>
  <c r="X25" i="2"/>
  <c r="W25" i="2"/>
  <c r="EP24" i="2"/>
  <c r="EO24" i="2"/>
  <c r="EM24" i="2"/>
  <c r="DM24" i="2"/>
  <c r="DJ24" i="2"/>
  <c r="DI24" i="2"/>
  <c r="DL24" i="2" s="1"/>
  <c r="CI24" i="2"/>
  <c r="CG24" i="2"/>
  <c r="CC24" i="2"/>
  <c r="CC29" i="2" s="1"/>
  <c r="BE24" i="2"/>
  <c r="BC24" i="2"/>
  <c r="BB24" i="2"/>
  <c r="BA24" i="2"/>
  <c r="BD24" i="2" s="1"/>
  <c r="AA24" i="2"/>
  <c r="Z24" i="2"/>
  <c r="Y24" i="2"/>
  <c r="X24" i="2"/>
  <c r="W24" i="2"/>
  <c r="E147" i="4"/>
  <c r="E249" i="4" s="1"/>
  <c r="DH23" i="2"/>
  <c r="DG23" i="2"/>
  <c r="DF23" i="2"/>
  <c r="DE23" i="2"/>
  <c r="DD23" i="2"/>
  <c r="DC23" i="2"/>
  <c r="DB23" i="2"/>
  <c r="DA23" i="2"/>
  <c r="CZ23" i="2"/>
  <c r="CY23" i="2"/>
  <c r="CX23" i="2"/>
  <c r="CW23" i="2"/>
  <c r="CV23" i="2"/>
  <c r="CU23" i="2"/>
  <c r="CT23" i="2"/>
  <c r="CS23" i="2"/>
  <c r="CR23" i="2"/>
  <c r="CQ23" i="2"/>
  <c r="CP23" i="2"/>
  <c r="CO23" i="2"/>
  <c r="CN23" i="2"/>
  <c r="CM23" i="2"/>
  <c r="CL23" i="2"/>
  <c r="CK23" i="2"/>
  <c r="CJ23" i="2"/>
  <c r="CD23" i="2"/>
  <c r="CC23" i="2"/>
  <c r="CB23" i="2"/>
  <c r="CA23" i="2"/>
  <c r="BZ23" i="2"/>
  <c r="BY23" i="2"/>
  <c r="BX23" i="2"/>
  <c r="BW23" i="2"/>
  <c r="BV23" i="2"/>
  <c r="BU23" i="2"/>
  <c r="BT23" i="2"/>
  <c r="BS23" i="2"/>
  <c r="BR23" i="2"/>
  <c r="BQ23" i="2"/>
  <c r="BP23" i="2"/>
  <c r="BO23" i="2"/>
  <c r="BN23" i="2"/>
  <c r="BM23" i="2"/>
  <c r="BL23" i="2"/>
  <c r="BK23" i="2"/>
  <c r="BJ23" i="2"/>
  <c r="BI23" i="2"/>
  <c r="BH23" i="2"/>
  <c r="BG23" i="2"/>
  <c r="BF23" i="2"/>
  <c r="AZ23" i="2"/>
  <c r="AY23" i="2"/>
  <c r="AX23" i="2"/>
  <c r="AW23" i="2"/>
  <c r="AV23" i="2"/>
  <c r="AU23" i="2"/>
  <c r="AT23" i="2"/>
  <c r="AS23" i="2"/>
  <c r="AR23" i="2"/>
  <c r="AQ23" i="2"/>
  <c r="AP23" i="2"/>
  <c r="AO23" i="2"/>
  <c r="AN23" i="2"/>
  <c r="AM23" i="2"/>
  <c r="AL23" i="2"/>
  <c r="AJ23" i="2"/>
  <c r="AH23" i="2"/>
  <c r="AF23" i="2"/>
  <c r="AE23" i="2"/>
  <c r="AD23" i="2"/>
  <c r="AC23" i="2"/>
  <c r="AB23" i="2"/>
  <c r="V23" i="2"/>
  <c r="U23" i="2"/>
  <c r="T23" i="2"/>
  <c r="S23" i="2"/>
  <c r="R23" i="2"/>
  <c r="Q23" i="2"/>
  <c r="P23" i="2"/>
  <c r="O23" i="2"/>
  <c r="N23" i="2"/>
  <c r="M23" i="2"/>
  <c r="L23" i="2"/>
  <c r="K23" i="2"/>
  <c r="J23" i="2"/>
  <c r="I23" i="2"/>
  <c r="H23" i="2"/>
  <c r="EO22" i="2"/>
  <c r="EM22" i="2"/>
  <c r="DH22" i="2"/>
  <c r="DG22" i="2"/>
  <c r="DF22" i="2"/>
  <c r="DE22" i="2"/>
  <c r="DD22" i="2"/>
  <c r="DC22" i="2"/>
  <c r="DB22" i="2"/>
  <c r="DA22" i="2"/>
  <c r="CZ22" i="2"/>
  <c r="CY22" i="2"/>
  <c r="CX22" i="2"/>
  <c r="CW22" i="2"/>
  <c r="CV22" i="2"/>
  <c r="CU22" i="2"/>
  <c r="CT22" i="2"/>
  <c r="CS22" i="2"/>
  <c r="CR22" i="2"/>
  <c r="CQ22" i="2"/>
  <c r="CP22" i="2"/>
  <c r="CO22" i="2"/>
  <c r="CN22" i="2"/>
  <c r="CM22" i="2"/>
  <c r="CL22" i="2"/>
  <c r="CK22" i="2"/>
  <c r="CD22" i="2"/>
  <c r="CC22" i="2"/>
  <c r="CB22" i="2"/>
  <c r="CA22" i="2"/>
  <c r="BZ22" i="2"/>
  <c r="BY22" i="2"/>
  <c r="BX22" i="2"/>
  <c r="BW22" i="2"/>
  <c r="BV22" i="2"/>
  <c r="BU22" i="2"/>
  <c r="BT22" i="2"/>
  <c r="BS22" i="2"/>
  <c r="BR22" i="2"/>
  <c r="BQ22" i="2"/>
  <c r="BP22" i="2"/>
  <c r="BO22" i="2"/>
  <c r="BN22" i="2"/>
  <c r="BM22" i="2"/>
  <c r="BL22" i="2"/>
  <c r="BK22" i="2"/>
  <c r="BJ22" i="2"/>
  <c r="BI22" i="2"/>
  <c r="BH22" i="2"/>
  <c r="BG22" i="2"/>
  <c r="BB22" i="2"/>
  <c r="BA22" i="2"/>
  <c r="BD22" i="2" s="1"/>
  <c r="AN22" i="2"/>
  <c r="BC22" i="2" s="1"/>
  <c r="AA22" i="2"/>
  <c r="Z22" i="2"/>
  <c r="Y22" i="2"/>
  <c r="X22" i="2"/>
  <c r="W22" i="2"/>
  <c r="EO21" i="2"/>
  <c r="DM21" i="2"/>
  <c r="DK21" i="2"/>
  <c r="DJ21" i="2"/>
  <c r="DI21" i="2"/>
  <c r="DL21" i="2" s="1"/>
  <c r="CI21" i="2"/>
  <c r="CG21" i="2"/>
  <c r="CF21" i="2"/>
  <c r="CE21" i="2"/>
  <c r="CH21" i="2" s="1"/>
  <c r="BE21" i="2"/>
  <c r="BC21" i="2"/>
  <c r="AI21" i="2"/>
  <c r="AG21" i="2"/>
  <c r="AA21" i="2"/>
  <c r="G21" i="2" s="1"/>
  <c r="Z21" i="2"/>
  <c r="Y21" i="2"/>
  <c r="X21" i="2"/>
  <c r="W21" i="2"/>
  <c r="EO20" i="2"/>
  <c r="EM20" i="2"/>
  <c r="DM20" i="2"/>
  <c r="DK20" i="2"/>
  <c r="DJ20" i="2"/>
  <c r="DI20" i="2"/>
  <c r="DL20" i="2" s="1"/>
  <c r="CI20" i="2"/>
  <c r="CG20" i="2"/>
  <c r="CF20" i="2"/>
  <c r="CE20" i="2"/>
  <c r="CH20" i="2" s="1"/>
  <c r="BE20" i="2"/>
  <c r="BC20" i="2"/>
  <c r="BB20" i="2"/>
  <c r="BA20" i="2"/>
  <c r="BD20" i="2" s="1"/>
  <c r="AA20" i="2"/>
  <c r="Z20" i="2"/>
  <c r="Y20" i="2"/>
  <c r="X20" i="2"/>
  <c r="W20" i="2"/>
  <c r="EM19" i="2"/>
  <c r="DM19" i="2"/>
  <c r="DL19" i="2"/>
  <c r="DK19" i="2"/>
  <c r="DJ19" i="2"/>
  <c r="CC19" i="2"/>
  <c r="CF19" i="2" s="1"/>
  <c r="BL19" i="2"/>
  <c r="CI19" i="2" s="1"/>
  <c r="BE19" i="2"/>
  <c r="BC19" i="2"/>
  <c r="AI19" i="2"/>
  <c r="BB19" i="2" s="1"/>
  <c r="AA19" i="2"/>
  <c r="Z19" i="2"/>
  <c r="Y19" i="2"/>
  <c r="X19" i="2"/>
  <c r="W19" i="2"/>
  <c r="EO18" i="2"/>
  <c r="DM18" i="2"/>
  <c r="DM23" i="2" s="1"/>
  <c r="DK18" i="2"/>
  <c r="DJ18" i="2"/>
  <c r="DI18" i="2"/>
  <c r="DL18" i="2" s="1"/>
  <c r="CI18" i="2"/>
  <c r="CG18" i="2"/>
  <c r="CF18" i="2"/>
  <c r="CE18" i="2"/>
  <c r="BE18" i="2"/>
  <c r="BE23" i="2" s="1"/>
  <c r="BC18" i="2"/>
  <c r="AK18" i="2"/>
  <c r="AI18" i="2"/>
  <c r="AG18" i="2"/>
  <c r="AA18" i="2"/>
  <c r="Z18" i="2"/>
  <c r="Y18" i="2"/>
  <c r="X18" i="2"/>
  <c r="W18" i="2"/>
  <c r="EO17" i="2"/>
  <c r="EM17" i="2"/>
  <c r="DM17" i="2"/>
  <c r="DK17" i="2"/>
  <c r="DJ17" i="2"/>
  <c r="DI17" i="2"/>
  <c r="DL17" i="2" s="1"/>
  <c r="CI17" i="2"/>
  <c r="CG17" i="2"/>
  <c r="CF17" i="2"/>
  <c r="CE17" i="2"/>
  <c r="CH17" i="2" s="1"/>
  <c r="BE17" i="2"/>
  <c r="BC17" i="2"/>
  <c r="BB17" i="2"/>
  <c r="BA17" i="2"/>
  <c r="BD17" i="2" s="1"/>
  <c r="AA17" i="2"/>
  <c r="G17" i="2" s="1"/>
  <c r="Z17" i="2"/>
  <c r="Y17" i="2"/>
  <c r="X17" i="2"/>
  <c r="W17" i="2"/>
  <c r="DH16" i="2"/>
  <c r="DF16" i="2"/>
  <c r="DE16" i="2"/>
  <c r="DD16" i="2"/>
  <c r="DC16" i="2"/>
  <c r="DB16" i="2"/>
  <c r="DA16" i="2"/>
  <c r="CZ16" i="2"/>
  <c r="CY16" i="2"/>
  <c r="CX16" i="2"/>
  <c r="CV16" i="2"/>
  <c r="CT16" i="2"/>
  <c r="CS16" i="2"/>
  <c r="CR16" i="2"/>
  <c r="CQ16" i="2"/>
  <c r="CP16" i="2"/>
  <c r="CO16" i="2"/>
  <c r="CN16" i="2"/>
  <c r="CM16" i="2"/>
  <c r="CL16" i="2"/>
  <c r="CK16" i="2"/>
  <c r="CJ16" i="2"/>
  <c r="CD16" i="2"/>
  <c r="CC16" i="2"/>
  <c r="CB16" i="2"/>
  <c r="CA16" i="2"/>
  <c r="BZ16" i="2"/>
  <c r="BY16" i="2"/>
  <c r="BX16" i="2"/>
  <c r="BW16" i="2"/>
  <c r="BV16" i="2"/>
  <c r="BU16" i="2"/>
  <c r="BT16" i="2"/>
  <c r="BS16" i="2"/>
  <c r="BR16" i="2"/>
  <c r="BQ16" i="2"/>
  <c r="BP16" i="2"/>
  <c r="BO16" i="2"/>
  <c r="BN16" i="2"/>
  <c r="BM16" i="2"/>
  <c r="BL16" i="2"/>
  <c r="BJ16" i="2"/>
  <c r="BI16" i="2"/>
  <c r="BH16" i="2"/>
  <c r="BG16" i="2"/>
  <c r="BF16" i="2"/>
  <c r="AZ16" i="2"/>
  <c r="AY16" i="2"/>
  <c r="AX16" i="2"/>
  <c r="AW16" i="2"/>
  <c r="AV16" i="2"/>
  <c r="AT16" i="2"/>
  <c r="AS16" i="2"/>
  <c r="AR16" i="2"/>
  <c r="AQ16" i="2"/>
  <c r="AP16" i="2"/>
  <c r="AO16" i="2"/>
  <c r="AN16" i="2"/>
  <c r="AM16" i="2"/>
  <c r="AL16" i="2"/>
  <c r="AK16" i="2"/>
  <c r="AJ16" i="2"/>
  <c r="AH16" i="2"/>
  <c r="AF16" i="2"/>
  <c r="AD16" i="2"/>
  <c r="AC16" i="2"/>
  <c r="AB16" i="2"/>
  <c r="V16" i="2"/>
  <c r="U16" i="2"/>
  <c r="T16" i="2"/>
  <c r="S16" i="2"/>
  <c r="R16" i="2"/>
  <c r="Q16" i="2"/>
  <c r="P16" i="2"/>
  <c r="O16" i="2"/>
  <c r="N16" i="2"/>
  <c r="M16" i="2"/>
  <c r="L16" i="2"/>
  <c r="K16" i="2"/>
  <c r="J16" i="2"/>
  <c r="I16" i="2"/>
  <c r="H16" i="2"/>
  <c r="DH15" i="2"/>
  <c r="DG15" i="2"/>
  <c r="DF15" i="2"/>
  <c r="DE15" i="2"/>
  <c r="DD15" i="2"/>
  <c r="DC15" i="2"/>
  <c r="DB15" i="2"/>
  <c r="DA15" i="2"/>
  <c r="CZ15" i="2"/>
  <c r="CY15" i="2"/>
  <c r="CX15" i="2"/>
  <c r="CW15" i="2"/>
  <c r="CV15" i="2"/>
  <c r="CU15" i="2"/>
  <c r="CT15" i="2"/>
  <c r="CS15" i="2"/>
  <c r="CR15" i="2"/>
  <c r="CQ15" i="2"/>
  <c r="CP15" i="2"/>
  <c r="CO15" i="2"/>
  <c r="CN15" i="2"/>
  <c r="CM15" i="2"/>
  <c r="CL15" i="2"/>
  <c r="CK15" i="2"/>
  <c r="CD15" i="2"/>
  <c r="CC15" i="2"/>
  <c r="CB15" i="2"/>
  <c r="CA15" i="2"/>
  <c r="BZ15" i="2"/>
  <c r="BY15" i="2"/>
  <c r="BX15" i="2"/>
  <c r="BW15" i="2"/>
  <c r="BV15" i="2"/>
  <c r="BU15" i="2"/>
  <c r="BT15" i="2"/>
  <c r="BS15" i="2"/>
  <c r="BR15" i="2"/>
  <c r="BQ15" i="2"/>
  <c r="BP15" i="2"/>
  <c r="BO15" i="2"/>
  <c r="BN15" i="2"/>
  <c r="BM15" i="2"/>
  <c r="BL15" i="2"/>
  <c r="BK15" i="2"/>
  <c r="BJ15" i="2"/>
  <c r="BI15" i="2"/>
  <c r="BH15" i="2"/>
  <c r="BG15" i="2"/>
  <c r="BB15" i="2"/>
  <c r="BA15" i="2"/>
  <c r="BD15" i="2" s="1"/>
  <c r="AN15" i="2"/>
  <c r="BC15" i="2" s="1"/>
  <c r="AA15" i="2"/>
  <c r="Z15" i="2"/>
  <c r="Y15" i="2"/>
  <c r="X15" i="2"/>
  <c r="W15" i="2"/>
  <c r="DM14" i="2"/>
  <c r="DK14" i="2"/>
  <c r="CU14" i="2"/>
  <c r="CI14" i="2"/>
  <c r="CG14" i="2"/>
  <c r="CF14" i="2"/>
  <c r="CE14" i="2"/>
  <c r="CH14" i="2" s="1"/>
  <c r="BE14" i="2"/>
  <c r="BC14" i="2"/>
  <c r="AG14" i="2"/>
  <c r="AE14" i="2"/>
  <c r="AE16" i="2" s="1"/>
  <c r="AA14" i="2"/>
  <c r="Z14" i="2"/>
  <c r="Y14" i="2"/>
  <c r="X14" i="2"/>
  <c r="W14" i="2"/>
  <c r="DM13" i="2"/>
  <c r="DK13" i="2"/>
  <c r="DJ13" i="2"/>
  <c r="DI13" i="2"/>
  <c r="DL13" i="2" s="1"/>
  <c r="CI13" i="2"/>
  <c r="CG13" i="2"/>
  <c r="CF13" i="2"/>
  <c r="CE13" i="2"/>
  <c r="CH13" i="2" s="1"/>
  <c r="BE13" i="2"/>
  <c r="BC13" i="2"/>
  <c r="BB13" i="2"/>
  <c r="BA13" i="2"/>
  <c r="BD13" i="2" s="1"/>
  <c r="AA13" i="2"/>
  <c r="Z13" i="2"/>
  <c r="Y13" i="2"/>
  <c r="X13" i="2"/>
  <c r="W13" i="2"/>
  <c r="DM12" i="2"/>
  <c r="DK12" i="2"/>
  <c r="DJ12" i="2"/>
  <c r="DL12" i="2"/>
  <c r="CH12" i="2"/>
  <c r="CA12" i="2"/>
  <c r="CF12" i="2" s="1"/>
  <c r="BL12" i="2"/>
  <c r="CI12" i="2" s="1"/>
  <c r="BE12" i="2"/>
  <c r="BC12" i="2"/>
  <c r="AI12" i="2"/>
  <c r="BB12" i="2" s="1"/>
  <c r="AA12" i="2"/>
  <c r="Z12" i="2"/>
  <c r="Y12" i="2"/>
  <c r="X12" i="2"/>
  <c r="W12" i="2"/>
  <c r="DM11" i="2"/>
  <c r="DK11" i="2"/>
  <c r="DG11" i="2"/>
  <c r="CW11" i="2"/>
  <c r="CI11" i="2"/>
  <c r="CG11" i="2"/>
  <c r="BK11" i="2"/>
  <c r="BK16" i="2" s="1"/>
  <c r="BE11" i="2"/>
  <c r="BC11" i="2"/>
  <c r="AU11" i="2"/>
  <c r="AU16" i="2" s="1"/>
  <c r="AI11" i="2"/>
  <c r="AG11" i="2"/>
  <c r="Z11" i="2"/>
  <c r="Y11" i="2"/>
  <c r="X11" i="2"/>
  <c r="W11" i="2"/>
  <c r="DM10" i="2"/>
  <c r="DL10" i="2"/>
  <c r="DK10" i="2"/>
  <c r="DJ10" i="2"/>
  <c r="CI10" i="2"/>
  <c r="CG10" i="2"/>
  <c r="CF10" i="2"/>
  <c r="CE10" i="2"/>
  <c r="CH10" i="2" s="1"/>
  <c r="BE10" i="2"/>
  <c r="BC10" i="2"/>
  <c r="BB10" i="2"/>
  <c r="BA10" i="2"/>
  <c r="BD10" i="2" s="1"/>
  <c r="AA10" i="2"/>
  <c r="Z10" i="2"/>
  <c r="Y10" i="2"/>
  <c r="X10" i="2"/>
  <c r="W10" i="2"/>
  <c r="F5" i="2"/>
  <c r="DN17" i="1"/>
  <c r="DL17" i="1"/>
  <c r="DK17" i="1"/>
  <c r="DO17" i="1"/>
  <c r="CK17" i="1"/>
  <c r="CI17" i="1"/>
  <c r="CE17" i="1"/>
  <c r="CH17" i="1" s="1"/>
  <c r="BG17" i="1"/>
  <c r="BF17" i="1"/>
  <c r="BE17" i="1"/>
  <c r="BD17" i="1"/>
  <c r="BC17" i="1"/>
  <c r="AC17" i="1"/>
  <c r="Z17" i="1"/>
  <c r="J17" i="1"/>
  <c r="I17" i="1" s="1"/>
  <c r="DO16" i="1"/>
  <c r="DN16" i="1"/>
  <c r="DM16" i="1"/>
  <c r="DL16" i="1"/>
  <c r="DK16" i="1"/>
  <c r="CK16" i="1"/>
  <c r="CJ16" i="1"/>
  <c r="CI16" i="1"/>
  <c r="CH16" i="1"/>
  <c r="CG16" i="1"/>
  <c r="BG16" i="1"/>
  <c r="BF16" i="1"/>
  <c r="BE16" i="1"/>
  <c r="BD16" i="1"/>
  <c r="BC16" i="1"/>
  <c r="AC16" i="1"/>
  <c r="Z16" i="1"/>
  <c r="J16" i="1"/>
  <c r="DO15" i="1"/>
  <c r="DN15" i="1"/>
  <c r="DM15" i="1"/>
  <c r="DL15" i="1"/>
  <c r="DK15" i="1"/>
  <c r="CK15" i="1"/>
  <c r="CJ15" i="1"/>
  <c r="CI15" i="1"/>
  <c r="CH15" i="1"/>
  <c r="CG15" i="1"/>
  <c r="BG15" i="1"/>
  <c r="BF15" i="1"/>
  <c r="BE15" i="1"/>
  <c r="BD15" i="1"/>
  <c r="BC15" i="1"/>
  <c r="AC15" i="1"/>
  <c r="Z15" i="1"/>
  <c r="J15" i="1"/>
  <c r="DO14" i="1"/>
  <c r="DN14" i="1"/>
  <c r="DM14" i="1"/>
  <c r="DL14" i="1"/>
  <c r="DK14" i="1"/>
  <c r="CK14" i="1"/>
  <c r="CJ14" i="1"/>
  <c r="CI14" i="1"/>
  <c r="CH14" i="1"/>
  <c r="CG14" i="1"/>
  <c r="BG14" i="1"/>
  <c r="BF14" i="1"/>
  <c r="BE14" i="1"/>
  <c r="BD14" i="1"/>
  <c r="BC14" i="1"/>
  <c r="AC14" i="1"/>
  <c r="Z14" i="1"/>
  <c r="J14" i="1"/>
  <c r="DO13" i="1"/>
  <c r="DM13" i="1"/>
  <c r="DL13" i="1"/>
  <c r="DK13" i="1"/>
  <c r="CK13" i="1"/>
  <c r="CJ13" i="1"/>
  <c r="CI13" i="1"/>
  <c r="CH13" i="1"/>
  <c r="CG13" i="1"/>
  <c r="BG13" i="1"/>
  <c r="BF13" i="1"/>
  <c r="BE13" i="1"/>
  <c r="BD13" i="1"/>
  <c r="BC13" i="1"/>
  <c r="AC13" i="1"/>
  <c r="Z13" i="1"/>
  <c r="J13" i="1"/>
  <c r="G32" i="2" l="1"/>
  <c r="EV32" i="2" s="1"/>
  <c r="G11" i="2"/>
  <c r="G18" i="2"/>
  <c r="G27" i="2"/>
  <c r="EU10" i="2"/>
  <c r="G10" i="2"/>
  <c r="EV10" i="2" s="1"/>
  <c r="G14" i="2"/>
  <c r="G28" i="2"/>
  <c r="ET24" i="2"/>
  <c r="ET53" i="2"/>
  <c r="ET34" i="2"/>
  <c r="ET35" i="2"/>
  <c r="ET39" i="2"/>
  <c r="EP44" i="2"/>
  <c r="ET50" i="2"/>
  <c r="ET59" i="2"/>
  <c r="ET78" i="2"/>
  <c r="ET43" i="2"/>
  <c r="ET45" i="2"/>
  <c r="ET29" i="2"/>
  <c r="ET38" i="2"/>
  <c r="ET42" i="2"/>
  <c r="ET46" i="2"/>
  <c r="ET48" i="2"/>
  <c r="ET62" i="2"/>
  <c r="ET63" i="2"/>
  <c r="ET74" i="2"/>
  <c r="ET76" i="2"/>
  <c r="ET77" i="2"/>
  <c r="ET41" i="2"/>
  <c r="ET49" i="2"/>
  <c r="ET64" i="2"/>
  <c r="ET56" i="2"/>
  <c r="ET73" i="2"/>
  <c r="AB686" i="6"/>
  <c r="EM79" i="2"/>
  <c r="ES71" i="2"/>
  <c r="EU13" i="2"/>
  <c r="G13" i="2"/>
  <c r="EV13" i="2" s="1"/>
  <c r="G48" i="2"/>
  <c r="EV48" i="2" s="1"/>
  <c r="EU48" i="2"/>
  <c r="ES55" i="2"/>
  <c r="EV75" i="2"/>
  <c r="EV19" i="2"/>
  <c r="EU25" i="2"/>
  <c r="EV25" i="2"/>
  <c r="EV40" i="2"/>
  <c r="ES45" i="2"/>
  <c r="ES22" i="2"/>
  <c r="ES46" i="2"/>
  <c r="G52" i="2"/>
  <c r="EV52" i="2" s="1"/>
  <c r="ES63" i="2"/>
  <c r="EP72" i="2"/>
  <c r="ET72" i="2" s="1"/>
  <c r="ET67" i="2"/>
  <c r="ES70" i="2"/>
  <c r="G73" i="2"/>
  <c r="EV73" i="2" s="1"/>
  <c r="U731" i="4"/>
  <c r="ES74" i="2"/>
  <c r="H241" i="4"/>
  <c r="ES21" i="2"/>
  <c r="EV33" i="2"/>
  <c r="ES59" i="2"/>
  <c r="G34" i="2"/>
  <c r="EV34" i="2" s="1"/>
  <c r="ES24" i="2"/>
  <c r="G38" i="2"/>
  <c r="EV38" i="2" s="1"/>
  <c r="G41" i="2"/>
  <c r="EV41" i="2" s="1"/>
  <c r="EU41" i="2"/>
  <c r="G45" i="2"/>
  <c r="EV45" i="2" s="1"/>
  <c r="G53" i="2"/>
  <c r="EV53" i="2" s="1"/>
  <c r="EU55" i="2"/>
  <c r="G55" i="2"/>
  <c r="EV55" i="2" s="1"/>
  <c r="U673" i="4"/>
  <c r="ES56" i="2"/>
  <c r="ES60" i="2"/>
  <c r="ES17" i="2"/>
  <c r="G66" i="2"/>
  <c r="ES67" i="2"/>
  <c r="EV21" i="2"/>
  <c r="G49" i="2"/>
  <c r="EV49" i="2" s="1"/>
  <c r="ES50" i="2"/>
  <c r="G59" i="2"/>
  <c r="EV59" i="2" s="1"/>
  <c r="G63" i="2"/>
  <c r="EV63" i="2" s="1"/>
  <c r="X72" i="2"/>
  <c r="EV77" i="2"/>
  <c r="ES29" i="2"/>
  <c r="EU28" i="2"/>
  <c r="EV28" i="2"/>
  <c r="ES38" i="2"/>
  <c r="U671" i="4"/>
  <c r="ES53" i="2"/>
  <c r="EV11" i="2"/>
  <c r="EV35" i="2"/>
  <c r="H499" i="4"/>
  <c r="U499" i="4" s="1"/>
  <c r="ES42" i="2"/>
  <c r="U704" i="4"/>
  <c r="ES64" i="2"/>
  <c r="G76" i="2"/>
  <c r="EV76" i="2" s="1"/>
  <c r="EU76" i="2"/>
  <c r="ES68" i="2"/>
  <c r="EV17" i="2"/>
  <c r="EU17" i="2"/>
  <c r="EV26" i="2"/>
  <c r="H509" i="4"/>
  <c r="ES39" i="2"/>
  <c r="H185" i="4"/>
  <c r="ES18" i="2"/>
  <c r="U252" i="4"/>
  <c r="ES27" i="2"/>
  <c r="X51" i="2"/>
  <c r="EV18" i="2"/>
  <c r="ES20" i="2"/>
  <c r="U251" i="4"/>
  <c r="ES25" i="2"/>
  <c r="EV27" i="2"/>
  <c r="EU27" i="2"/>
  <c r="G42" i="2"/>
  <c r="EV42" i="2" s="1"/>
  <c r="ES48" i="2"/>
  <c r="U670" i="4"/>
  <c r="ES52" i="2"/>
  <c r="G60" i="2"/>
  <c r="EV60" i="2" s="1"/>
  <c r="U702" i="4"/>
  <c r="ES62" i="2"/>
  <c r="U732" i="4"/>
  <c r="ES76" i="2"/>
  <c r="EU20" i="2"/>
  <c r="G20" i="2"/>
  <c r="EV20" i="2" s="1"/>
  <c r="EV12" i="2"/>
  <c r="H655" i="4"/>
  <c r="ES49" i="2"/>
  <c r="EU62" i="2"/>
  <c r="G62" i="2"/>
  <c r="EV62" i="2" s="1"/>
  <c r="ES66" i="2"/>
  <c r="CI23" i="2"/>
  <c r="G24" i="2"/>
  <c r="G29" i="2" s="1"/>
  <c r="U325" i="4"/>
  <c r="ES28" i="2"/>
  <c r="G39" i="2"/>
  <c r="EV39" i="2" s="1"/>
  <c r="EV54" i="2"/>
  <c r="G67" i="2"/>
  <c r="EV67" i="2" s="1"/>
  <c r="EU67" i="2"/>
  <c r="EV68" i="2"/>
  <c r="EU68" i="2"/>
  <c r="U730" i="4"/>
  <c r="ES73" i="2"/>
  <c r="Y79" i="2"/>
  <c r="AE647" i="6"/>
  <c r="BC72" i="2"/>
  <c r="H798" i="6"/>
  <c r="U205" i="4"/>
  <c r="BC23" i="2"/>
  <c r="DK23" i="2"/>
  <c r="U672" i="4"/>
  <c r="CE23" i="2"/>
  <c r="CF23" i="2"/>
  <c r="U734" i="4"/>
  <c r="H493" i="4"/>
  <c r="U493" i="4" s="1"/>
  <c r="H445" i="4"/>
  <c r="U445" i="4" s="1"/>
  <c r="H433" i="4"/>
  <c r="U433" i="4" s="1"/>
  <c r="H475" i="4"/>
  <c r="U475" i="4" s="1"/>
  <c r="H505" i="4"/>
  <c r="U505" i="4" s="1"/>
  <c r="H427" i="4"/>
  <c r="U427" i="4" s="1"/>
  <c r="EP51" i="2"/>
  <c r="H653" i="4"/>
  <c r="H473" i="4"/>
  <c r="U733" i="4"/>
  <c r="U703" i="4"/>
  <c r="H547" i="4"/>
  <c r="H397" i="4"/>
  <c r="AW82" i="2"/>
  <c r="CU81" i="2"/>
  <c r="DJ81" i="2" s="1"/>
  <c r="EO58" i="2"/>
  <c r="Y65" i="2"/>
  <c r="V213" i="6"/>
  <c r="V539" i="6"/>
  <c r="Z65" i="2"/>
  <c r="V117" i="6"/>
  <c r="CI30" i="2"/>
  <c r="CI79" i="2"/>
  <c r="DI65" i="2"/>
  <c r="CX82" i="2"/>
  <c r="J483" i="6"/>
  <c r="DM58" i="2"/>
  <c r="EP79" i="2"/>
  <c r="DC82" i="2"/>
  <c r="I231" i="6"/>
  <c r="CG54" i="2"/>
  <c r="DM65" i="2"/>
  <c r="CH71" i="2"/>
  <c r="U798" i="6"/>
  <c r="DJ72" i="2"/>
  <c r="EO79" i="2"/>
  <c r="DG80" i="2"/>
  <c r="DG82" i="2" s="1"/>
  <c r="EO44" i="2"/>
  <c r="EO65" i="2"/>
  <c r="CI58" i="2"/>
  <c r="EP58" i="2"/>
  <c r="EP65" i="2"/>
  <c r="ET65" i="2" s="1"/>
  <c r="M82" i="2"/>
  <c r="U82" i="2"/>
  <c r="V227" i="6"/>
  <c r="DJ23" i="2"/>
  <c r="CE74" i="2"/>
  <c r="CH74" i="2" s="1"/>
  <c r="CH72" i="2"/>
  <c r="EN72" i="2"/>
  <c r="EN80" i="2"/>
  <c r="AE683" i="6"/>
  <c r="CP82" i="2"/>
  <c r="I82" i="2"/>
  <c r="Q82" i="2"/>
  <c r="AD82" i="2"/>
  <c r="BL82" i="2"/>
  <c r="EO81" i="2"/>
  <c r="DM37" i="2"/>
  <c r="X44" i="2"/>
  <c r="AX82" i="2"/>
  <c r="BN82" i="2"/>
  <c r="BV82" i="2"/>
  <c r="DH82" i="2"/>
  <c r="CY82" i="2"/>
  <c r="CF37" i="2"/>
  <c r="CG16" i="2"/>
  <c r="BH82" i="2"/>
  <c r="BR82" i="2"/>
  <c r="BZ82" i="2"/>
  <c r="W30" i="2"/>
  <c r="DM30" i="2"/>
  <c r="CB82" i="2"/>
  <c r="BE44" i="2"/>
  <c r="BD45" i="2"/>
  <c r="BD50" i="2" s="1"/>
  <c r="DL51" i="2"/>
  <c r="EM30" i="2"/>
  <c r="EM81" i="2"/>
  <c r="BD30" i="2"/>
  <c r="BB30" i="2"/>
  <c r="DM51" i="2"/>
  <c r="AY82" i="2"/>
  <c r="AM82" i="2"/>
  <c r="G653" i="4"/>
  <c r="EO51" i="2"/>
  <c r="X30" i="2"/>
  <c r="G395" i="4"/>
  <c r="EO30" i="2"/>
  <c r="BD31" i="2"/>
  <c r="EP37" i="2"/>
  <c r="EP81" i="2"/>
  <c r="DY40" i="2"/>
  <c r="EM40" i="2" s="1"/>
  <c r="EM44" i="2"/>
  <c r="EM80" i="2"/>
  <c r="J82" i="2"/>
  <c r="EO23" i="2"/>
  <c r="ES23" i="2" s="1"/>
  <c r="EO80" i="2"/>
  <c r="W44" i="2"/>
  <c r="EO37" i="2"/>
  <c r="ES37" i="2" s="1"/>
  <c r="ET44" i="2"/>
  <c r="EP80" i="2"/>
  <c r="AF82" i="2"/>
  <c r="CD82" i="2"/>
  <c r="CI44" i="2"/>
  <c r="DL30" i="2"/>
  <c r="DJ30" i="2"/>
  <c r="DJ29" i="2"/>
  <c r="AA44" i="2"/>
  <c r="N82" i="2"/>
  <c r="V82" i="2"/>
  <c r="CF43" i="2"/>
  <c r="DK16" i="2"/>
  <c r="BA12" i="2"/>
  <c r="BD12" i="2" s="1"/>
  <c r="EU12" i="2" s="1"/>
  <c r="Z51" i="2"/>
  <c r="DI51" i="2"/>
  <c r="CG58" i="2"/>
  <c r="BD59" i="2"/>
  <c r="EU59" i="2" s="1"/>
  <c r="DY75" i="2"/>
  <c r="EM75" i="2" s="1"/>
  <c r="BP82" i="2"/>
  <c r="BT82" i="2"/>
  <c r="H489" i="6"/>
  <c r="AD489" i="6"/>
  <c r="R489" i="6"/>
  <c r="W23" i="2"/>
  <c r="X37" i="2"/>
  <c r="CE33" i="2"/>
  <c r="CH33" i="2" s="1"/>
  <c r="DI39" i="2"/>
  <c r="DI44" i="2" s="1"/>
  <c r="BB75" i="2"/>
  <c r="BC47" i="2"/>
  <c r="W79" i="2"/>
  <c r="AA79" i="2"/>
  <c r="EP54" i="2"/>
  <c r="ET54" i="2" s="1"/>
  <c r="BE46" i="2"/>
  <c r="BE51" i="2" s="1"/>
  <c r="T673" i="4"/>
  <c r="BA21" i="2"/>
  <c r="BD21" i="2" s="1"/>
  <c r="EU21" i="2" s="1"/>
  <c r="BC37" i="2"/>
  <c r="DL34" i="2"/>
  <c r="EU34" i="2" s="1"/>
  <c r="Y44" i="2"/>
  <c r="G607" i="4"/>
  <c r="G655" i="4"/>
  <c r="G649" i="4"/>
  <c r="T649" i="4" s="1"/>
  <c r="T670" i="4"/>
  <c r="BB53" i="2"/>
  <c r="X689" i="6" s="1"/>
  <c r="X695" i="6" s="1"/>
  <c r="T734" i="4"/>
  <c r="O82" i="2"/>
  <c r="AR82" i="2"/>
  <c r="CN82" i="2"/>
  <c r="W16" i="2"/>
  <c r="AA23" i="2"/>
  <c r="CI31" i="2"/>
  <c r="DL31" i="2" s="1"/>
  <c r="EP31" i="2" s="1"/>
  <c r="W37" i="2"/>
  <c r="AA37" i="2"/>
  <c r="BD32" i="2"/>
  <c r="T414" i="4"/>
  <c r="Z44" i="2"/>
  <c r="CE40" i="2"/>
  <c r="CH40" i="2" s="1"/>
  <c r="BA46" i="2"/>
  <c r="BD46" i="2" s="1"/>
  <c r="CF51" i="2"/>
  <c r="DJ51" i="2"/>
  <c r="Y51" i="2"/>
  <c r="DJ50" i="2"/>
  <c r="BC58" i="2"/>
  <c r="CE63" i="2"/>
  <c r="CH63" i="2" s="1"/>
  <c r="EO72" i="2"/>
  <c r="DJ75" i="2"/>
  <c r="AI79" i="2"/>
  <c r="T733" i="4"/>
  <c r="H82" i="2"/>
  <c r="L82" i="2"/>
  <c r="P82" i="2"/>
  <c r="T82" i="2"/>
  <c r="AC82" i="2"/>
  <c r="CO82" i="2"/>
  <c r="I47" i="6"/>
  <c r="W599" i="6"/>
  <c r="H683" i="6"/>
  <c r="H687" i="6"/>
  <c r="T415" i="4"/>
  <c r="T416" i="4"/>
  <c r="BA11" i="2"/>
  <c r="BD11" i="2" s="1"/>
  <c r="Y81" i="2"/>
  <c r="AG81" i="2"/>
  <c r="AG23" i="2"/>
  <c r="BC30" i="2"/>
  <c r="DK30" i="2"/>
  <c r="DJ40" i="2"/>
  <c r="BB46" i="2"/>
  <c r="BB51" i="2" s="1"/>
  <c r="CE54" i="2"/>
  <c r="CH54" i="2" s="1"/>
  <c r="T672" i="4"/>
  <c r="DK57" i="2"/>
  <c r="T674" i="4"/>
  <c r="CH64" i="2"/>
  <c r="CI65" i="2"/>
  <c r="EP61" i="2"/>
  <c r="ET61" i="2" s="1"/>
  <c r="CI64" i="2"/>
  <c r="T730" i="4"/>
  <c r="DJ74" i="2"/>
  <c r="AJ82" i="2"/>
  <c r="AO82" i="2"/>
  <c r="DF82" i="2"/>
  <c r="M89" i="6"/>
  <c r="O632" i="6"/>
  <c r="O488" i="6"/>
  <c r="T732" i="4"/>
  <c r="Z16" i="2"/>
  <c r="AA81" i="2"/>
  <c r="DJ15" i="2"/>
  <c r="Z37" i="2"/>
  <c r="DK37" i="2"/>
  <c r="V83" i="6"/>
  <c r="V173" i="6"/>
  <c r="AE297" i="6"/>
  <c r="R629" i="6"/>
  <c r="R665" i="6" s="1"/>
  <c r="V671" i="6"/>
  <c r="AB738" i="4"/>
  <c r="CH43" i="2"/>
  <c r="CG44" i="2"/>
  <c r="BA42" i="2"/>
  <c r="BD42" i="2" s="1"/>
  <c r="EU42" i="2" s="1"/>
  <c r="BD52" i="2"/>
  <c r="BD57" i="2" s="1"/>
  <c r="BA75" i="2"/>
  <c r="BD75" i="2" s="1"/>
  <c r="CZ82" i="2"/>
  <c r="M797" i="6"/>
  <c r="M798" i="6" s="1"/>
  <c r="AD297" i="6"/>
  <c r="AD485" i="6"/>
  <c r="DI14" i="2"/>
  <c r="DL14" i="2" s="1"/>
  <c r="DM15" i="2"/>
  <c r="CE19" i="2"/>
  <c r="CH19" i="2" s="1"/>
  <c r="BC44" i="2"/>
  <c r="Z58" i="2"/>
  <c r="AI65" i="2"/>
  <c r="CF63" i="2"/>
  <c r="CF65" i="2" s="1"/>
  <c r="BB74" i="2"/>
  <c r="CW79" i="2"/>
  <c r="DI74" i="2"/>
  <c r="DJ77" i="2"/>
  <c r="CR82" i="2"/>
  <c r="DA82" i="2"/>
  <c r="V71" i="6"/>
  <c r="V77" i="6"/>
  <c r="CG12" i="2"/>
  <c r="CE29" i="2"/>
  <c r="CH29" i="2" s="1"/>
  <c r="Z30" i="2"/>
  <c r="CG30" i="2"/>
  <c r="BA35" i="2"/>
  <c r="K494" i="6" s="1"/>
  <c r="K500" i="6" s="1"/>
  <c r="CG65" i="2"/>
  <c r="CE71" i="2"/>
  <c r="DL72" i="2"/>
  <c r="W797" i="6"/>
  <c r="W798" i="6" s="1"/>
  <c r="J413" i="6"/>
  <c r="V621" i="6"/>
  <c r="I675" i="6"/>
  <c r="BE81" i="2"/>
  <c r="Z23" i="2"/>
  <c r="DK22" i="2"/>
  <c r="CF24" i="2"/>
  <c r="BA26" i="2"/>
  <c r="BD26" i="2" s="1"/>
  <c r="CG36" i="2"/>
  <c r="CI36" i="2" s="1"/>
  <c r="CI43" i="2"/>
  <c r="AG58" i="2"/>
  <c r="BC65" i="2"/>
  <c r="AB485" i="6"/>
  <c r="AB489" i="6" s="1"/>
  <c r="V561" i="6"/>
  <c r="U687" i="6"/>
  <c r="G798" i="6"/>
  <c r="DJ22" i="2"/>
  <c r="Y37" i="2"/>
  <c r="DK50" i="2"/>
  <c r="DJ57" i="2"/>
  <c r="X65" i="2"/>
  <c r="Z72" i="2"/>
  <c r="CF72" i="2"/>
  <c r="Y72" i="2"/>
  <c r="T149" i="6"/>
  <c r="J203" i="6"/>
  <c r="V351" i="6"/>
  <c r="AC489" i="6"/>
  <c r="U633" i="6"/>
  <c r="O686" i="6"/>
  <c r="AA80" i="2"/>
  <c r="AI23" i="2"/>
  <c r="DL23" i="2"/>
  <c r="AG44" i="2"/>
  <c r="W58" i="2"/>
  <c r="DE82" i="2"/>
  <c r="DK64" i="2"/>
  <c r="M65" i="6"/>
  <c r="Z149" i="6"/>
  <c r="V233" i="6"/>
  <c r="P293" i="6"/>
  <c r="V515" i="6"/>
  <c r="J663" i="6"/>
  <c r="W669" i="6"/>
  <c r="CW80" i="2"/>
  <c r="CW82" i="2" s="1"/>
  <c r="BA18" i="2"/>
  <c r="CI37" i="2"/>
  <c r="DM57" i="2"/>
  <c r="DJ64" i="2"/>
  <c r="Z79" i="2"/>
  <c r="V141" i="6"/>
  <c r="AA149" i="6"/>
  <c r="G153" i="6"/>
  <c r="N485" i="6"/>
  <c r="I627" i="6"/>
  <c r="G629" i="6"/>
  <c r="AE687" i="6"/>
  <c r="U685" i="6"/>
  <c r="AA738" i="4"/>
  <c r="CJ17" i="1"/>
  <c r="CG15" i="2"/>
  <c r="DK15" i="2"/>
  <c r="AI16" i="2"/>
  <c r="CW16" i="2"/>
  <c r="Y23" i="2"/>
  <c r="CE22" i="2"/>
  <c r="CH22" i="2" s="1"/>
  <c r="Y30" i="2"/>
  <c r="CF30" i="2"/>
  <c r="CF29" i="2"/>
  <c r="DK29" i="2"/>
  <c r="DM29" i="2"/>
  <c r="CG33" i="2"/>
  <c r="BE37" i="2"/>
  <c r="CF36" i="2"/>
  <c r="DJ36" i="2"/>
  <c r="DI36" i="2"/>
  <c r="BB39" i="2"/>
  <c r="CE44" i="2"/>
  <c r="CH39" i="2"/>
  <c r="CH44" i="2" s="1"/>
  <c r="BC46" i="2"/>
  <c r="BC51" i="2" s="1"/>
  <c r="DJ14" i="2"/>
  <c r="AA16" i="2"/>
  <c r="BE22" i="2"/>
  <c r="CI22" i="2"/>
  <c r="CF26" i="2"/>
  <c r="DI29" i="2"/>
  <c r="DL29" i="2" s="1"/>
  <c r="BB11" i="2"/>
  <c r="DJ11" i="2"/>
  <c r="BE15" i="2"/>
  <c r="CU16" i="2"/>
  <c r="BA30" i="2"/>
  <c r="DI30" i="2"/>
  <c r="DI43" i="2"/>
  <c r="DL43" i="2" s="1"/>
  <c r="CI47" i="2"/>
  <c r="EV47" i="2" s="1"/>
  <c r="CC80" i="2"/>
  <c r="CC82" i="2" s="1"/>
  <c r="CC58" i="2"/>
  <c r="CF15" i="2"/>
  <c r="CE15" i="2"/>
  <c r="CH15" i="2" s="1"/>
  <c r="X23" i="2"/>
  <c r="DM22" i="2"/>
  <c r="CE24" i="2"/>
  <c r="CH24" i="2" s="1"/>
  <c r="EU24" i="2" s="1"/>
  <c r="CG29" i="2"/>
  <c r="CI29" i="2"/>
  <c r="CG37" i="2"/>
  <c r="BA39" i="2"/>
  <c r="CA44" i="2"/>
  <c r="CF39" i="2"/>
  <c r="CF44" i="2" s="1"/>
  <c r="CE43" i="2"/>
  <c r="DI50" i="2"/>
  <c r="DL50" i="2" s="1"/>
  <c r="CF40" i="2"/>
  <c r="DK44" i="2"/>
  <c r="CH51" i="2"/>
  <c r="DE58" i="2"/>
  <c r="W72" i="2"/>
  <c r="CG72" i="2"/>
  <c r="BC75" i="2"/>
  <c r="CE77" i="2"/>
  <c r="CH77" i="2" s="1"/>
  <c r="DI77" i="2"/>
  <c r="DL77" i="2" s="1"/>
  <c r="DI78" i="2"/>
  <c r="DL78" i="2" s="1"/>
  <c r="AY79" i="2"/>
  <c r="AL82" i="2"/>
  <c r="AP82" i="2"/>
  <c r="AZ82" i="2"/>
  <c r="BJ82" i="2"/>
  <c r="BO82" i="2"/>
  <c r="BS82" i="2"/>
  <c r="BW82" i="2"/>
  <c r="R82" i="2"/>
  <c r="CG64" i="2"/>
  <c r="DK72" i="2"/>
  <c r="DM69" i="2"/>
  <c r="EU69" i="2" s="1"/>
  <c r="BE72" i="2"/>
  <c r="K82" i="2"/>
  <c r="S82" i="2"/>
  <c r="W75" i="6"/>
  <c r="W119" i="6"/>
  <c r="W93" i="6"/>
  <c r="W87" i="6"/>
  <c r="W117" i="6"/>
  <c r="W83" i="6"/>
  <c r="W21" i="6"/>
  <c r="G43" i="2"/>
  <c r="DJ44" i="2"/>
  <c r="CG40" i="2"/>
  <c r="BB42" i="2"/>
  <c r="DK43" i="2"/>
  <c r="CG51" i="2"/>
  <c r="CI50" i="2"/>
  <c r="DM50" i="2"/>
  <c r="AW51" i="2"/>
  <c r="DK51" i="2"/>
  <c r="X58" i="2"/>
  <c r="CF54" i="2"/>
  <c r="CG57" i="2"/>
  <c r="BA60" i="2"/>
  <c r="BD60" i="2" s="1"/>
  <c r="DJ65" i="2"/>
  <c r="CI61" i="2"/>
  <c r="EV61" i="2" s="1"/>
  <c r="BA64" i="2"/>
  <c r="X705" i="6" s="1"/>
  <c r="X771" i="6" s="1"/>
  <c r="CE64" i="2"/>
  <c r="AQ65" i="2"/>
  <c r="CE72" i="2"/>
  <c r="CI72" i="2"/>
  <c r="CH73" i="2"/>
  <c r="CH78" i="2" s="1"/>
  <c r="X79" i="2"/>
  <c r="BA74" i="2"/>
  <c r="BD74" i="2" s="1"/>
  <c r="CF74" i="2"/>
  <c r="DJ78" i="2"/>
  <c r="DK79" i="2"/>
  <c r="AH82" i="2"/>
  <c r="AN82" i="2"/>
  <c r="AT82" i="2"/>
  <c r="BG82" i="2"/>
  <c r="BQ82" i="2"/>
  <c r="BU82" i="2"/>
  <c r="BY82" i="2"/>
  <c r="CJ82" i="2"/>
  <c r="DD82" i="2"/>
  <c r="BF82" i="2"/>
  <c r="BX82" i="2"/>
  <c r="DB82" i="2"/>
  <c r="J83" i="6"/>
  <c r="W47" i="6"/>
  <c r="W65" i="6"/>
  <c r="DL60" i="2"/>
  <c r="DL65" i="2" s="1"/>
  <c r="BB61" i="2"/>
  <c r="W65" i="2"/>
  <c r="AA65" i="2"/>
  <c r="DI64" i="2"/>
  <c r="DL64" i="2" s="1"/>
  <c r="DI72" i="2"/>
  <c r="CG79" i="2"/>
  <c r="CF78" i="2"/>
  <c r="CF81" i="2"/>
  <c r="W35" i="6"/>
  <c r="I201" i="6"/>
  <c r="H293" i="6"/>
  <c r="I219" i="6"/>
  <c r="I227" i="6"/>
  <c r="V321" i="6"/>
  <c r="V341" i="6"/>
  <c r="V357" i="6"/>
  <c r="W519" i="6"/>
  <c r="W543" i="6"/>
  <c r="W551" i="6"/>
  <c r="I563" i="6"/>
  <c r="U629" i="6"/>
  <c r="W567" i="6"/>
  <c r="I623" i="6"/>
  <c r="J645" i="6"/>
  <c r="I671" i="6"/>
  <c r="V797" i="6"/>
  <c r="V798" i="6" s="1"/>
  <c r="G149" i="6"/>
  <c r="U149" i="6"/>
  <c r="AD153" i="6"/>
  <c r="J69" i="6"/>
  <c r="V131" i="6"/>
  <c r="V135" i="6"/>
  <c r="I161" i="6"/>
  <c r="I167" i="6"/>
  <c r="I171" i="6"/>
  <c r="I197" i="6"/>
  <c r="I203" i="6"/>
  <c r="I209" i="6"/>
  <c r="T293" i="6"/>
  <c r="I221" i="6"/>
  <c r="I333" i="6"/>
  <c r="W423" i="6"/>
  <c r="W335" i="6"/>
  <c r="V339" i="6"/>
  <c r="W353" i="6"/>
  <c r="J393" i="6"/>
  <c r="J591" i="6"/>
  <c r="P633" i="6"/>
  <c r="W515" i="6"/>
  <c r="Q629" i="6"/>
  <c r="Q665" i="6" s="1"/>
  <c r="I525" i="6"/>
  <c r="W539" i="6"/>
  <c r="H631" i="6"/>
  <c r="AC629" i="6"/>
  <c r="I555" i="6"/>
  <c r="W561" i="6"/>
  <c r="V563" i="6"/>
  <c r="G633" i="6"/>
  <c r="W581" i="6"/>
  <c r="I591" i="6"/>
  <c r="I617" i="6"/>
  <c r="J681" i="6"/>
  <c r="J669" i="6"/>
  <c r="J671" i="6"/>
  <c r="W671" i="6"/>
  <c r="V17" i="6"/>
  <c r="H153" i="6"/>
  <c r="V23" i="6"/>
  <c r="V87" i="6"/>
  <c r="V93" i="6"/>
  <c r="V119" i="6"/>
  <c r="V137" i="6"/>
  <c r="I165" i="6"/>
  <c r="U293" i="6"/>
  <c r="Q293" i="6"/>
  <c r="AC293" i="6"/>
  <c r="R297" i="6"/>
  <c r="V207" i="6"/>
  <c r="V221" i="6"/>
  <c r="U295" i="6"/>
  <c r="I273" i="6"/>
  <c r="J417" i="6"/>
  <c r="V327" i="6"/>
  <c r="V329" i="6"/>
  <c r="AE489" i="6"/>
  <c r="W419" i="6"/>
  <c r="Q633" i="6"/>
  <c r="I515" i="6"/>
  <c r="J543" i="6"/>
  <c r="W563" i="6"/>
  <c r="I573" i="6"/>
  <c r="I575" i="6"/>
  <c r="V587" i="6"/>
  <c r="J617" i="6"/>
  <c r="I659" i="6"/>
  <c r="H685" i="6"/>
  <c r="V81" i="6"/>
  <c r="R149" i="6"/>
  <c r="J21" i="6"/>
  <c r="V27" i="6"/>
  <c r="V51" i="6"/>
  <c r="V65" i="6"/>
  <c r="T151" i="6"/>
  <c r="V165" i="6"/>
  <c r="V171" i="6"/>
  <c r="AD293" i="6"/>
  <c r="I177" i="6"/>
  <c r="G293" i="6"/>
  <c r="V209" i="6"/>
  <c r="T297" i="6"/>
  <c r="U485" i="6"/>
  <c r="T487" i="6"/>
  <c r="G489" i="6"/>
  <c r="P489" i="6"/>
  <c r="H485" i="6"/>
  <c r="AA485" i="6"/>
  <c r="I567" i="6"/>
  <c r="R633" i="6"/>
  <c r="V519" i="6"/>
  <c r="J539" i="6"/>
  <c r="AD629" i="6"/>
  <c r="V543" i="6"/>
  <c r="V567" i="6"/>
  <c r="I569" i="6"/>
  <c r="I581" i="6"/>
  <c r="W587" i="6"/>
  <c r="J599" i="6"/>
  <c r="I677" i="6"/>
  <c r="J659" i="6"/>
  <c r="I665" i="6"/>
  <c r="U683" i="6"/>
  <c r="G687" i="6"/>
  <c r="T798" i="6"/>
  <c r="AB404" i="4"/>
  <c r="DL61" i="2"/>
  <c r="DL47" i="2"/>
  <c r="DL40" i="2"/>
  <c r="DL33" i="2"/>
  <c r="DL26" i="2"/>
  <c r="AC553" i="4"/>
  <c r="Z246" i="4"/>
  <c r="AA246" i="4"/>
  <c r="AA139" i="4"/>
  <c r="AA404" i="4"/>
  <c r="Z139" i="4"/>
  <c r="AA244" i="4"/>
  <c r="Z247" i="4"/>
  <c r="Z404" i="4"/>
  <c r="AD139" i="4"/>
  <c r="Z138" i="4"/>
  <c r="AD417" i="4"/>
  <c r="AB403" i="4"/>
  <c r="AB247" i="4"/>
  <c r="Z402" i="4"/>
  <c r="AB400" i="4"/>
  <c r="AA400" i="4"/>
  <c r="AA661" i="4"/>
  <c r="AE400" i="4"/>
  <c r="AD404" i="4"/>
  <c r="Z403" i="4"/>
  <c r="AB553" i="4"/>
  <c r="AB554" i="4"/>
  <c r="AD660" i="4"/>
  <c r="AB660" i="4"/>
  <c r="AC661" i="4"/>
  <c r="AA662" i="4"/>
  <c r="CH30" i="2"/>
  <c r="BB56" i="2"/>
  <c r="X692" i="6" s="1"/>
  <c r="X698" i="6" s="1"/>
  <c r="AE58" i="2"/>
  <c r="CI80" i="2"/>
  <c r="AG16" i="2"/>
  <c r="CE11" i="2"/>
  <c r="DK80" i="2"/>
  <c r="BA14" i="2"/>
  <c r="DI23" i="2"/>
  <c r="K490" i="6"/>
  <c r="K496" i="6" s="1"/>
  <c r="BA36" i="2"/>
  <c r="CM37" i="2"/>
  <c r="CM80" i="2"/>
  <c r="DJ32" i="2"/>
  <c r="DJ37" i="2" s="1"/>
  <c r="DM44" i="2"/>
  <c r="BB60" i="2"/>
  <c r="AG65" i="2"/>
  <c r="BA78" i="2"/>
  <c r="BD73" i="2"/>
  <c r="BD78" i="2" s="1"/>
  <c r="DK78" i="2"/>
  <c r="DM78" i="2"/>
  <c r="AI80" i="2"/>
  <c r="CT82" i="2"/>
  <c r="AD138" i="4"/>
  <c r="DM64" i="2"/>
  <c r="DM80" i="2"/>
  <c r="DM16" i="2"/>
  <c r="CE26" i="2"/>
  <c r="CH26" i="2" s="1"/>
  <c r="DI32" i="2"/>
  <c r="DL32" i="2" s="1"/>
  <c r="DL37" i="2" s="1"/>
  <c r="BB33" i="2"/>
  <c r="X492" i="6" s="1"/>
  <c r="X498" i="6" s="1"/>
  <c r="BA33" i="2"/>
  <c r="DK36" i="2"/>
  <c r="BD38" i="2"/>
  <c r="BD43" i="2" s="1"/>
  <c r="G56" i="2"/>
  <c r="EV56" i="2" s="1"/>
  <c r="AA58" i="2"/>
  <c r="AK72" i="2"/>
  <c r="BA70" i="2"/>
  <c r="BD70" i="2" s="1"/>
  <c r="BD72" i="2" s="1"/>
  <c r="DK81" i="2"/>
  <c r="BA56" i="2"/>
  <c r="X80" i="2"/>
  <c r="X16" i="2"/>
  <c r="Z81" i="2"/>
  <c r="DI15" i="2"/>
  <c r="DL15" i="2" s="1"/>
  <c r="CI16" i="2"/>
  <c r="DG16" i="2"/>
  <c r="BB18" i="2"/>
  <c r="BA19" i="2"/>
  <c r="BD19" i="2" s="1"/>
  <c r="CG19" i="2"/>
  <c r="AI81" i="2"/>
  <c r="BB21" i="2"/>
  <c r="DI22" i="2"/>
  <c r="DL22" i="2" s="1"/>
  <c r="CH32" i="2"/>
  <c r="CH37" i="2" s="1"/>
  <c r="CE37" i="2"/>
  <c r="CH36" i="2"/>
  <c r="DJ43" i="2"/>
  <c r="CF50" i="2"/>
  <c r="AA51" i="2"/>
  <c r="DI53" i="2"/>
  <c r="DI54" i="2"/>
  <c r="CI57" i="2"/>
  <c r="BA61" i="2"/>
  <c r="BB63" i="2"/>
  <c r="CF64" i="2"/>
  <c r="BC74" i="2"/>
  <c r="BC79" i="2" s="1"/>
  <c r="AV79" i="2"/>
  <c r="BE74" i="2"/>
  <c r="CL82" i="2"/>
  <c r="CG17" i="1"/>
  <c r="Y16" i="2"/>
  <c r="CI15" i="2"/>
  <c r="CG23" i="2"/>
  <c r="BC29" i="2"/>
  <c r="BE30" i="2"/>
  <c r="BB35" i="2"/>
  <c r="CG43" i="2"/>
  <c r="CI51" i="2"/>
  <c r="CF47" i="2"/>
  <c r="CE47" i="2"/>
  <c r="CH47" i="2" s="1"/>
  <c r="CA57" i="2"/>
  <c r="CF52" i="2"/>
  <c r="Y58" i="2"/>
  <c r="BE58" i="2"/>
  <c r="DI57" i="2"/>
  <c r="DL57" i="2" s="1"/>
  <c r="BE65" i="2"/>
  <c r="CF61" i="2"/>
  <c r="CE61" i="2"/>
  <c r="CH61" i="2" s="1"/>
  <c r="CS80" i="2"/>
  <c r="CS82" i="2" s="1"/>
  <c r="CS58" i="2"/>
  <c r="DJ53" i="2"/>
  <c r="Z80" i="2"/>
  <c r="BE16" i="2"/>
  <c r="DI11" i="2"/>
  <c r="AE81" i="2"/>
  <c r="BB14" i="2"/>
  <c r="CG81" i="2"/>
  <c r="BC16" i="2"/>
  <c r="AK80" i="2"/>
  <c r="AK23" i="2"/>
  <c r="CH18" i="2"/>
  <c r="CH23" i="2" s="1"/>
  <c r="CF22" i="2"/>
  <c r="CE30" i="2"/>
  <c r="CH31" i="2"/>
  <c r="CF33" i="2"/>
  <c r="CM44" i="2"/>
  <c r="CH45" i="2"/>
  <c r="CH50" i="2" s="1"/>
  <c r="CE50" i="2"/>
  <c r="W51" i="2"/>
  <c r="CC57" i="2"/>
  <c r="CE52" i="2"/>
  <c r="CF53" i="2"/>
  <c r="CF58" i="2" s="1"/>
  <c r="CA58" i="2"/>
  <c r="CH60" i="2"/>
  <c r="AG80" i="2"/>
  <c r="BK80" i="2"/>
  <c r="BK82" i="2" s="1"/>
  <c r="CF11" i="2"/>
  <c r="CF16" i="2" s="1"/>
  <c r="CG22" i="2"/>
  <c r="DM43" i="2"/>
  <c r="BB47" i="2"/>
  <c r="BA47" i="2"/>
  <c r="BD47" i="2" s="1"/>
  <c r="AE51" i="2"/>
  <c r="BA49" i="2"/>
  <c r="BD49" i="2" s="1"/>
  <c r="EU49" i="2" s="1"/>
  <c r="CG50" i="2"/>
  <c r="CE51" i="2"/>
  <c r="DJ54" i="2"/>
  <c r="AK81" i="2"/>
  <c r="BA63" i="2"/>
  <c r="AK65" i="2"/>
  <c r="BD66" i="2"/>
  <c r="EU66" i="2" s="1"/>
  <c r="BA71" i="2"/>
  <c r="BB70" i="2"/>
  <c r="BB72" i="2" s="1"/>
  <c r="AE72" i="2"/>
  <c r="Y80" i="2"/>
  <c r="DM70" i="2"/>
  <c r="DM81" i="2" s="1"/>
  <c r="CF77" i="2"/>
  <c r="AQ80" i="2"/>
  <c r="AQ82" i="2" s="1"/>
  <c r="Z140" i="4"/>
  <c r="AB139" i="4"/>
  <c r="BA77" i="2"/>
  <c r="BD77" i="2" s="1"/>
  <c r="AU80" i="2"/>
  <c r="AU82" i="2" s="1"/>
  <c r="AS80" i="2"/>
  <c r="AS82" i="2" s="1"/>
  <c r="W81" i="2"/>
  <c r="CI81" i="2"/>
  <c r="CA80" i="2"/>
  <c r="CA82" i="2" s="1"/>
  <c r="AV80" i="2"/>
  <c r="AV82" i="2" s="1"/>
  <c r="CQ80" i="2"/>
  <c r="CQ82" i="2" s="1"/>
  <c r="CQ79" i="2"/>
  <c r="BB77" i="2"/>
  <c r="CG78" i="2"/>
  <c r="AB136" i="4"/>
  <c r="AC140" i="4"/>
  <c r="AA140" i="4"/>
  <c r="W80" i="2"/>
  <c r="CG80" i="2"/>
  <c r="X81" i="2"/>
  <c r="BC81" i="2"/>
  <c r="AA30" i="2"/>
  <c r="CE53" i="2"/>
  <c r="BM65" i="2"/>
  <c r="DK71" i="2"/>
  <c r="AA72" i="2"/>
  <c r="DI75" i="2"/>
  <c r="AB82" i="2"/>
  <c r="K723" i="6" s="1"/>
  <c r="U47" i="3"/>
  <c r="AD248" i="4"/>
  <c r="AB402" i="4"/>
  <c r="X497" i="6"/>
  <c r="AG79" i="2"/>
  <c r="BI82" i="2"/>
  <c r="BI79" i="2"/>
  <c r="BM82" i="2"/>
  <c r="AB138" i="4"/>
  <c r="AE248" i="4"/>
  <c r="CF75" i="2"/>
  <c r="CE75" i="2"/>
  <c r="CH75" i="2" s="1"/>
  <c r="AE136" i="4"/>
  <c r="AB140" i="4"/>
  <c r="AC138" i="4"/>
  <c r="Z136" i="4"/>
  <c r="AE138" i="4"/>
  <c r="AD244" i="4"/>
  <c r="AA136" i="4"/>
  <c r="AD140" i="4"/>
  <c r="AA247" i="4"/>
  <c r="AD400" i="4"/>
  <c r="AE140" i="4"/>
  <c r="AC136" i="4"/>
  <c r="AC247" i="4"/>
  <c r="AB248" i="4"/>
  <c r="AD136" i="4"/>
  <c r="AA138" i="4"/>
  <c r="Z244" i="4"/>
  <c r="AD246" i="4"/>
  <c r="AB550" i="4"/>
  <c r="AB244" i="4"/>
  <c r="AB246" i="4"/>
  <c r="Z248" i="4"/>
  <c r="AC404" i="4"/>
  <c r="AC244" i="4"/>
  <c r="AC246" i="4"/>
  <c r="AA248" i="4"/>
  <c r="AC403" i="4"/>
  <c r="AD550" i="4"/>
  <c r="AC554" i="4"/>
  <c r="AE244" i="4"/>
  <c r="AE246" i="4"/>
  <c r="AD247" i="4"/>
  <c r="AC248" i="4"/>
  <c r="AE247" i="4"/>
  <c r="Z553" i="4"/>
  <c r="AD403" i="4"/>
  <c r="AA402" i="4"/>
  <c r="AB552" i="4"/>
  <c r="AA553" i="4"/>
  <c r="AE403" i="4"/>
  <c r="AA403" i="4"/>
  <c r="AC552" i="4"/>
  <c r="AE550" i="4"/>
  <c r="AC402" i="4"/>
  <c r="AD552" i="4"/>
  <c r="AE552" i="4"/>
  <c r="AE402" i="4"/>
  <c r="Z400" i="4"/>
  <c r="AD402" i="4"/>
  <c r="Z550" i="4"/>
  <c r="AE404" i="4"/>
  <c r="W251" i="6"/>
  <c r="W209" i="6"/>
  <c r="W197" i="6"/>
  <c r="W173" i="6"/>
  <c r="W263" i="6"/>
  <c r="W221" i="6"/>
  <c r="W215" i="6"/>
  <c r="W213" i="6"/>
  <c r="W171" i="6"/>
  <c r="W269" i="6"/>
  <c r="W267" i="6"/>
  <c r="W233" i="6"/>
  <c r="W203" i="6"/>
  <c r="W177" i="6"/>
  <c r="W165" i="6"/>
  <c r="W231" i="6"/>
  <c r="W227" i="6"/>
  <c r="W207" i="6"/>
  <c r="W273" i="6"/>
  <c r="W237" i="6"/>
  <c r="AC550" i="4"/>
  <c r="AC400" i="4"/>
  <c r="Z552" i="4"/>
  <c r="AE554" i="4"/>
  <c r="AA658" i="4"/>
  <c r="AA550" i="4"/>
  <c r="AA552" i="4"/>
  <c r="AD554" i="4"/>
  <c r="Z662" i="4"/>
  <c r="Z554" i="4"/>
  <c r="AD662" i="4"/>
  <c r="AA554" i="4"/>
  <c r="Z658" i="4"/>
  <c r="AB662" i="4"/>
  <c r="AE662" i="4"/>
  <c r="J141" i="6"/>
  <c r="J131" i="6"/>
  <c r="J45" i="6"/>
  <c r="J143" i="6"/>
  <c r="J137" i="6"/>
  <c r="J93" i="6"/>
  <c r="J87" i="6"/>
  <c r="J47" i="6"/>
  <c r="J135" i="6"/>
  <c r="J123" i="6"/>
  <c r="J119" i="6"/>
  <c r="J89" i="6"/>
  <c r="J51" i="6"/>
  <c r="J75" i="6"/>
  <c r="J71" i="6"/>
  <c r="J39" i="6"/>
  <c r="J113" i="6"/>
  <c r="J27" i="6"/>
  <c r="J147" i="6"/>
  <c r="J117" i="6"/>
  <c r="J41" i="6"/>
  <c r="J35" i="6"/>
  <c r="J17" i="6"/>
  <c r="J65" i="6"/>
  <c r="J81" i="6"/>
  <c r="J23" i="6"/>
  <c r="J77" i="6"/>
  <c r="AC662" i="4"/>
  <c r="M77" i="6"/>
  <c r="M131" i="6"/>
  <c r="M137" i="6"/>
  <c r="M119" i="6"/>
  <c r="M35" i="6"/>
  <c r="M17" i="6"/>
  <c r="M83" i="6"/>
  <c r="M143" i="6"/>
  <c r="M47" i="6"/>
  <c r="H149" i="6"/>
  <c r="AC658" i="4"/>
  <c r="Z660" i="4"/>
  <c r="AB661" i="4"/>
  <c r="AD658" i="4"/>
  <c r="AA660" i="4"/>
  <c r="Z661" i="4"/>
  <c r="AE660" i="4"/>
  <c r="AE149" i="6"/>
  <c r="AB658" i="4"/>
  <c r="H297" i="6"/>
  <c r="I347" i="6"/>
  <c r="I335" i="6"/>
  <c r="I321" i="6"/>
  <c r="I483" i="6"/>
  <c r="I419" i="6"/>
  <c r="I413" i="6"/>
  <c r="I317" i="6"/>
  <c r="I341" i="6"/>
  <c r="I417" i="6"/>
  <c r="I323" i="6"/>
  <c r="I479" i="6"/>
  <c r="I351" i="6"/>
  <c r="I327" i="6"/>
  <c r="I357" i="6"/>
  <c r="I345" i="6"/>
  <c r="I353" i="6"/>
  <c r="I329" i="6"/>
  <c r="I423" i="6"/>
  <c r="I339" i="6"/>
  <c r="AC660" i="4"/>
  <c r="J273" i="6"/>
  <c r="J251" i="6"/>
  <c r="J237" i="6"/>
  <c r="J231" i="6"/>
  <c r="J219" i="6"/>
  <c r="J165" i="6"/>
  <c r="J227" i="6"/>
  <c r="J221" i="6"/>
  <c r="J177" i="6"/>
  <c r="J167" i="6"/>
  <c r="J161" i="6"/>
  <c r="J171" i="6"/>
  <c r="J291" i="6"/>
  <c r="J269" i="6"/>
  <c r="J233" i="6"/>
  <c r="J213" i="6"/>
  <c r="J207" i="6"/>
  <c r="J173" i="6"/>
  <c r="J287" i="6"/>
  <c r="J267" i="6"/>
  <c r="J255" i="6"/>
  <c r="J215" i="6"/>
  <c r="J209" i="6"/>
  <c r="J263" i="6"/>
  <c r="J201" i="6"/>
  <c r="J197" i="6"/>
  <c r="J225" i="6"/>
  <c r="AB149" i="6"/>
  <c r="AB153" i="6" s="1"/>
  <c r="U153" i="6"/>
  <c r="AD149" i="6"/>
  <c r="AE658" i="4"/>
  <c r="I75" i="6"/>
  <c r="I71" i="6"/>
  <c r="I39" i="6"/>
  <c r="I117" i="6"/>
  <c r="I81" i="6"/>
  <c r="I77" i="6"/>
  <c r="I35" i="6"/>
  <c r="I27" i="6"/>
  <c r="I23" i="6"/>
  <c r="I21" i="6"/>
  <c r="I17" i="6"/>
  <c r="I147" i="6"/>
  <c r="I69" i="6"/>
  <c r="I65" i="6"/>
  <c r="I135" i="6"/>
  <c r="I123" i="6"/>
  <c r="I119" i="6"/>
  <c r="I51" i="6"/>
  <c r="Q149" i="6"/>
  <c r="I93" i="6"/>
  <c r="I143" i="6"/>
  <c r="Q485" i="6"/>
  <c r="AE485" i="6"/>
  <c r="J569" i="6"/>
  <c r="AB683" i="6"/>
  <c r="AB657" i="6"/>
  <c r="AB687" i="6" s="1"/>
  <c r="J351" i="6"/>
  <c r="J339" i="6"/>
  <c r="J323" i="6"/>
  <c r="J389" i="6"/>
  <c r="J327" i="6"/>
  <c r="J329" i="6"/>
  <c r="J479" i="6"/>
  <c r="J423" i="6"/>
  <c r="J353" i="6"/>
  <c r="J347" i="6"/>
  <c r="J333" i="6"/>
  <c r="J419" i="6"/>
  <c r="J357" i="6"/>
  <c r="J345" i="6"/>
  <c r="J335" i="6"/>
  <c r="J341" i="6"/>
  <c r="J321" i="6"/>
  <c r="J317" i="6"/>
  <c r="U487" i="6"/>
  <c r="AD633" i="6"/>
  <c r="AC735" i="4"/>
  <c r="I87" i="6"/>
  <c r="U297" i="6"/>
  <c r="W345" i="6"/>
  <c r="AC485" i="6"/>
  <c r="AE735" i="4"/>
  <c r="W135" i="6"/>
  <c r="W131" i="6"/>
  <c r="W71" i="6"/>
  <c r="W141" i="6"/>
  <c r="W137" i="6"/>
  <c r="W41" i="6"/>
  <c r="W27" i="6"/>
  <c r="W23" i="6"/>
  <c r="W123" i="6"/>
  <c r="W113" i="6"/>
  <c r="W45" i="6"/>
  <c r="W77" i="6"/>
  <c r="W51" i="6"/>
  <c r="W17" i="6"/>
  <c r="U151" i="6"/>
  <c r="Q153" i="6"/>
  <c r="AE153" i="6"/>
  <c r="I113" i="6"/>
  <c r="Q297" i="6"/>
  <c r="G297" i="6"/>
  <c r="P485" i="6"/>
  <c r="AE629" i="6"/>
  <c r="N149" i="6"/>
  <c r="R153" i="6"/>
  <c r="I137" i="6"/>
  <c r="I141" i="6"/>
  <c r="AE293" i="6"/>
  <c r="W341" i="6"/>
  <c r="W321" i="6"/>
  <c r="W351" i="6"/>
  <c r="W339" i="6"/>
  <c r="W389" i="6"/>
  <c r="W329" i="6"/>
  <c r="W317" i="6"/>
  <c r="W393" i="6"/>
  <c r="W323" i="6"/>
  <c r="W413" i="6"/>
  <c r="W357" i="6"/>
  <c r="W347" i="6"/>
  <c r="W417" i="6"/>
  <c r="W327" i="6"/>
  <c r="G485" i="6"/>
  <c r="U489" i="6"/>
  <c r="W333" i="6"/>
  <c r="J621" i="6"/>
  <c r="J603" i="6"/>
  <c r="J585" i="6"/>
  <c r="J587" i="6"/>
  <c r="J573" i="6"/>
  <c r="J567" i="6"/>
  <c r="J563" i="6"/>
  <c r="J561" i="6"/>
  <c r="J519" i="6"/>
  <c r="J627" i="6"/>
  <c r="J623" i="6"/>
  <c r="J575" i="6"/>
  <c r="J525" i="6"/>
  <c r="J579" i="6"/>
  <c r="J551" i="6"/>
  <c r="J555" i="6"/>
  <c r="J515" i="6"/>
  <c r="J521" i="6"/>
  <c r="J557" i="6"/>
  <c r="P629" i="6"/>
  <c r="P665" i="6" s="1"/>
  <c r="H629" i="6"/>
  <c r="AB632" i="6"/>
  <c r="J581" i="6"/>
  <c r="T153" i="6"/>
  <c r="W39" i="6"/>
  <c r="W69" i="6"/>
  <c r="W81" i="6"/>
  <c r="W89" i="6"/>
  <c r="I131" i="6"/>
  <c r="K797" i="6"/>
  <c r="K798" i="6" s="1"/>
  <c r="K499" i="6"/>
  <c r="H633" i="6"/>
  <c r="V113" i="6"/>
  <c r="V123" i="6"/>
  <c r="V269" i="6"/>
  <c r="V215" i="6"/>
  <c r="V203" i="6"/>
  <c r="V197" i="6"/>
  <c r="V161" i="6"/>
  <c r="V201" i="6"/>
  <c r="I207" i="6"/>
  <c r="I213" i="6"/>
  <c r="V219" i="6"/>
  <c r="V225" i="6"/>
  <c r="I269" i="6"/>
  <c r="I291" i="6"/>
  <c r="AB293" i="6"/>
  <c r="AB297" i="6" s="1"/>
  <c r="I521" i="6"/>
  <c r="V599" i="6"/>
  <c r="W675" i="6"/>
  <c r="W665" i="6"/>
  <c r="W663" i="6"/>
  <c r="W645" i="6"/>
  <c r="W641" i="6"/>
  <c r="W659" i="6"/>
  <c r="J675" i="6"/>
  <c r="J677" i="6"/>
  <c r="I681" i="6"/>
  <c r="V69" i="6"/>
  <c r="V89" i="6"/>
  <c r="W167" i="6"/>
  <c r="W161" i="6"/>
  <c r="V167" i="6"/>
  <c r="W201" i="6"/>
  <c r="W219" i="6"/>
  <c r="W225" i="6"/>
  <c r="V237" i="6"/>
  <c r="W255" i="6"/>
  <c r="V273" i="6"/>
  <c r="I557" i="6"/>
  <c r="U631" i="6"/>
  <c r="W555" i="6"/>
  <c r="I561" i="6"/>
  <c r="V581" i="6"/>
  <c r="I599" i="6"/>
  <c r="I669" i="6"/>
  <c r="R485" i="6"/>
  <c r="V555" i="6"/>
  <c r="V551" i="6"/>
  <c r="V591" i="6"/>
  <c r="V573" i="6"/>
  <c r="V557" i="6"/>
  <c r="V617" i="6"/>
  <c r="V603" i="6"/>
  <c r="V585" i="6"/>
  <c r="V579" i="6"/>
  <c r="V575" i="6"/>
  <c r="V525" i="6"/>
  <c r="V521" i="6"/>
  <c r="V569" i="6"/>
  <c r="AB629" i="6"/>
  <c r="AB519" i="6"/>
  <c r="AB633" i="6" s="1"/>
  <c r="AC633" i="6"/>
  <c r="I551" i="6"/>
  <c r="I579" i="6"/>
  <c r="V21" i="6"/>
  <c r="V35" i="6"/>
  <c r="V39" i="6"/>
  <c r="V47" i="6"/>
  <c r="V75" i="6"/>
  <c r="I233" i="6"/>
  <c r="I225" i="6"/>
  <c r="I173" i="6"/>
  <c r="R293" i="6"/>
  <c r="V231" i="6"/>
  <c r="V419" i="6"/>
  <c r="V413" i="6"/>
  <c r="V333" i="6"/>
  <c r="V323" i="6"/>
  <c r="V353" i="6"/>
  <c r="V347" i="6"/>
  <c r="V335" i="6"/>
  <c r="V317" i="6"/>
  <c r="V345" i="6"/>
  <c r="V423" i="6"/>
  <c r="W591" i="6"/>
  <c r="W573" i="6"/>
  <c r="W557" i="6"/>
  <c r="W617" i="6"/>
  <c r="W603" i="6"/>
  <c r="W585" i="6"/>
  <c r="W579" i="6"/>
  <c r="W575" i="6"/>
  <c r="W525" i="6"/>
  <c r="W521" i="6"/>
  <c r="W569" i="6"/>
  <c r="W621" i="6"/>
  <c r="O629" i="6"/>
  <c r="O665" i="6" s="1"/>
  <c r="O519" i="6"/>
  <c r="O633" i="6" s="1"/>
  <c r="I519" i="6"/>
  <c r="I539" i="6"/>
  <c r="I543" i="6"/>
  <c r="J641" i="6"/>
  <c r="J665" i="6"/>
  <c r="I215" i="6"/>
  <c r="I237" i="6"/>
  <c r="I287" i="6"/>
  <c r="Q489" i="6"/>
  <c r="V417" i="6"/>
  <c r="T631" i="6"/>
  <c r="V669" i="6"/>
  <c r="V659" i="6"/>
  <c r="V675" i="6"/>
  <c r="V665" i="6"/>
  <c r="V663" i="6"/>
  <c r="I587" i="6"/>
  <c r="I585" i="6"/>
  <c r="I603" i="6"/>
  <c r="I621" i="6"/>
  <c r="I663" i="6"/>
  <c r="G15" i="2" l="1"/>
  <c r="G16" i="2"/>
  <c r="ET37" i="2"/>
  <c r="ET58" i="2"/>
  <c r="EV24" i="2"/>
  <c r="ET51" i="2"/>
  <c r="U254" i="4"/>
  <c r="U403" i="4"/>
  <c r="EU43" i="2"/>
  <c r="H323" i="4"/>
  <c r="U323" i="4" s="1"/>
  <c r="U255" i="4"/>
  <c r="G70" i="2"/>
  <c r="EU50" i="2"/>
  <c r="ES72" i="2"/>
  <c r="EU40" i="2"/>
  <c r="EU77" i="2"/>
  <c r="EU60" i="2"/>
  <c r="EU29" i="2"/>
  <c r="AA82" i="2"/>
  <c r="H239" i="4"/>
  <c r="H243" i="4" s="1"/>
  <c r="H431" i="4"/>
  <c r="U431" i="4" s="1"/>
  <c r="H605" i="4"/>
  <c r="H659" i="4" s="1"/>
  <c r="H317" i="4"/>
  <c r="EU70" i="2"/>
  <c r="EU15" i="2"/>
  <c r="BD35" i="2"/>
  <c r="BD37" i="2" s="1"/>
  <c r="EU37" i="2" s="1"/>
  <c r="H511" i="4"/>
  <c r="U511" i="4" s="1"/>
  <c r="H451" i="4"/>
  <c r="U451" i="4" s="1"/>
  <c r="EU47" i="2"/>
  <c r="BA37" i="2"/>
  <c r="EV15" i="2"/>
  <c r="H523" i="4"/>
  <c r="U523" i="4" s="1"/>
  <c r="H487" i="4"/>
  <c r="U487" i="4" s="1"/>
  <c r="G69" i="2"/>
  <c r="EV69" i="2" s="1"/>
  <c r="G22" i="2"/>
  <c r="EV22" i="2" s="1"/>
  <c r="EU26" i="2"/>
  <c r="EU32" i="2"/>
  <c r="H197" i="4"/>
  <c r="H201" i="4" s="1"/>
  <c r="U201" i="4" s="1"/>
  <c r="H541" i="4"/>
  <c r="U541" i="4" s="1"/>
  <c r="EU22" i="2"/>
  <c r="EU19" i="2"/>
  <c r="H481" i="4"/>
  <c r="U481" i="4" s="1"/>
  <c r="EU46" i="2"/>
  <c r="H191" i="4"/>
  <c r="U191" i="4" s="1"/>
  <c r="H485" i="4"/>
  <c r="G64" i="2"/>
  <c r="EV64" i="2" s="1"/>
  <c r="G50" i="2"/>
  <c r="EV50" i="2" s="1"/>
  <c r="EV43" i="2"/>
  <c r="CH81" i="2"/>
  <c r="H203" i="4"/>
  <c r="U203" i="4" s="1"/>
  <c r="H395" i="4"/>
  <c r="H399" i="4" s="1"/>
  <c r="H491" i="4"/>
  <c r="H495" i="4" s="1"/>
  <c r="U495" i="4" s="1"/>
  <c r="H649" i="4"/>
  <c r="U649" i="4" s="1"/>
  <c r="EU38" i="2"/>
  <c r="EU30" i="2"/>
  <c r="G57" i="2"/>
  <c r="EV57" i="2" s="1"/>
  <c r="H607" i="4"/>
  <c r="U607" i="4" s="1"/>
  <c r="EU45" i="2"/>
  <c r="DM31" i="2"/>
  <c r="EQ31" i="2" s="1"/>
  <c r="EV31" i="2" s="1"/>
  <c r="H155" i="4"/>
  <c r="U155" i="4" s="1"/>
  <c r="H449" i="4"/>
  <c r="H425" i="4"/>
  <c r="U425" i="4" s="1"/>
  <c r="H151" i="4"/>
  <c r="U151" i="4" s="1"/>
  <c r="ES30" i="2"/>
  <c r="U705" i="4"/>
  <c r="ES65" i="2"/>
  <c r="H233" i="4"/>
  <c r="U233" i="4" s="1"/>
  <c r="H539" i="4"/>
  <c r="U539" i="4" s="1"/>
  <c r="H503" i="4"/>
  <c r="H507" i="4" s="1"/>
  <c r="U507" i="4" s="1"/>
  <c r="ES44" i="2"/>
  <c r="H179" i="4"/>
  <c r="H183" i="4" s="1"/>
  <c r="U183" i="4" s="1"/>
  <c r="H479" i="4"/>
  <c r="U479" i="4" s="1"/>
  <c r="H497" i="4"/>
  <c r="U497" i="4" s="1"/>
  <c r="EV70" i="2"/>
  <c r="U738" i="4"/>
  <c r="H545" i="4"/>
  <c r="H549" i="4" s="1"/>
  <c r="H443" i="4"/>
  <c r="H447" i="4" s="1"/>
  <c r="U447" i="4" s="1"/>
  <c r="H149" i="4"/>
  <c r="EV46" i="2"/>
  <c r="G74" i="2"/>
  <c r="EV74" i="2" s="1"/>
  <c r="EV66" i="2"/>
  <c r="G78" i="2"/>
  <c r="U675" i="4"/>
  <c r="ES58" i="2"/>
  <c r="ES51" i="2"/>
  <c r="U735" i="4"/>
  <c r="H521" i="4"/>
  <c r="G46" i="2"/>
  <c r="EU73" i="2"/>
  <c r="CU82" i="2"/>
  <c r="CH65" i="2"/>
  <c r="U708" i="4"/>
  <c r="U674" i="4"/>
  <c r="U710" i="4"/>
  <c r="U247" i="4"/>
  <c r="CF79" i="2"/>
  <c r="U707" i="4"/>
  <c r="U605" i="4"/>
  <c r="U647" i="4"/>
  <c r="U491" i="4"/>
  <c r="U473" i="4"/>
  <c r="H477" i="4"/>
  <c r="U477" i="4" s="1"/>
  <c r="U509" i="4"/>
  <c r="U185" i="4"/>
  <c r="H189" i="4"/>
  <c r="U189" i="4" s="1"/>
  <c r="U709" i="4"/>
  <c r="H657" i="4"/>
  <c r="H403" i="4"/>
  <c r="G65" i="2"/>
  <c r="EV65" i="2" s="1"/>
  <c r="CE65" i="2"/>
  <c r="X701" i="6"/>
  <c r="X767" i="6" s="1"/>
  <c r="CH79" i="2"/>
  <c r="DJ79" i="2"/>
  <c r="EP75" i="2"/>
  <c r="ET75" i="2" s="1"/>
  <c r="BA23" i="2"/>
  <c r="BB16" i="2"/>
  <c r="CE81" i="2"/>
  <c r="T731" i="4"/>
  <c r="J687" i="6"/>
  <c r="CE79" i="2"/>
  <c r="G72" i="2"/>
  <c r="BD64" i="2"/>
  <c r="EU64" i="2" s="1"/>
  <c r="DL39" i="2"/>
  <c r="BD51" i="2"/>
  <c r="EU51" i="2" s="1"/>
  <c r="DL36" i="2"/>
  <c r="EP36" i="2" s="1"/>
  <c r="G605" i="4"/>
  <c r="G609" i="4" s="1"/>
  <c r="G23" i="2"/>
  <c r="EV23" i="2" s="1"/>
  <c r="AG82" i="2"/>
  <c r="G323" i="4"/>
  <c r="T323" i="4" s="1"/>
  <c r="Y82" i="2"/>
  <c r="BA44" i="2"/>
  <c r="EP40" i="2"/>
  <c r="ET40" i="2" s="1"/>
  <c r="BD18" i="2"/>
  <c r="BB81" i="2"/>
  <c r="G647" i="4"/>
  <c r="G651" i="4" s="1"/>
  <c r="T651" i="4" s="1"/>
  <c r="AE82" i="2"/>
  <c r="BA80" i="2"/>
  <c r="W82" i="2"/>
  <c r="BD39" i="2"/>
  <c r="DL81" i="2"/>
  <c r="J683" i="6"/>
  <c r="G400" i="4"/>
  <c r="G398" i="4"/>
  <c r="G399" i="4"/>
  <c r="V489" i="6"/>
  <c r="T671" i="4"/>
  <c r="G657" i="4"/>
  <c r="T413" i="4"/>
  <c r="T675" i="4"/>
  <c r="T607" i="4"/>
  <c r="G661" i="4"/>
  <c r="T735" i="4"/>
  <c r="T417" i="4"/>
  <c r="T325" i="4"/>
  <c r="G30" i="2"/>
  <c r="EV30" i="2" s="1"/>
  <c r="EP82" i="2"/>
  <c r="EN82" i="2"/>
  <c r="EM82" i="2"/>
  <c r="EO82" i="2"/>
  <c r="BB58" i="2"/>
  <c r="BB79" i="2"/>
  <c r="BB80" i="2"/>
  <c r="V629" i="6"/>
  <c r="I297" i="6"/>
  <c r="I629" i="6"/>
  <c r="J629" i="6"/>
  <c r="J633" i="6"/>
  <c r="DJ58" i="2"/>
  <c r="DI80" i="2"/>
  <c r="W629" i="6"/>
  <c r="DJ16" i="2"/>
  <c r="V297" i="6"/>
  <c r="W153" i="6"/>
  <c r="J153" i="6"/>
  <c r="BD79" i="2"/>
  <c r="BC80" i="2"/>
  <c r="BC82" i="2" s="1"/>
  <c r="AI82" i="2"/>
  <c r="CI82" i="2"/>
  <c r="DI79" i="2"/>
  <c r="DL74" i="2"/>
  <c r="EU74" i="2" s="1"/>
  <c r="BB44" i="2"/>
  <c r="V633" i="6"/>
  <c r="I293" i="6"/>
  <c r="I633" i="6"/>
  <c r="W633" i="6"/>
  <c r="AK82" i="2"/>
  <c r="CF57" i="2"/>
  <c r="DI81" i="2"/>
  <c r="W489" i="6"/>
  <c r="CF80" i="2"/>
  <c r="CF82" i="2" s="1"/>
  <c r="BB65" i="2"/>
  <c r="I683" i="6"/>
  <c r="AA659" i="4"/>
  <c r="DL75" i="2"/>
  <c r="EU75" i="2" s="1"/>
  <c r="DL54" i="2"/>
  <c r="EU54" i="2" s="1"/>
  <c r="AD245" i="4"/>
  <c r="AE551" i="4"/>
  <c r="Z249" i="4"/>
  <c r="AA137" i="4"/>
  <c r="AB245" i="4"/>
  <c r="AB659" i="4"/>
  <c r="AE401" i="4"/>
  <c r="AA245" i="4"/>
  <c r="AB137" i="4"/>
  <c r="AA249" i="4"/>
  <c r="Z663" i="4"/>
  <c r="AD141" i="4"/>
  <c r="AB141" i="4"/>
  <c r="Z659" i="4"/>
  <c r="AC401" i="4"/>
  <c r="AD137" i="4"/>
  <c r="G51" i="2"/>
  <c r="EV51" i="2" s="1"/>
  <c r="AA551" i="4"/>
  <c r="DM36" i="2"/>
  <c r="EQ36" i="2" s="1"/>
  <c r="AC141" i="4"/>
  <c r="K495" i="6"/>
  <c r="K501" i="6" s="1"/>
  <c r="BD36" i="2"/>
  <c r="BA81" i="2"/>
  <c r="BD14" i="2"/>
  <c r="V687" i="6"/>
  <c r="V485" i="6"/>
  <c r="V149" i="6"/>
  <c r="W149" i="6"/>
  <c r="I149" i="6"/>
  <c r="AD661" i="4"/>
  <c r="AC551" i="4"/>
  <c r="AE405" i="4"/>
  <c r="CE58" i="2"/>
  <c r="CH53" i="2"/>
  <c r="BE79" i="2"/>
  <c r="BA79" i="2"/>
  <c r="BB23" i="2"/>
  <c r="BD56" i="2"/>
  <c r="EU56" i="2" s="1"/>
  <c r="BA58" i="2"/>
  <c r="AC245" i="4"/>
  <c r="K492" i="6"/>
  <c r="K498" i="6" s="1"/>
  <c r="BD33" i="2"/>
  <c r="EU33" i="2" s="1"/>
  <c r="W485" i="6"/>
  <c r="J297" i="6"/>
  <c r="AD659" i="4"/>
  <c r="Z551" i="4"/>
  <c r="AE249" i="4"/>
  <c r="AC405" i="4"/>
  <c r="AC137" i="4"/>
  <c r="DM72" i="2"/>
  <c r="EU72" i="2" s="1"/>
  <c r="X494" i="6"/>
  <c r="X500" i="6" s="1"/>
  <c r="BB37" i="2"/>
  <c r="X82" i="2"/>
  <c r="DI37" i="2"/>
  <c r="DK82" i="2"/>
  <c r="I687" i="6"/>
  <c r="V683" i="6"/>
  <c r="W293" i="6"/>
  <c r="V293" i="6"/>
  <c r="AD663" i="4"/>
  <c r="AB555" i="4"/>
  <c r="AE139" i="4"/>
  <c r="Z141" i="4"/>
  <c r="X704" i="6"/>
  <c r="X770" i="6" s="1"/>
  <c r="BD63" i="2"/>
  <c r="EU63" i="2" s="1"/>
  <c r="DM71" i="2"/>
  <c r="DI58" i="2"/>
  <c r="DL53" i="2"/>
  <c r="DL58" i="2" s="1"/>
  <c r="BA72" i="2"/>
  <c r="DM82" i="2"/>
  <c r="CE80" i="2"/>
  <c r="CH11" i="2"/>
  <c r="CE16" i="2"/>
  <c r="AA663" i="4"/>
  <c r="Z555" i="4"/>
  <c r="I485" i="6"/>
  <c r="W683" i="6"/>
  <c r="AE659" i="4"/>
  <c r="AA401" i="4"/>
  <c r="AE553" i="4"/>
  <c r="AB249" i="4"/>
  <c r="AD249" i="4"/>
  <c r="AE245" i="4"/>
  <c r="AD553" i="4"/>
  <c r="AE141" i="4"/>
  <c r="DI16" i="2"/>
  <c r="DL11" i="2"/>
  <c r="BA51" i="2"/>
  <c r="BA16" i="2"/>
  <c r="BE80" i="2"/>
  <c r="BE82" i="2" s="1"/>
  <c r="BA65" i="2"/>
  <c r="CM82" i="2"/>
  <c r="DJ80" i="2"/>
  <c r="AB663" i="4"/>
  <c r="O683" i="6"/>
  <c r="O669" i="6"/>
  <c r="O687" i="6" s="1"/>
  <c r="V153" i="6"/>
  <c r="J149" i="6"/>
  <c r="W297" i="6"/>
  <c r="AD401" i="4"/>
  <c r="W687" i="6"/>
  <c r="J485" i="6"/>
  <c r="J293" i="6"/>
  <c r="I489" i="6"/>
  <c r="M149" i="6"/>
  <c r="AB401" i="4"/>
  <c r="Z137" i="4"/>
  <c r="CH52" i="2"/>
  <c r="EU52" i="2" s="1"/>
  <c r="CE57" i="2"/>
  <c r="X702" i="6"/>
  <c r="X768" i="6" s="1"/>
  <c r="BD61" i="2"/>
  <c r="EU61" i="2" s="1"/>
  <c r="I153" i="6"/>
  <c r="AE137" i="4"/>
  <c r="J489" i="6"/>
  <c r="AE661" i="4"/>
  <c r="AC659" i="4"/>
  <c r="AB551" i="4"/>
  <c r="Z401" i="4"/>
  <c r="AA405" i="4"/>
  <c r="Z405" i="4"/>
  <c r="AD551" i="4"/>
  <c r="AB405" i="4"/>
  <c r="Z245" i="4"/>
  <c r="AC139" i="4"/>
  <c r="AA141" i="4"/>
  <c r="AA555" i="4"/>
  <c r="CG82" i="2"/>
  <c r="Z82" i="2"/>
  <c r="EV29" i="2"/>
  <c r="EU31" i="2" l="1"/>
  <c r="ET36" i="2"/>
  <c r="CE82" i="2"/>
  <c r="EU35" i="2"/>
  <c r="H453" i="4"/>
  <c r="U453" i="4" s="1"/>
  <c r="H327" i="4"/>
  <c r="U327" i="4" s="1"/>
  <c r="U443" i="4"/>
  <c r="H435" i="4"/>
  <c r="U435" i="4" s="1"/>
  <c r="H525" i="4"/>
  <c r="U525" i="4" s="1"/>
  <c r="H483" i="4"/>
  <c r="U483" i="4" s="1"/>
  <c r="U661" i="4"/>
  <c r="U449" i="4"/>
  <c r="U317" i="4"/>
  <c r="H321" i="4"/>
  <c r="U321" i="4" s="1"/>
  <c r="EU53" i="2"/>
  <c r="H247" i="4"/>
  <c r="U521" i="4"/>
  <c r="H513" i="4"/>
  <c r="U513" i="4" s="1"/>
  <c r="U553" i="4"/>
  <c r="U197" i="4"/>
  <c r="U179" i="4"/>
  <c r="H195" i="4"/>
  <c r="U195" i="4" s="1"/>
  <c r="H159" i="4"/>
  <c r="U159" i="4" s="1"/>
  <c r="H553" i="4"/>
  <c r="H245" i="4"/>
  <c r="G71" i="2"/>
  <c r="H543" i="4"/>
  <c r="U543" i="4" s="1"/>
  <c r="H651" i="4"/>
  <c r="U651" i="4" s="1"/>
  <c r="H661" i="4"/>
  <c r="H489" i="4"/>
  <c r="U489" i="4" s="1"/>
  <c r="G80" i="2"/>
  <c r="EU11" i="2"/>
  <c r="H237" i="4"/>
  <c r="U237" i="4" s="1"/>
  <c r="H429" i="4"/>
  <c r="U429" i="4" s="1"/>
  <c r="H609" i="4"/>
  <c r="U609" i="4" s="1"/>
  <c r="BD44" i="2"/>
  <c r="EU39" i="2"/>
  <c r="H153" i="4"/>
  <c r="U153" i="4" s="1"/>
  <c r="U485" i="4"/>
  <c r="U503" i="4"/>
  <c r="BD23" i="2"/>
  <c r="EU23" i="2" s="1"/>
  <c r="EU18" i="2"/>
  <c r="U149" i="4"/>
  <c r="H551" i="4"/>
  <c r="G81" i="2"/>
  <c r="EV14" i="2"/>
  <c r="H401" i="4"/>
  <c r="EV72" i="2"/>
  <c r="H501" i="4"/>
  <c r="U501" i="4" s="1"/>
  <c r="H207" i="4"/>
  <c r="U207" i="4" s="1"/>
  <c r="G36" i="2"/>
  <c r="EV36" i="2" s="1"/>
  <c r="EU71" i="2"/>
  <c r="BD16" i="2"/>
  <c r="EU14" i="2"/>
  <c r="EU36" i="2"/>
  <c r="DL44" i="2"/>
  <c r="DJ82" i="2"/>
  <c r="BB82" i="2"/>
  <c r="U659" i="4"/>
  <c r="U711" i="4"/>
  <c r="T605" i="4"/>
  <c r="X796" i="6"/>
  <c r="G401" i="4"/>
  <c r="G327" i="4"/>
  <c r="G405" i="4" s="1"/>
  <c r="G79" i="2"/>
  <c r="EV79" i="2" s="1"/>
  <c r="DL79" i="2"/>
  <c r="BD80" i="2"/>
  <c r="G659" i="4"/>
  <c r="T647" i="4"/>
  <c r="BA82" i="2"/>
  <c r="DI82" i="2"/>
  <c r="T609" i="4"/>
  <c r="G663" i="4"/>
  <c r="T401" i="4"/>
  <c r="T661" i="4"/>
  <c r="G404" i="4"/>
  <c r="T403" i="4"/>
  <c r="AD555" i="4"/>
  <c r="AD405" i="4"/>
  <c r="CH80" i="2"/>
  <c r="CH82" i="2" s="1"/>
  <c r="CH16" i="2"/>
  <c r="AC249" i="4"/>
  <c r="BD58" i="2"/>
  <c r="BD65" i="2"/>
  <c r="EU65" i="2" s="1"/>
  <c r="BD81" i="2"/>
  <c r="AC555" i="4"/>
  <c r="G44" i="2"/>
  <c r="EV44" i="2" s="1"/>
  <c r="CH58" i="2"/>
  <c r="DL80" i="2"/>
  <c r="DL82" i="2" s="1"/>
  <c r="DL16" i="2"/>
  <c r="AE555" i="4"/>
  <c r="CH57" i="2"/>
  <c r="EU57" i="2" s="1"/>
  <c r="AC663" i="4"/>
  <c r="AE663" i="4"/>
  <c r="U663" i="4" l="1"/>
  <c r="U401" i="4"/>
  <c r="U405" i="4"/>
  <c r="EU58" i="2"/>
  <c r="H663" i="4"/>
  <c r="U551" i="4"/>
  <c r="U555" i="4"/>
  <c r="H405" i="4"/>
  <c r="U245" i="4"/>
  <c r="U249" i="4"/>
  <c r="H249" i="4"/>
  <c r="H555" i="4"/>
  <c r="EU16" i="2"/>
  <c r="ET31" i="2"/>
  <c r="U412" i="4"/>
  <c r="EU44" i="2"/>
  <c r="U416" i="4"/>
  <c r="T327" i="4"/>
  <c r="T659" i="4"/>
  <c r="BD82" i="2"/>
  <c r="T663" i="4"/>
  <c r="G82" i="2"/>
  <c r="EV16" i="2"/>
  <c r="G58" i="2"/>
  <c r="EV58" i="2" s="1"/>
  <c r="G37" i="2"/>
  <c r="EV37" i="2" s="1"/>
  <c r="EP33" i="2"/>
  <c r="ET33" i="2" s="1"/>
  <c r="V708" i="4"/>
  <c r="I705" i="4"/>
  <c r="T405" i="4" l="1"/>
  <c r="I711" i="4"/>
  <c r="I707" i="4"/>
  <c r="P687" i="6" l="1"/>
  <c r="P663" i="6"/>
  <c r="Q687" i="6"/>
  <c r="Q663" i="6"/>
  <c r="P659" i="6"/>
  <c r="P671" i="6"/>
  <c r="P675" i="6"/>
  <c r="P683" i="6"/>
  <c r="P641" i="6"/>
  <c r="P669" i="6"/>
  <c r="R663" i="6"/>
  <c r="R669" i="6"/>
  <c r="R659" i="6"/>
  <c r="R675" i="6"/>
  <c r="R641" i="6"/>
  <c r="R671" i="6"/>
  <c r="Q659" i="6"/>
  <c r="Q683" i="6"/>
  <c r="Q671" i="6"/>
  <c r="Q675" i="6"/>
  <c r="Q641" i="6"/>
  <c r="Q66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color theme="1"/>
            <rFont val="Calibri"/>
            <family val="2"/>
            <scheme val="minor"/>
          </rPr>
          <t>======
ID#AAABDq5TrC4
YULIED.PENARANDA    (2023-11-09 13:07:34)
Describir el nombre completo de la oficina, dirección o subdirección que gerencia el proyecto de inversión.</t>
        </r>
      </text>
    </comment>
    <comment ref="A6" authorId="0" shapeId="0" xr:uid="{00000000-0006-0000-0000-000002000000}">
      <text>
        <r>
          <rPr>
            <sz val="11"/>
            <color theme="1"/>
            <rFont val="Calibri"/>
            <family val="2"/>
            <scheme val="minor"/>
          </rPr>
          <t>======
ID#AAABDq5TrMk
YULIED.PENARANDA    (2023-11-09 13:07:33)
Describir el número y nombre completo del proyecto de inversión.</t>
        </r>
      </text>
    </comment>
    <comment ref="A7" authorId="0" shapeId="0" xr:uid="{00000000-0006-0000-0000-000003000000}">
      <text>
        <r>
          <rPr>
            <sz val="11"/>
            <color theme="1"/>
            <rFont val="Calibri"/>
            <family val="2"/>
            <scheme val="minor"/>
          </rPr>
          <t>======
ID#AAABDq5Tqy4
YULIED.PENARANDA    (2023-11-09 13:07:34)
Las metas plan de desarrollo están agrupadas en temáticas afines, bajo la estructura de Propósito Plan de Desarrollo. Relacionar número y nombre del propósito asociado</t>
        </r>
      </text>
    </comment>
    <comment ref="A8" authorId="0" shapeId="0" xr:uid="{00000000-0006-0000-0000-000004000000}">
      <text>
        <r>
          <rPr>
            <sz val="11"/>
            <color theme="1"/>
            <rFont val="Calibri"/>
            <family val="2"/>
            <scheme val="minor"/>
          </rPr>
          <t>======
ID#AAABDq5TrlY
YULIED.PENARANDA    (2023-11-09 13:07:33)
Las metas plan de desarrollo están agrupadas en temáticas afines, bajo la estructura de Programas Plan de Desarrollo. Relacionar número y nombre del programa asociado</t>
        </r>
      </text>
    </comment>
    <comment ref="EY10" authorId="0" shapeId="0" xr:uid="{00000000-0006-0000-0000-000005000000}">
      <text>
        <r>
          <rPr>
            <sz val="11"/>
            <color theme="1"/>
            <rFont val="Calibri"/>
            <family val="2"/>
            <scheme val="minor"/>
          </rPr>
          <t>======
ID#AAABDq5TrbU
YULIED.PENARANDA    (2023-11-09 13:07:33)
Logros más representativos en función de la meta, de forma acumulada.(lenguaje claro y preciso)
Máximo de caracteres 2.000 incluidos espacios.</t>
        </r>
      </text>
    </comment>
    <comment ref="EZ10" authorId="0" shapeId="0" xr:uid="{00000000-0006-0000-0000-000006000000}">
      <text>
        <r>
          <rPr>
            <sz val="11"/>
            <color theme="1"/>
            <rFont val="Calibri"/>
            <family val="2"/>
            <scheme val="minor"/>
          </rPr>
          <t>======
ID#AAABDq5TrKw
YULIED.PENARANDA    (2023-11-09 13:07:34)
Inconvenientes y/o dificultades que se han presentado para el cumplimiento de la Meta. 
Máximo de caracteres 500 incluidos espacios.</t>
        </r>
      </text>
    </comment>
    <comment ref="FA10" authorId="0" shapeId="0" xr:uid="{00000000-0006-0000-0000-000007000000}">
      <text>
        <r>
          <rPr>
            <sz val="11"/>
            <color theme="1"/>
            <rFont val="Calibri"/>
            <family val="2"/>
            <scheme val="minor"/>
          </rPr>
          <t>======
ID#AAABDq5TqxY
YULIED.PENARANDA    (2023-11-09 13:07:33)
Medidas a tomar para solucionar los retrasos presentados. 
Máximo de caracteres 500 incluidos espacios.</t>
        </r>
      </text>
    </comment>
    <comment ref="FB10" authorId="0" shapeId="0" xr:uid="{00000000-0006-0000-0000-000008000000}">
      <text>
        <r>
          <rPr>
            <sz val="11"/>
            <color theme="1"/>
            <rFont val="Calibri"/>
            <family val="2"/>
            <scheme val="minor"/>
          </rPr>
          <t>======
ID#AAABDq5TreI
YULIED.PENARANDA    (2023-11-09 13:07:33)
Logros obtenidos para la población objetivo, que se han alcanzado  con el cumplimiento de la meta.</t>
        </r>
      </text>
    </comment>
    <comment ref="FC10" authorId="0" shapeId="0" xr:uid="{00000000-0006-0000-0000-000009000000}">
      <text>
        <r>
          <rPr>
            <sz val="11"/>
            <color theme="1"/>
            <rFont val="Calibri"/>
            <family val="2"/>
            <scheme val="minor"/>
          </rPr>
          <t>======
ID#AAABDq5Trgg
YULIED.PENARANDA    (2023-11-09 13:07:34)
Soportes que justifican las acciones desarrolladas en el cumplimiento de la meta.</t>
        </r>
      </text>
    </comment>
    <comment ref="A11" authorId="0" shapeId="0" xr:uid="{00000000-0006-0000-0000-00000A000000}">
      <text>
        <r>
          <rPr>
            <sz val="11"/>
            <color theme="1"/>
            <rFont val="Calibri"/>
            <family val="2"/>
            <scheme val="minor"/>
          </rPr>
          <t>======
ID#AAABDq5TrdY
YULIED.PENARANDA    (2023-11-09 13:07:33)
Número del propósito al que pertenece la estructura del proyecto de inversión asociada al PDD</t>
        </r>
      </text>
    </comment>
    <comment ref="J11" authorId="0" shapeId="0" xr:uid="{00000000-0006-0000-0000-00000B000000}">
      <text>
        <r>
          <rPr>
            <sz val="11"/>
            <color theme="1"/>
            <rFont val="Calibri"/>
            <family val="2"/>
            <scheme val="minor"/>
          </rPr>
          <t>======
ID#AAABDq5Tq6o
YULIED.PENARANDA    (2023-11-09 13:07:34)
Año 1</t>
        </r>
      </text>
    </comment>
    <comment ref="BH11" authorId="0" shapeId="0" xr:uid="{00000000-0006-0000-0000-00000C000000}">
      <text>
        <r>
          <rPr>
            <sz val="11"/>
            <color theme="1"/>
            <rFont val="Calibri"/>
            <family val="2"/>
            <scheme val="minor"/>
          </rPr>
          <t>======
ID#AAABDq5TrfE
YULIED.PENARANDA    (2023-11-09 13:07:34)
Año 3</t>
        </r>
      </text>
    </comment>
    <comment ref="CL11" authorId="0" shapeId="0" xr:uid="{00000000-0006-0000-0000-00000D000000}">
      <text>
        <r>
          <rPr>
            <sz val="11"/>
            <color theme="1"/>
            <rFont val="Calibri"/>
            <family val="2"/>
            <scheme val="minor"/>
          </rPr>
          <t>======
ID#AAABDq5TrI4
YULIED.PENARANDA    (2023-11-09 13:07:34)
Año 4</t>
        </r>
      </text>
    </comment>
    <comment ref="DP11" authorId="0" shapeId="0" xr:uid="{00000000-0006-0000-0000-00000E000000}">
      <text>
        <r>
          <rPr>
            <sz val="11"/>
            <color theme="1"/>
            <rFont val="Calibri"/>
            <family val="2"/>
            <scheme val="minor"/>
          </rPr>
          <t>======
ID#AAABDq5Tq2I
YULIED.PENARANDA    (2023-11-09 13:07:34)
Año 5</t>
        </r>
      </text>
    </comment>
    <comment ref="A12" authorId="0" shapeId="0" xr:uid="{00000000-0006-0000-0000-00000F000000}">
      <text>
        <r>
          <rPr>
            <sz val="11"/>
            <color theme="1"/>
            <rFont val="Calibri"/>
            <family val="2"/>
            <scheme val="minor"/>
          </rPr>
          <t>======
ID#AAABDq5TrfY
YULIED.PENARANDA    (2023-11-09 13:07:34)
Número del propósito al que pertenece la estructura del proyecto de inversión asociada al PDD</t>
        </r>
      </text>
    </comment>
    <comment ref="B12" authorId="0" shapeId="0" xr:uid="{00000000-0006-0000-0000-000010000000}">
      <text>
        <r>
          <rPr>
            <sz val="11"/>
            <color theme="1"/>
            <rFont val="Calibri"/>
            <family val="2"/>
            <scheme val="minor"/>
          </rPr>
          <t>======
ID#AAABDq5TrLU
YULIED.PENARANDA    (2023-11-09 13:07:33)
Número del programa al que pertenece la estructura del proyecto de inversión asociada al PDD</t>
        </r>
      </text>
    </comment>
    <comment ref="C12" authorId="0" shapeId="0" xr:uid="{00000000-0006-0000-0000-000011000000}">
      <text>
        <r>
          <rPr>
            <sz val="11"/>
            <color theme="1"/>
            <rFont val="Calibri"/>
            <family val="2"/>
            <scheme val="minor"/>
          </rPr>
          <t>======
ID#AAABDq5Tqv8
YULIED.PENARANDA    (2023-11-09 13:07:34)
Número de Meta Plan de Desarrollo.</t>
        </r>
      </text>
    </comment>
    <comment ref="D12" authorId="0" shapeId="0" xr:uid="{00000000-0006-0000-0000-000012000000}">
      <text>
        <r>
          <rPr>
            <sz val="11"/>
            <color theme="1"/>
            <rFont val="Calibri"/>
            <family val="2"/>
            <scheme val="minor"/>
          </rPr>
          <t>======
ID#AAABDq5TrQU
YULIED.PENARANDA    (2023-11-09 13:07:34)
Nombre completo de la Meta  del Plan de Desarrollo, según acuerdo.</t>
        </r>
      </text>
    </comment>
    <comment ref="E12" authorId="0" shapeId="0" xr:uid="{00000000-0006-0000-0000-000013000000}">
      <text>
        <r>
          <rPr>
            <sz val="11"/>
            <color theme="1"/>
            <rFont val="Calibri"/>
            <family val="2"/>
            <scheme val="minor"/>
          </rPr>
          <t>======
ID#AAABDq5TrYc
YULIED.PENARANDA    (2023-11-09 13:07:34)
Número asignado al indicador en la estructura del Plan de Desarrollo.</t>
        </r>
      </text>
    </comment>
    <comment ref="F12" authorId="0" shapeId="0" xr:uid="{00000000-0006-0000-0000-000014000000}">
      <text>
        <r>
          <rPr>
            <sz val="11"/>
            <color theme="1"/>
            <rFont val="Calibri"/>
            <family val="2"/>
            <scheme val="minor"/>
          </rPr>
          <t>======
ID#AAABDq5Tq4A
YULIED.PENARANDA    (2023-11-09 13:07:33)
Nombre completo del indicador. Expresión verbal, precisa y concreta del patrón de evaluación.</t>
        </r>
      </text>
    </comment>
    <comment ref="G12" authorId="0" shapeId="0" xr:uid="{00000000-0006-0000-0000-000015000000}">
      <text>
        <r>
          <rPr>
            <sz val="11"/>
            <color theme="1"/>
            <rFont val="Calibri"/>
            <family val="2"/>
            <scheme val="minor"/>
          </rPr>
          <t>======
ID#AAABDq5Trv4
YULIED.PENARANDA    (2023-11-09 13:07:33)
Unidad cualitativa del indicador, define las características de la magnitud a realizar seguimiento. Eje: Hectáreas, estrategias, modelos, proyectos etc.</t>
        </r>
      </text>
    </comment>
    <comment ref="H12" authorId="0" shapeId="0" xr:uid="{00000000-0006-0000-0000-000016000000}">
      <text>
        <r>
          <rPr>
            <sz val="11"/>
            <color theme="1"/>
            <rFont val="Calibri"/>
            <family val="2"/>
            <scheme val="minor"/>
          </rPr>
          <t>======
ID#AAABDq5TqpE
YULIED.PENARANDA    (2023-11-09 13:07:34)
Clasificación que define la forma en que será anualizada la meta y por tanto la forma en que este se reportará.  (Suma, Creciente, Decreciente y Constante)</t>
        </r>
      </text>
    </comment>
    <comment ref="I12" authorId="0" shapeId="0" xr:uid="{00000000-0006-0000-0000-000017000000}">
      <text>
        <r>
          <rPr>
            <sz val="11"/>
            <color theme="1"/>
            <rFont val="Calibri"/>
            <family val="2"/>
            <scheme val="minor"/>
          </rPr>
          <t>======
ID#AAABDq5Trjk
YULIED.PENARANDA    (2023-11-09 13:07:34)
Magnitud física del indicador programada para la totalidad del plan de desarrollo 2020-2024</t>
        </r>
      </text>
    </comment>
    <comment ref="J12" authorId="0" shapeId="0" xr:uid="{00000000-0006-0000-0000-000018000000}">
      <text>
        <r>
          <rPr>
            <sz val="11"/>
            <color theme="1"/>
            <rFont val="Calibri"/>
            <family val="2"/>
            <scheme val="minor"/>
          </rPr>
          <t>======
ID#AAABDq5Trr4
YULIED.PENARANDA    (2023-11-09 13:07:33)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color theme="1"/>
            <rFont val="Calibri"/>
            <family val="2"/>
            <scheme val="minor"/>
          </rPr>
          <t>======
ID#AAABDq5Tq2g
YULIED.PENARANDA    (2023-11-09 13:07:34)
Describir el nombre completo de la oficina, dirección o subdirección que gerencia el proyecto de inversión.</t>
        </r>
      </text>
    </comment>
    <comment ref="A5" authorId="0" shapeId="0" xr:uid="{00000000-0006-0000-0100-000002000000}">
      <text>
        <r>
          <rPr>
            <sz val="11"/>
            <color theme="1"/>
            <rFont val="Calibri"/>
            <family val="2"/>
            <scheme val="minor"/>
          </rPr>
          <t>======
ID#AAABDq5TrvI
YULIED.PENARANDA    (2023-11-09 13:07:33)
Describir el número y nombre completo del proyecto de inversión.</t>
        </r>
      </text>
    </comment>
    <comment ref="ES7" authorId="0" shapeId="0" xr:uid="{00000000-0006-0000-0100-000003000000}">
      <text>
        <r>
          <rPr>
            <sz val="11"/>
            <color theme="1"/>
            <rFont val="Calibri"/>
            <family val="2"/>
            <scheme val="minor"/>
          </rPr>
          <t>======
ID#AAABDq5Tq-Q
YULIED.PENARANDA    (2023-11-09 13:07:34)
En este campo se conoce el porcentaje de avance de la vigencia; según la tipología del indicador.</t>
        </r>
      </text>
    </comment>
    <comment ref="ET7" authorId="0" shapeId="0" xr:uid="{00000000-0006-0000-0100-000004000000}">
      <text>
        <r>
          <rPr>
            <sz val="11"/>
            <color theme="1"/>
            <rFont val="Calibri"/>
            <family val="2"/>
            <scheme val="minor"/>
          </rPr>
          <t>======
ID#AAABDq5Tq2o
YULIED.PENARANDA    (2023-11-09 13:07:33)
En este campo se conoce el porcentaje de avance de la vigencia; según la tipología del indicador.</t>
        </r>
      </text>
    </comment>
    <comment ref="EU7" authorId="0" shapeId="0" xr:uid="{00000000-0006-0000-0100-000005000000}">
      <text>
        <r>
          <rPr>
            <sz val="11"/>
            <color theme="1"/>
            <rFont val="Calibri"/>
            <family val="2"/>
            <scheme val="minor"/>
          </rPr>
          <t>======
ID#AAABDq5TrTk
YULIED.PENARANDA    (2023-11-09 13:07:34)
En este campo se conoce el porcentaje de avance de la vigencia; según la tipología del indicador.</t>
        </r>
      </text>
    </comment>
    <comment ref="EV7" authorId="0" shapeId="0" xr:uid="{00000000-0006-0000-0100-000006000000}">
      <text>
        <r>
          <rPr>
            <sz val="11"/>
            <color theme="1"/>
            <rFont val="Calibri"/>
            <family val="2"/>
            <scheme val="minor"/>
          </rPr>
          <t>======
ID#AAABDq5Tq1s
YULIED.PENARANDA    (2023-11-09 13:07:33)
Este campo se conoce el porcentaje de avance de forma acumulada al plan de desarrollo, de acuerdo con la tipología del indicador.</t>
        </r>
      </text>
    </comment>
    <comment ref="EW7" authorId="0" shapeId="0" xr:uid="{00000000-0006-0000-0100-000007000000}">
      <text>
        <r>
          <rPr>
            <sz val="11"/>
            <color theme="1"/>
            <rFont val="Calibri"/>
            <family val="2"/>
            <scheme val="minor"/>
          </rPr>
          <t>======
ID#AAABDq5Try0
YULIED.PENARANDA    (2022-02-07 20:51:54)
Logros más representativos en función de la meta, de forma acumulada.(lenguaje claro y preciso)
Máximo de caracteres 2.000 incluidos espacios.</t>
        </r>
      </text>
    </comment>
    <comment ref="EX7" authorId="0" shapeId="0" xr:uid="{00000000-0006-0000-0100-000008000000}">
      <text>
        <r>
          <rPr>
            <sz val="11"/>
            <color theme="1"/>
            <rFont val="Calibri"/>
            <family val="2"/>
            <scheme val="minor"/>
          </rPr>
          <t>======
ID#AAABDq5Trcw
YULIED.PENARANDA    (2022-02-07 20:51:54)
Inconvenientes y/o dificultades que se han presentado para el cumplimiento de la Meta. 
Máximo de caracteres 500 incluidos espacios.</t>
        </r>
      </text>
    </comment>
    <comment ref="EY7" authorId="0" shapeId="0" xr:uid="{00000000-0006-0000-0100-000009000000}">
      <text>
        <r>
          <rPr>
            <sz val="11"/>
            <color theme="1"/>
            <rFont val="Calibri"/>
            <family val="2"/>
            <scheme val="minor"/>
          </rPr>
          <t>======
ID#AAABDq5Trkc
YULIED.PENARANDA    (2022-02-07 20:51:54)
Medidas a tomar para solucionar los retrasos presentados. 
Máximo de caracteres 500 incluidos espacios.</t>
        </r>
      </text>
    </comment>
    <comment ref="EZ7" authorId="0" shapeId="0" xr:uid="{00000000-0006-0000-0100-00000A000000}">
      <text>
        <r>
          <rPr>
            <sz val="11"/>
            <color theme="1"/>
            <rFont val="Calibri"/>
            <family val="2"/>
            <scheme val="minor"/>
          </rPr>
          <t>======
ID#AAABDq5Trp8
YULIED.PENARANDA    (2022-02-07 20:51:54)
Logros obtenidos para la población objetivo, que se han alcanzado  con el cumplimiento de la meta.</t>
        </r>
      </text>
    </comment>
    <comment ref="FA7" authorId="0" shapeId="0" xr:uid="{00000000-0006-0000-0100-00000B000000}">
      <text>
        <r>
          <rPr>
            <sz val="11"/>
            <color theme="1"/>
            <rFont val="Calibri"/>
            <family val="2"/>
            <scheme val="minor"/>
          </rPr>
          <t>======
ID#AAABDq5TrjA
YULIED.PENARANDA    (2022-02-07 20:51:54)
Soportes que justifican las acciones desarrolladas en el cumplimiento de la meta.</t>
        </r>
      </text>
    </comment>
    <comment ref="H8" authorId="0" shapeId="0" xr:uid="{00000000-0006-0000-0100-00000C000000}">
      <text>
        <r>
          <rPr>
            <sz val="11"/>
            <color theme="1"/>
            <rFont val="Calibri"/>
            <family val="2"/>
            <scheme val="minor"/>
          </rPr>
          <t>======
ID#AAABDq5TraU
YULIED.PENARANDA    (2022-02-07 20:51:54)
Año 1</t>
        </r>
      </text>
    </comment>
    <comment ref="BF8" authorId="0" shapeId="0" xr:uid="{00000000-0006-0000-0100-00000D000000}">
      <text>
        <r>
          <rPr>
            <sz val="11"/>
            <color theme="1"/>
            <rFont val="Calibri"/>
            <family val="2"/>
            <scheme val="minor"/>
          </rPr>
          <t>======
ID#AAABDq5Trcs
YULIED.PENARANDA    (2022-02-07 20:51:54)
Año 3</t>
        </r>
      </text>
    </comment>
    <comment ref="CJ8" authorId="0" shapeId="0" xr:uid="{00000000-0006-0000-0100-00000E000000}">
      <text>
        <r>
          <rPr>
            <sz val="11"/>
            <color theme="1"/>
            <rFont val="Calibri"/>
            <family val="2"/>
            <scheme val="minor"/>
          </rPr>
          <t>======
ID#AAABDq5TrjU
YULIED.PENARANDA    (2022-02-07 20:51:54)
Año 4</t>
        </r>
      </text>
    </comment>
    <comment ref="DN8" authorId="0" shapeId="0" xr:uid="{00000000-0006-0000-0100-00000F000000}">
      <text>
        <r>
          <rPr>
            <sz val="11"/>
            <color theme="1"/>
            <rFont val="Calibri"/>
            <family val="2"/>
            <scheme val="minor"/>
          </rPr>
          <t>======
ID#AAABDq5Tq5k
YULIED.PENARANDA    (2022-02-07 20:51:54)
Año 5</t>
        </r>
      </text>
    </comment>
    <comment ref="A9" authorId="0" shapeId="0" xr:uid="{00000000-0006-0000-0100-000010000000}">
      <text>
        <r>
          <rPr>
            <sz val="11"/>
            <color theme="1"/>
            <rFont val="Calibri"/>
            <family val="2"/>
            <scheme val="minor"/>
          </rPr>
          <t>======
ID#AAABDq5TrxY
YULIED.PENARANDA    (2022-02-07 20:51:54)
Nombre completo de las líneas de acción, quien nos dan una visión general de los grandes temas del proyecto y forman parte integral del mismo, de acuerdo con la ficha EBI</t>
        </r>
      </text>
    </comment>
    <comment ref="B9" authorId="0" shapeId="0" xr:uid="{00000000-0006-0000-0100-000011000000}">
      <text>
        <r>
          <rPr>
            <sz val="11"/>
            <color theme="1"/>
            <rFont val="Calibri"/>
            <family val="2"/>
            <scheme val="minor"/>
          </rPr>
          <t>======
ID#AAABDq5Tqz4
YULIED.PENARANDA    (2022-02-07 20:51:54)
Número de la meta proyecto de inversión, según la asignación dada en  SEGPLAN</t>
        </r>
      </text>
    </comment>
    <comment ref="C9" authorId="0" shapeId="0" xr:uid="{00000000-0006-0000-0100-000012000000}">
      <text>
        <r>
          <rPr>
            <sz val="11"/>
            <color theme="1"/>
            <rFont val="Calibri"/>
            <family val="2"/>
            <scheme val="minor"/>
          </rPr>
          <t>======
ID#AAABDq5Tq4M
YULIED.PENARANDA    (2022-02-07 20:51:54)
Nombre completo de la meta proyecto de inversión, igual como quedo en SEGPLAN</t>
        </r>
      </text>
    </comment>
    <comment ref="D9" authorId="0" shapeId="0" xr:uid="{00000000-0006-0000-0100-000013000000}">
      <text>
        <r>
          <rPr>
            <sz val="11"/>
            <color theme="1"/>
            <rFont val="Calibri"/>
            <family val="2"/>
            <scheme val="minor"/>
          </rPr>
          <t>======
ID#AAABDq5TrgQ
YULIED.PENARANDA    (2022-02-07 20:51:54)
Clasificación que define la forma en que será anualizada la meta y por tanto la forma en que este se reportará.  (Suma, Creciente, Decreciente y Constante)</t>
        </r>
      </text>
    </comment>
    <comment ref="E9" authorId="0" shapeId="0" xr:uid="{00000000-0006-0000-0100-000014000000}">
      <text>
        <r>
          <rPr>
            <sz val="11"/>
            <color theme="1"/>
            <rFont val="Calibri"/>
            <family val="2"/>
            <scheme val="minor"/>
          </rPr>
          <t>======
ID#AAABDq5TqwY
YULIED.PENARANDA    (2022-02-07 20:51:54)
Número de la meta Plan de Desarrollo, a la cual se encuentra asociada la meta de inversión.</t>
        </r>
      </text>
    </comment>
    <comment ref="F9" authorId="0" shapeId="0" xr:uid="{00000000-0006-0000-0100-000015000000}">
      <text>
        <r>
          <rPr>
            <sz val="11"/>
            <color theme="1"/>
            <rFont val="Calibri"/>
            <family val="2"/>
            <scheme val="minor"/>
          </rPr>
          <t>======
ID#AAABDq5TrQY
YULIED.PENARANDA    (2022-02-07 20:51:54)
Se desagrega los siguientes variables.
Magnitud física y presupuestal de la vigencia, así como la magnitud física y presupuestal de las reservas y el total de cada una de ellas.</t>
        </r>
      </text>
    </comment>
    <comment ref="G9" authorId="0" shapeId="0" xr:uid="{00000000-0006-0000-0100-000016000000}">
      <text>
        <r>
          <rPr>
            <sz val="11"/>
            <color theme="1"/>
            <rFont val="Calibri"/>
            <family val="2"/>
            <scheme val="minor"/>
          </rPr>
          <t>======
ID#AAABDq5TqyM
YULIED.PENARANDA    (2022-02-07 20:51:54)
Magnitud física y presupuestal para la totalidad del plan de desarrollo.</t>
        </r>
      </text>
    </comment>
    <comment ref="H9" authorId="0" shapeId="0" xr:uid="{00000000-0006-0000-0100-000017000000}">
      <text>
        <r>
          <rPr>
            <sz val="11"/>
            <color theme="1"/>
            <rFont val="Calibri"/>
            <family val="2"/>
            <scheme val="minor"/>
          </rPr>
          <t>======
ID#AAABDq5Tq6M
YULIED.PENARANDA    (2022-02-07 20:51:54)
Magnitud física y presupuestal  programada para el inicio del plan de desarrollo.</t>
        </r>
      </text>
    </comment>
    <comment ref="F10" authorId="0" shapeId="0" xr:uid="{00000000-0006-0000-0100-000018000000}">
      <text>
        <r>
          <rPr>
            <sz val="11"/>
            <color theme="1"/>
            <rFont val="Calibri"/>
            <family val="2"/>
            <scheme val="minor"/>
          </rPr>
          <t>======
ID#AAABDq5Tq1Q
YULIED.PENARANDA    (2023-11-09 13:07:33)
Magnitud física de la meta proyecto de inversión, a programar o a realizar seguimiento, según la columna en que se reporte.</t>
        </r>
      </text>
    </comment>
    <comment ref="F11" authorId="0" shapeId="0" xr:uid="{00000000-0006-0000-0100-000019000000}">
      <text>
        <r>
          <rPr>
            <sz val="11"/>
            <color theme="1"/>
            <rFont val="Calibri"/>
            <family val="2"/>
            <scheme val="minor"/>
          </rPr>
          <t>======
ID#AAABDq5Tq7k
YULIED.PENARANDA    (2023-11-09 13:07:34)
Este sirve de insumo para establecer el Plan Anual de Adquisiciones</t>
        </r>
      </text>
    </comment>
    <comment ref="F12" authorId="0" shapeId="0" xr:uid="{00000000-0006-0000-0100-00001A000000}">
      <text>
        <r>
          <rPr>
            <sz val="11"/>
            <color theme="1"/>
            <rFont val="Calibri"/>
            <family val="2"/>
            <scheme val="minor"/>
          </rPr>
          <t>======
ID#AAABDq5TrSA
YULIED.PENARANDA    (2023-11-09 13:07:34)
Este debe corresponder con la programación del  Plan Anual de Caja- PAC de la vigencia</t>
        </r>
      </text>
    </comment>
    <comment ref="F13" authorId="0" shapeId="0" xr:uid="{00000000-0006-0000-0100-00001B000000}">
      <text>
        <r>
          <rPr>
            <sz val="11"/>
            <color theme="1"/>
            <rFont val="Calibri"/>
            <family val="2"/>
            <scheme val="minor"/>
          </rPr>
          <t>======
ID#AAABDq5TqxE
YULIED.PENARANDA    (2023-11-09 13:07:33)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sz val="11"/>
            <color theme="1"/>
            <rFont val="Calibri"/>
            <family val="2"/>
            <scheme val="minor"/>
          </rPr>
          <t>======
ID#AAABDq5Tq3I
YULIED.PENARANDA    (2023-11-09 13:07:34)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sz val="11"/>
            <color theme="1"/>
            <rFont val="Calibri"/>
            <family val="2"/>
            <scheme val="minor"/>
          </rPr>
          <t>======
ID#AAABDq5Trl0
YULIED.PENARANDA    (2023-11-09 13:07:34)
Para las metas de tipología suma (vigencia *reservas). Para las demás tipos de metas se asocia el mismo dato de la vigencia.</t>
        </r>
      </text>
    </comment>
    <comment ref="F16" authorId="0" shapeId="0" xr:uid="{00000000-0006-0000-0100-00001E000000}">
      <text>
        <r>
          <rPr>
            <sz val="11"/>
            <color theme="1"/>
            <rFont val="Calibri"/>
            <family val="2"/>
            <scheme val="minor"/>
          </rPr>
          <t>======
ID#AAABDq5Tq8Y
YULIED.PENARANDA    (2023-11-09 13:07:34)
Se suma los recursos presupuestales (vigencia + reservas)</t>
        </r>
      </text>
    </comment>
    <comment ref="F17" authorId="0" shapeId="0" xr:uid="{00000000-0006-0000-0100-00001F000000}">
      <text>
        <r>
          <rPr>
            <sz val="11"/>
            <color theme="1"/>
            <rFont val="Calibri"/>
            <family val="2"/>
            <scheme val="minor"/>
          </rPr>
          <t>======
ID#AAABDq5TrDQ
YULIED.PENARANDA    (2023-11-09 13:07:34)
Magnitud física de la meta proyecto de inversión, a programar o a realizar seguimiento, según la columna en que se reporte.</t>
        </r>
      </text>
    </comment>
    <comment ref="F18" authorId="0" shapeId="0" xr:uid="{00000000-0006-0000-0100-000020000000}">
      <text>
        <r>
          <rPr>
            <sz val="11"/>
            <color theme="1"/>
            <rFont val="Calibri"/>
            <family val="2"/>
            <scheme val="minor"/>
          </rPr>
          <t>======
ID#AAABDq5TrUI
YULIED.PENARANDA    (2023-11-09 13:07:34)
Este sirve de insumo para establecer el Plan Anual de Adquisiciones</t>
        </r>
      </text>
    </comment>
    <comment ref="F19" authorId="0" shapeId="0" xr:uid="{00000000-0006-0000-0100-000021000000}">
      <text>
        <r>
          <rPr>
            <sz val="11"/>
            <color theme="1"/>
            <rFont val="Calibri"/>
            <family val="2"/>
            <scheme val="minor"/>
          </rPr>
          <t>======
ID#AAABDq5Tqwo
YULIED.PENARANDA    (2023-11-09 13:07:34)
Este debe corresponder con la programación del  Plan Anual de Caja- PAC de la vigencia</t>
        </r>
      </text>
    </comment>
    <comment ref="F20" authorId="0" shapeId="0" xr:uid="{00000000-0006-0000-0100-000022000000}">
      <text>
        <r>
          <rPr>
            <sz val="11"/>
            <color theme="1"/>
            <rFont val="Calibri"/>
            <family val="2"/>
            <scheme val="minor"/>
          </rPr>
          <t>======
ID#AAABDq5Trtg
YULIED.PENARANDA    (2023-11-09 13:07:33)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sz val="11"/>
            <color theme="1"/>
            <rFont val="Calibri"/>
            <family val="2"/>
            <scheme val="minor"/>
          </rPr>
          <t>======
ID#AAABDq5Tq8k
YULIED.PENARANDA    (2023-11-09 13:07:34)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sz val="11"/>
            <color theme="1"/>
            <rFont val="Calibri"/>
            <family val="2"/>
            <scheme val="minor"/>
          </rPr>
          <t>======
ID#AAABDq5TrOM
YULIED.PENARANDA    (2023-11-09 13:07:33)
Para las metas de tipología suma (vigencia *reservas). Para las demás tipos de metas se asocia el mismo dato de la vigencia.</t>
        </r>
      </text>
    </comment>
    <comment ref="F23" authorId="0" shapeId="0" xr:uid="{00000000-0006-0000-0100-000025000000}">
      <text>
        <r>
          <rPr>
            <sz val="11"/>
            <color theme="1"/>
            <rFont val="Calibri"/>
            <family val="2"/>
            <scheme val="minor"/>
          </rPr>
          <t>======
ID#AAABDq5Trn0
YULIED.PENARANDA    (2023-11-09 13:07:34)
Se suma los recursos presupuestales (vigencia + reservas)</t>
        </r>
      </text>
    </comment>
    <comment ref="F24" authorId="0" shapeId="0" xr:uid="{00000000-0006-0000-0100-000026000000}">
      <text>
        <r>
          <rPr>
            <sz val="11"/>
            <color theme="1"/>
            <rFont val="Calibri"/>
            <family val="2"/>
            <scheme val="minor"/>
          </rPr>
          <t>======
ID#AAABDq5TrW8
YULIED.PENARANDA    (2023-11-09 13:07:33)
Magnitud física de la meta proyecto de inversión, a programar o a realizar seguimiento, según la columna en que se reporte.</t>
        </r>
      </text>
    </comment>
    <comment ref="F25" authorId="0" shapeId="0" xr:uid="{00000000-0006-0000-0100-000027000000}">
      <text>
        <r>
          <rPr>
            <sz val="11"/>
            <color theme="1"/>
            <rFont val="Calibri"/>
            <family val="2"/>
            <scheme val="minor"/>
          </rPr>
          <t>======
ID#AAABDq5Tqoo
YULIED.PENARANDA    (2023-11-09 13:07:33)
Este sirve de insumo para establecer el Plan Anual de Adquisiciones</t>
        </r>
      </text>
    </comment>
    <comment ref="F26" authorId="0" shapeId="0" xr:uid="{00000000-0006-0000-0100-000028000000}">
      <text>
        <r>
          <rPr>
            <sz val="11"/>
            <color theme="1"/>
            <rFont val="Calibri"/>
            <family val="2"/>
            <scheme val="minor"/>
          </rPr>
          <t>======
ID#AAABDq5Tqps
YULIED.PENARANDA    (2023-11-09 13:07:33)
Este debe corresponder con la programación del  Plan Anual de Caja- PAC de la vigencia</t>
        </r>
      </text>
    </comment>
    <comment ref="F27" authorId="0" shapeId="0" xr:uid="{00000000-0006-0000-0100-000029000000}">
      <text>
        <r>
          <rPr>
            <sz val="11"/>
            <color theme="1"/>
            <rFont val="Calibri"/>
            <family val="2"/>
            <scheme val="minor"/>
          </rPr>
          <t>======
ID#AAABDq5TrtI
YULIED.PENARANDA    (2023-11-09 13:07:33)
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sz val="11"/>
            <color theme="1"/>
            <rFont val="Calibri"/>
            <family val="2"/>
            <scheme val="minor"/>
          </rPr>
          <t>======
ID#AAABDq5TrX0
YULIED.PENARANDA    (2023-11-09 13:07:34)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sz val="11"/>
            <color theme="1"/>
            <rFont val="Calibri"/>
            <family val="2"/>
            <scheme val="minor"/>
          </rPr>
          <t>======
ID#AAABDq5TrUM
YULIED.PENARANDA    (2023-11-09 13:07:34)
Para las metas de tipología suma (vigencia *reservas). Para las demás tipos de metas se asocia el mismo dato de la vigencia.</t>
        </r>
      </text>
    </comment>
    <comment ref="F30" authorId="0" shapeId="0" xr:uid="{00000000-0006-0000-0100-00002C000000}">
      <text>
        <r>
          <rPr>
            <sz val="11"/>
            <color theme="1"/>
            <rFont val="Calibri"/>
            <family val="2"/>
            <scheme val="minor"/>
          </rPr>
          <t>======
ID#AAABDq5Trnc
YULIED.PENARANDA    (2023-11-09 13:07:34)
Se suma los recursos presupuestales (vigencia + reservas)</t>
        </r>
      </text>
    </comment>
    <comment ref="F31" authorId="0" shapeId="0" xr:uid="{00000000-0006-0000-0100-00002D000000}">
      <text>
        <r>
          <rPr>
            <sz val="11"/>
            <color theme="1"/>
            <rFont val="Calibri"/>
            <family val="2"/>
            <scheme val="minor"/>
          </rPr>
          <t>======
ID#AAABDq5TrLE
YULIED.PENARANDA    (2023-11-09 13:07:34)
Magnitud física de la meta proyecto de inversión, a programar o a realizar seguimiento, según la columna en que se reporte.</t>
        </r>
      </text>
    </comment>
    <comment ref="F32" authorId="0" shapeId="0" xr:uid="{00000000-0006-0000-0100-00002F000000}">
      <text>
        <r>
          <rPr>
            <sz val="11"/>
            <color theme="1"/>
            <rFont val="Calibri"/>
            <family val="2"/>
            <scheme val="minor"/>
          </rPr>
          <t>======
ID#AAABDq5TrH4
YULIED.PENARANDA    (2023-11-09 13:07:33)
Este sirve de insumo para establecer el Plan Anual de Adquisiciones</t>
        </r>
      </text>
    </comment>
    <comment ref="F33" authorId="0" shapeId="0" xr:uid="{00000000-0006-0000-0100-000030000000}">
      <text>
        <r>
          <rPr>
            <sz val="11"/>
            <color theme="1"/>
            <rFont val="Calibri"/>
            <family val="2"/>
            <scheme val="minor"/>
          </rPr>
          <t>======
ID#AAABDq5TrGI
YULIED.PENARANDA    (2023-11-09 13:07:34)
Este debe corresponder con la programación del  Plan Anual de Caja- PAC de la vigencia</t>
        </r>
      </text>
    </comment>
    <comment ref="F34" authorId="0" shapeId="0" xr:uid="{00000000-0006-0000-0100-000031000000}">
      <text>
        <r>
          <rPr>
            <sz val="11"/>
            <color theme="1"/>
            <rFont val="Calibri"/>
            <family val="2"/>
            <scheme val="minor"/>
          </rPr>
          <t>======
ID#AAABDq5TrdM
YULIED.PENARANDA    (2023-11-09 13:07:34)
Magnitud física asociada a la reservas,  aplica para las meta con tipología suma, las cuales se pueden desagregar por los compromisos contraídos que al cierre de la vigencia fiscal no  se cumplieron.</t>
        </r>
      </text>
    </comment>
    <comment ref="F35" authorId="0" shapeId="0" xr:uid="{00000000-0006-0000-0100-000032000000}">
      <text>
        <r>
          <rPr>
            <sz val="11"/>
            <color theme="1"/>
            <rFont val="Calibri"/>
            <family val="2"/>
            <scheme val="minor"/>
          </rPr>
          <t>======
ID#AAABDq5TrJc
YULIED.PENARANDA    (2023-11-09 13:07:34)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3000000}">
      <text>
        <r>
          <rPr>
            <sz val="11"/>
            <color theme="1"/>
            <rFont val="Calibri"/>
            <family val="2"/>
            <scheme val="minor"/>
          </rPr>
          <t>======
ID#AAABDq5TrYY
YULIED.PENARANDA    (2023-11-09 13:07:34)
Para las metas de tipología suma (vigencia *reservas). Para las demás tipos de metas se asocia el mismo dato de la vigencia.</t>
        </r>
      </text>
    </comment>
    <comment ref="F37" authorId="0" shapeId="0" xr:uid="{00000000-0006-0000-0100-000034000000}">
      <text>
        <r>
          <rPr>
            <sz val="11"/>
            <color theme="1"/>
            <rFont val="Calibri"/>
            <family val="2"/>
            <scheme val="minor"/>
          </rPr>
          <t>======
ID#AAABDq5Trd0
YULIED.PENARANDA    (2023-11-09 13:07:34)
Se suma los recursos presupuestales (vigencia + reservas)</t>
        </r>
      </text>
    </comment>
    <comment ref="F38" authorId="0" shapeId="0" xr:uid="{00000000-0006-0000-0100-000035000000}">
      <text>
        <r>
          <rPr>
            <sz val="11"/>
            <color theme="1"/>
            <rFont val="Calibri"/>
            <family val="2"/>
            <scheme val="minor"/>
          </rPr>
          <t>======
ID#AAABDq5TrsI
YULIED.PENARANDA    (2023-11-09 13:07:33)
Magnitud física de la meta proyecto de inversión, a programar o a realizar seguimiento, según la columna en que se reporte.</t>
        </r>
      </text>
    </comment>
    <comment ref="F39" authorId="0" shapeId="0" xr:uid="{00000000-0006-0000-0100-000036000000}">
      <text>
        <r>
          <rPr>
            <sz val="11"/>
            <color theme="1"/>
            <rFont val="Calibri"/>
            <family val="2"/>
            <scheme val="minor"/>
          </rPr>
          <t>======
ID#AAABDq5Trvc
YULIED.PENARANDA    (2023-11-09 13:07:34)
Este sirve de insumo para establecer el Plan Anual de Adquisiciones</t>
        </r>
      </text>
    </comment>
    <comment ref="F40" authorId="0" shapeId="0" xr:uid="{00000000-0006-0000-0100-000037000000}">
      <text>
        <r>
          <rPr>
            <sz val="11"/>
            <color theme="1"/>
            <rFont val="Calibri"/>
            <family val="2"/>
            <scheme val="minor"/>
          </rPr>
          <t>======
ID#AAABDq5TrVQ
YULIED.PENARANDA    (2023-11-09 13:07:33)
Este debe corresponder con la programación del  Plan Anual de Caja- PAC de la vigencia</t>
        </r>
      </text>
    </comment>
    <comment ref="F41" authorId="0" shapeId="0" xr:uid="{00000000-0006-0000-0100-000038000000}">
      <text>
        <r>
          <rPr>
            <sz val="11"/>
            <color theme="1"/>
            <rFont val="Calibri"/>
            <family val="2"/>
            <scheme val="minor"/>
          </rPr>
          <t>======
ID#AAABDq5Trjs
YULIED.PENARANDA    (2023-11-09 13:07:34)
Magnitud física asociada a la reservas,  aplica para las meta con tipología suma, las cuales se pueden desagregar por los compromisos contraídos que al cierre de la vigencia fiscal no  se cumplieron.</t>
        </r>
      </text>
    </comment>
    <comment ref="F42" authorId="0" shapeId="0" xr:uid="{00000000-0006-0000-0100-000039000000}">
      <text>
        <r>
          <rPr>
            <sz val="11"/>
            <color theme="1"/>
            <rFont val="Calibri"/>
            <family val="2"/>
            <scheme val="minor"/>
          </rPr>
          <t>======
ID#AAABDq5Treo
YULIED.PENARANDA    (2023-11-09 13:07:33)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A000000}">
      <text>
        <r>
          <rPr>
            <sz val="11"/>
            <color theme="1"/>
            <rFont val="Calibri"/>
            <family val="2"/>
            <scheme val="minor"/>
          </rPr>
          <t>======
ID#AAABDq5TrEg
YULIED.PENARANDA    (2023-11-09 13:07:34)
Para las metas de tipología suma (vigencia *reservas). Para las demás tipos de metas se asocia el mismo dato de la vigencia.</t>
        </r>
      </text>
    </comment>
    <comment ref="F44" authorId="0" shapeId="0" xr:uid="{00000000-0006-0000-0100-00003B000000}">
      <text>
        <r>
          <rPr>
            <sz val="11"/>
            <color theme="1"/>
            <rFont val="Calibri"/>
            <family val="2"/>
            <scheme val="minor"/>
          </rPr>
          <t>======
ID#AAABDq5TraI
YULIED.PENARANDA    (2023-11-09 13:07:33)
Se suma los recursos presupuestales (vigencia + reservas)</t>
        </r>
      </text>
    </comment>
    <comment ref="F45" authorId="0" shapeId="0" xr:uid="{00000000-0006-0000-0100-00003C000000}">
      <text>
        <r>
          <rPr>
            <sz val="11"/>
            <color theme="1"/>
            <rFont val="Calibri"/>
            <family val="2"/>
            <scheme val="minor"/>
          </rPr>
          <t>======
ID#AAABDq5TrsY
YULIED.PENARANDA    (2023-11-09 13:07:33)
Magnitud física de la meta proyecto de inversión, a programar o a realizar seguimiento, según la columna en que se reporte.</t>
        </r>
      </text>
    </comment>
    <comment ref="F46" authorId="0" shapeId="0" xr:uid="{00000000-0006-0000-0100-00003D000000}">
      <text>
        <r>
          <rPr>
            <sz val="11"/>
            <color theme="1"/>
            <rFont val="Calibri"/>
            <family val="2"/>
            <scheme val="minor"/>
          </rPr>
          <t>======
ID#AAABDq5TrUA
YULIED.PENARANDA    (2023-11-09 13:07:34)
Este sirve de insumo para establecer el Plan Anual de Adquisiciones</t>
        </r>
      </text>
    </comment>
    <comment ref="F47" authorId="0" shapeId="0" xr:uid="{00000000-0006-0000-0100-00003E000000}">
      <text>
        <r>
          <rPr>
            <sz val="11"/>
            <color theme="1"/>
            <rFont val="Calibri"/>
            <family val="2"/>
            <scheme val="minor"/>
          </rPr>
          <t>======
ID#AAABDq5TrDA
YULIED.PENARANDA    (2023-11-09 13:07:34)
Este debe corresponder con la programación del  Plan Anual de Caja- PAC de la vigencia</t>
        </r>
      </text>
    </comment>
    <comment ref="F48" authorId="0" shapeId="0" xr:uid="{00000000-0006-0000-0100-00003F000000}">
      <text>
        <r>
          <rPr>
            <sz val="11"/>
            <color theme="1"/>
            <rFont val="Calibri"/>
            <family val="2"/>
            <scheme val="minor"/>
          </rPr>
          <t>======
ID#AAABDq5TrBk
YULIED.PENARANDA    (2023-11-09 13:07:34)
Magnitud física asociada a la reservas,  aplica para las meta con tipología suma, las cuales se pueden desagregar por los compromisos contraídos que al cierre de la vigencia fiscal no  se cumplieron.</t>
        </r>
      </text>
    </comment>
    <comment ref="F49" authorId="0" shapeId="0" xr:uid="{00000000-0006-0000-0100-000040000000}">
      <text>
        <r>
          <rPr>
            <sz val="11"/>
            <color theme="1"/>
            <rFont val="Calibri"/>
            <family val="2"/>
            <scheme val="minor"/>
          </rPr>
          <t>======
ID#AAABDq5Trmo
YULIED.PENARANDA    (2023-11-09 13:07:34)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41000000}">
      <text>
        <r>
          <rPr>
            <sz val="11"/>
            <color theme="1"/>
            <rFont val="Calibri"/>
            <family val="2"/>
            <scheme val="minor"/>
          </rPr>
          <t>======
ID#AAABDq5TrP8
YULIED.PENARANDA    (2023-11-09 13:07:33)
Para las metas de tipología suma (vigencia *reservas). Para las demás tipos de metas se asocia el mismo dato de la vigencia.</t>
        </r>
      </text>
    </comment>
    <comment ref="F51" authorId="0" shapeId="0" xr:uid="{00000000-0006-0000-0100-000042000000}">
      <text>
        <r>
          <rPr>
            <sz val="11"/>
            <color theme="1"/>
            <rFont val="Calibri"/>
            <family val="2"/>
            <scheme val="minor"/>
          </rPr>
          <t>======
ID#AAABDq5Trj4
YULIED.PENARANDA    (2023-11-09 13:07:34)
Se suma los recursos presupuestales (vigencia + reservas)</t>
        </r>
      </text>
    </comment>
    <comment ref="F52" authorId="0" shapeId="0" xr:uid="{00000000-0006-0000-0100-000043000000}">
      <text>
        <r>
          <rPr>
            <sz val="11"/>
            <color theme="1"/>
            <rFont val="Calibri"/>
            <family val="2"/>
            <scheme val="minor"/>
          </rPr>
          <t>======
ID#AAABDq5TrOQ
YULIED.PENARANDA    (2023-11-09 13:07:34)
Magnitud física de la meta proyecto de inversión, a programar o a realizar seguimiento, según la columna en que se reporte.</t>
        </r>
      </text>
    </comment>
    <comment ref="F53" authorId="0" shapeId="0" xr:uid="{00000000-0006-0000-0100-000044000000}">
      <text>
        <r>
          <rPr>
            <sz val="11"/>
            <color theme="1"/>
            <rFont val="Calibri"/>
            <family val="2"/>
            <scheme val="minor"/>
          </rPr>
          <t>======
ID#AAABDq5Trr0
YULIED.PENARANDA    (2023-11-09 13:07:34)
Este sirve de insumo para establecer el Plan Anual de Adquisiciones</t>
        </r>
      </text>
    </comment>
    <comment ref="F54" authorId="0" shapeId="0" xr:uid="{00000000-0006-0000-0100-000045000000}">
      <text>
        <r>
          <rPr>
            <sz val="11"/>
            <color theme="1"/>
            <rFont val="Calibri"/>
            <family val="2"/>
            <scheme val="minor"/>
          </rPr>
          <t>======
ID#AAABDq5Trjg
YULIED.PENARANDA    (2023-11-09 13:07:34)
Este debe corresponder con la programación del  Plan Anual de Caja- PAC de la vigencia</t>
        </r>
      </text>
    </comment>
    <comment ref="F55" authorId="0" shapeId="0" xr:uid="{00000000-0006-0000-0100-000046000000}">
      <text>
        <r>
          <rPr>
            <sz val="11"/>
            <color theme="1"/>
            <rFont val="Calibri"/>
            <family val="2"/>
            <scheme val="minor"/>
          </rPr>
          <t>======
ID#AAABDq5TrVk
YULIED.PENARANDA    (2023-11-09 13:07:33)
Magnitud física asociada a la reservas,  aplica para las meta con tipología suma, las cuales se pueden desagregar por los compromisos contraídos que al cierre de la vigencia fiscal no  se cumplieron.</t>
        </r>
      </text>
    </comment>
    <comment ref="F56" authorId="0" shapeId="0" xr:uid="{00000000-0006-0000-0100-000047000000}">
      <text>
        <r>
          <rPr>
            <sz val="11"/>
            <color theme="1"/>
            <rFont val="Calibri"/>
            <family val="2"/>
            <scheme val="minor"/>
          </rPr>
          <t>======
ID#AAABDq5Trfc
YULIED.PENARANDA    (2023-11-09 13:07:33)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7" authorId="0" shapeId="0" xr:uid="{00000000-0006-0000-0100-000048000000}">
      <text>
        <r>
          <rPr>
            <sz val="11"/>
            <color theme="1"/>
            <rFont val="Calibri"/>
            <family val="2"/>
            <scheme val="minor"/>
          </rPr>
          <t>======
ID#AAABDq5TqyA
YULIED.PENARANDA    (2023-11-09 13:07:34)
Para las metas de tipología suma (vigencia *reservas). Para las demás tipos de metas se asocia el mismo dato de la vigencia.</t>
        </r>
      </text>
    </comment>
    <comment ref="F58" authorId="0" shapeId="0" xr:uid="{00000000-0006-0000-0100-000049000000}">
      <text>
        <r>
          <rPr>
            <sz val="11"/>
            <color theme="1"/>
            <rFont val="Calibri"/>
            <family val="2"/>
            <scheme val="minor"/>
          </rPr>
          <t>======
ID#AAABDq5TrVo
YULIED.PENARANDA    (2023-11-09 13:07:34)
Se suma los recursos presupuestales (vigencia + reservas)</t>
        </r>
      </text>
    </comment>
    <comment ref="F59" authorId="0" shapeId="0" xr:uid="{00000000-0006-0000-0100-00004A000000}">
      <text>
        <r>
          <rPr>
            <sz val="11"/>
            <color theme="1"/>
            <rFont val="Calibri"/>
            <family val="2"/>
            <scheme val="minor"/>
          </rPr>
          <t>======
ID#AAABDq5TrhY
YULIED.PENARANDA    (2023-11-09 13:07:33)
Magnitud física de la meta proyecto de inversión, a programar o a realizar seguimiento, según la columna en que se reporte.</t>
        </r>
      </text>
    </comment>
    <comment ref="F60" authorId="0" shapeId="0" xr:uid="{00000000-0006-0000-0100-00004B000000}">
      <text>
        <r>
          <rPr>
            <sz val="11"/>
            <color theme="1"/>
            <rFont val="Calibri"/>
            <family val="2"/>
            <scheme val="minor"/>
          </rPr>
          <t>======
ID#AAABDq5Trzk
YULIED.PENARANDA    (2023-11-09 13:07:33)
Este sirve de insumo para establecer el Plan Anual de Adquisiciones</t>
        </r>
      </text>
    </comment>
    <comment ref="F61" authorId="0" shapeId="0" xr:uid="{00000000-0006-0000-0100-00004C000000}">
      <text>
        <r>
          <rPr>
            <sz val="11"/>
            <color theme="1"/>
            <rFont val="Calibri"/>
            <family val="2"/>
            <scheme val="minor"/>
          </rPr>
          <t>======
ID#AAABDq5Tq5o
YULIED.PENARANDA    (2023-11-09 13:07:33)
Este debe corresponder con la programación del  Plan Anual de Caja- PAC de la vigencia</t>
        </r>
      </text>
    </comment>
    <comment ref="F62" authorId="0" shapeId="0" xr:uid="{00000000-0006-0000-0100-00004D000000}">
      <text>
        <r>
          <rPr>
            <sz val="11"/>
            <color theme="1"/>
            <rFont val="Calibri"/>
            <family val="2"/>
            <scheme val="minor"/>
          </rPr>
          <t>======
ID#AAABDq5TrSc
YULIED.PENARANDA    (2023-11-09 13:07:34)
Magnitud física asociada a la reservas,  aplica para las meta con tipología suma, las cuales se pueden desagregar por los compromisos contraídos que al cierre de la vigencia fiscal no  se cumplieron.</t>
        </r>
      </text>
    </comment>
    <comment ref="F63" authorId="0" shapeId="0" xr:uid="{00000000-0006-0000-0100-00004E000000}">
      <text>
        <r>
          <rPr>
            <sz val="11"/>
            <color theme="1"/>
            <rFont val="Calibri"/>
            <family val="2"/>
            <scheme val="minor"/>
          </rPr>
          <t>======
ID#AAABDq5Trpo
YULIED.PENARANDA    (2023-11-09 13:07:34)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64" authorId="0" shapeId="0" xr:uid="{00000000-0006-0000-0100-00004F000000}">
      <text>
        <r>
          <rPr>
            <sz val="11"/>
            <color theme="1"/>
            <rFont val="Calibri"/>
            <family val="2"/>
            <scheme val="minor"/>
          </rPr>
          <t>======
ID#AAABDq5TrJw
YULIED.PENARANDA    (2023-11-09 13:07:34)
Para las metas de tipología suma (vigencia *reservas). Para las demás tipos de metas se asocia el mismo dato de la vigencia.</t>
        </r>
      </text>
    </comment>
    <comment ref="F65" authorId="0" shapeId="0" xr:uid="{00000000-0006-0000-0100-000050000000}">
      <text>
        <r>
          <rPr>
            <sz val="11"/>
            <color theme="1"/>
            <rFont val="Calibri"/>
            <family val="2"/>
            <scheme val="minor"/>
          </rPr>
          <t>======
ID#AAABDq5TrGM
YULIED.PENARANDA    (2023-11-09 13:07:33)
Se suma los recursos presupuestales (vigencia + reservas)</t>
        </r>
      </text>
    </comment>
    <comment ref="F66" authorId="0" shapeId="0" xr:uid="{00000000-0006-0000-0100-000051000000}">
      <text>
        <r>
          <rPr>
            <sz val="11"/>
            <color theme="1"/>
            <rFont val="Calibri"/>
            <family val="2"/>
            <scheme val="minor"/>
          </rPr>
          <t>======
ID#AAABDq5TrQ8
YULIED.PENARANDA    (2023-11-09 13:07:34)
Magnitud física de la meta proyecto de inversión, a programar o a realizar seguimiento, según la columna en que se reporte.</t>
        </r>
      </text>
    </comment>
    <comment ref="F67" authorId="0" shapeId="0" xr:uid="{00000000-0006-0000-0100-000052000000}">
      <text>
        <r>
          <rPr>
            <sz val="11"/>
            <color theme="1"/>
            <rFont val="Calibri"/>
            <family val="2"/>
            <scheme val="minor"/>
          </rPr>
          <t>======
ID#AAABDq5Tqyg
YULIED.PENARANDA    (2023-11-09 13:07:33)
Este sirve de insumo para establecer el Plan Anual de Adquisiciones</t>
        </r>
      </text>
    </comment>
    <comment ref="F68" authorId="0" shapeId="0" xr:uid="{00000000-0006-0000-0100-000053000000}">
      <text>
        <r>
          <rPr>
            <sz val="11"/>
            <color theme="1"/>
            <rFont val="Calibri"/>
            <family val="2"/>
            <scheme val="minor"/>
          </rPr>
          <t>======
ID#AAABDq5TrXk
YULIED.PENARANDA    (2023-11-09 13:07:33)
Este debe corresponder con la programación del  Plan Anual de Caja- PAC de la vigencia</t>
        </r>
      </text>
    </comment>
    <comment ref="F69" authorId="0" shapeId="0" xr:uid="{00000000-0006-0000-0100-000054000000}">
      <text>
        <r>
          <rPr>
            <sz val="11"/>
            <color theme="1"/>
            <rFont val="Calibri"/>
            <family val="2"/>
            <scheme val="minor"/>
          </rPr>
          <t>======
ID#AAABDq5Trk8
YULIED.PENARANDA    (2023-11-09 13:07:33)
Magnitud física asociada a la reservas,  aplica para las meta con tipología suma, las cuales se pueden desagregar por los compromisos contraídos que al cierre de la vigencia fiscal no  se cumplieron.</t>
        </r>
      </text>
    </comment>
    <comment ref="F70" authorId="0" shapeId="0" xr:uid="{00000000-0006-0000-0100-000055000000}">
      <text>
        <r>
          <rPr>
            <sz val="11"/>
            <color theme="1"/>
            <rFont val="Calibri"/>
            <family val="2"/>
            <scheme val="minor"/>
          </rPr>
          <t>======
ID#AAABDq5TrcE
YULIED.PENARANDA    (2023-11-09 13:07:33)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1" authorId="0" shapeId="0" xr:uid="{00000000-0006-0000-0100-000056000000}">
      <text>
        <r>
          <rPr>
            <sz val="11"/>
            <color theme="1"/>
            <rFont val="Calibri"/>
            <family val="2"/>
            <scheme val="minor"/>
          </rPr>
          <t>======
ID#AAABDq5TrYE
YULIED.PENARANDA    (2023-11-09 13:07:33)
Para las metas de tipología suma (vigencia *reservas). Para las demás tipos de metas se asocia el mismo dato de la vigencia.</t>
        </r>
      </text>
    </comment>
    <comment ref="F72" authorId="0" shapeId="0" xr:uid="{00000000-0006-0000-0100-000057000000}">
      <text>
        <r>
          <rPr>
            <sz val="11"/>
            <color theme="1"/>
            <rFont val="Calibri"/>
            <family val="2"/>
            <scheme val="minor"/>
          </rPr>
          <t>======
ID#AAABDq5TrTQ
YULIED.PENARANDA    (2023-11-09 13:07:34)
Se suma los recursos presupuestales (vigencia + reservas)</t>
        </r>
      </text>
    </comment>
    <comment ref="F73" authorId="0" shapeId="0" xr:uid="{00000000-0006-0000-0100-000058000000}">
      <text>
        <r>
          <rPr>
            <sz val="11"/>
            <color theme="1"/>
            <rFont val="Calibri"/>
            <family val="2"/>
            <scheme val="minor"/>
          </rPr>
          <t>======
ID#AAABDq5TrLI
YULIED.PENARANDA    (2023-11-09 13:07:34)
Magnitud física de la meta proyecto de inversión, a programar o a realizar seguimiento, según la columna en que se reporte.</t>
        </r>
      </text>
    </comment>
    <comment ref="F74" authorId="0" shapeId="0" xr:uid="{00000000-0006-0000-0100-000059000000}">
      <text>
        <r>
          <rPr>
            <sz val="11"/>
            <color theme="1"/>
            <rFont val="Calibri"/>
            <family val="2"/>
            <scheme val="minor"/>
          </rPr>
          <t>======
ID#AAABDq5TrvA
YULIED.PENARANDA    (2023-11-09 13:07:34)
Este sirve de insumo para establecer el Plan Anual de Adquisiciones</t>
        </r>
      </text>
    </comment>
    <comment ref="F75" authorId="0" shapeId="0" xr:uid="{00000000-0006-0000-0100-00005A000000}">
      <text>
        <r>
          <rPr>
            <sz val="11"/>
            <color theme="1"/>
            <rFont val="Calibri"/>
            <family val="2"/>
            <scheme val="minor"/>
          </rPr>
          <t>======
ID#AAABDq5TrZk
YULIED.PENARANDA    (2023-11-09 13:07:33)
Este debe corresponder con la programación del  Plan Anual de Caja- PAC de la vigencia</t>
        </r>
      </text>
    </comment>
    <comment ref="F76" authorId="0" shapeId="0" xr:uid="{00000000-0006-0000-0100-00005B000000}">
      <text>
        <r>
          <rPr>
            <sz val="11"/>
            <color theme="1"/>
            <rFont val="Calibri"/>
            <family val="2"/>
            <scheme val="minor"/>
          </rPr>
          <t>======
ID#AAABDq5Tq_g
YULIED.PENARANDA    (2023-11-09 13:07:34)
Magnitud física asociada a la reservas,  aplica para las meta con tipología suma, las cuales se pueden desagregar por los compromisos contraídos que al cierre de la vigencia fiscal no  se cumplieron.</t>
        </r>
      </text>
    </comment>
    <comment ref="F77" authorId="0" shapeId="0" xr:uid="{00000000-0006-0000-0100-00005C000000}">
      <text>
        <r>
          <rPr>
            <sz val="11"/>
            <color theme="1"/>
            <rFont val="Calibri"/>
            <family val="2"/>
            <scheme val="minor"/>
          </rPr>
          <t>======
ID#AAABDq5TrG0
YULIED.PENARANDA    (2023-11-09 13:07:33)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8" authorId="0" shapeId="0" xr:uid="{00000000-0006-0000-0100-00005D000000}">
      <text>
        <r>
          <rPr>
            <sz val="11"/>
            <color theme="1"/>
            <rFont val="Calibri"/>
            <family val="2"/>
            <scheme val="minor"/>
          </rPr>
          <t>======
ID#AAABDq5Tq5s
YULIED.PENARANDA    (2023-11-09 13:07:34)
Para las metas de tipología suma (vigencia *reservas). Para las demás tipos de metas se asocia el mismo dato de la vigencia.</t>
        </r>
      </text>
    </comment>
    <comment ref="F79" authorId="0" shapeId="0" xr:uid="{00000000-0006-0000-0100-00005E000000}">
      <text>
        <r>
          <rPr>
            <sz val="11"/>
            <color theme="1"/>
            <rFont val="Calibri"/>
            <family val="2"/>
            <scheme val="minor"/>
          </rPr>
          <t>======
ID#AAABDq5TrP0
YULIED.PENARANDA    (2023-11-09 13:07:34)
Se suma los recursos presupuestales (vigencia + reservas)</t>
        </r>
      </text>
    </comment>
    <comment ref="F80" authorId="0" shapeId="0" xr:uid="{00000000-0006-0000-0100-00005F000000}">
      <text>
        <r>
          <rPr>
            <sz val="11"/>
            <color theme="1"/>
            <rFont val="Calibri"/>
            <family val="2"/>
            <scheme val="minor"/>
          </rPr>
          <t>======
ID#AAABDq5Trto
YULIED.PENARANDA    (2023-11-09 13:07:34)
Se suma los recursos presupuestales de la vigencia, por cada meta de inversión del proyecto</t>
        </r>
      </text>
    </comment>
    <comment ref="F81" authorId="0" shapeId="0" xr:uid="{00000000-0006-0000-0100-000060000000}">
      <text>
        <r>
          <rPr>
            <sz val="11"/>
            <color theme="1"/>
            <rFont val="Calibri"/>
            <family val="2"/>
            <scheme val="minor"/>
          </rPr>
          <t>======
ID#AAABDq5TrWM
YULIED.PENARANDA    (2023-11-09 13:07:34)
Se suma los recursos presupuestales de la reserva, por cada meta de inversión del proyecto</t>
        </r>
      </text>
    </comment>
    <comment ref="F82" authorId="0" shapeId="0" xr:uid="{00000000-0006-0000-0100-000061000000}">
      <text>
        <r>
          <rPr>
            <sz val="11"/>
            <color theme="1"/>
            <rFont val="Calibri"/>
            <family val="2"/>
            <scheme val="minor"/>
          </rPr>
          <t>======
ID#AAABDq5Tq-w
YULIED.PENARANDA    (2023-11-09 13:07:34)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color theme="1"/>
            <rFont val="Calibri"/>
            <family val="2"/>
            <scheme val="minor"/>
          </rPr>
          <t>======
ID#AAABDq5TrZw
YULIED.PENARANDA    (2023-11-09 13:07:33)
Describir el nombre completo de la oficina, dirección o subdirección que gerencia el proyecto de inversión.</t>
        </r>
      </text>
    </comment>
    <comment ref="A5" authorId="0" shapeId="0" xr:uid="{00000000-0006-0000-0200-000002000000}">
      <text>
        <r>
          <rPr>
            <sz val="11"/>
            <color theme="1"/>
            <rFont val="Calibri"/>
            <family val="2"/>
            <scheme val="minor"/>
          </rPr>
          <t>======
ID#AAABDq5Tq8I
YULIED.PENARANDA    (2023-11-09 13:07:33)
Describir el número y nombre completo del proyecto de inversión.</t>
        </r>
      </text>
    </comment>
    <comment ref="A7" authorId="0" shapeId="0" xr:uid="{00000000-0006-0000-0200-000003000000}">
      <text>
        <r>
          <rPr>
            <sz val="11"/>
            <color theme="1"/>
            <rFont val="Calibri"/>
            <family val="2"/>
            <scheme val="minor"/>
          </rPr>
          <t>======
ID#AAABDq5TrmM
YULIED.PENARANDA    (2023-11-09 13:07:33)
Se escribe el nombre completo de las líneas de acción, quien nos dan una visión general de los grandes temas del proyecto, forman parte integral del mismo.</t>
        </r>
      </text>
    </comment>
    <comment ref="B7" authorId="0" shapeId="0" xr:uid="{00000000-0006-0000-0200-000004000000}">
      <text>
        <r>
          <rPr>
            <sz val="11"/>
            <color theme="1"/>
            <rFont val="Calibri"/>
            <family val="2"/>
            <scheme val="minor"/>
          </rPr>
          <t>======
ID#AAABDq5Trq8
YULIED.PENARANDA    (2023-11-09 13:07:34)
Se deben relacionar todas las metas proyecto de inversión formuladas para la ejecución del proyecto.</t>
        </r>
      </text>
    </comment>
    <comment ref="C7" authorId="0" shapeId="0" xr:uid="{00000000-0006-0000-0200-000005000000}">
      <text>
        <r>
          <rPr>
            <sz val="11"/>
            <color theme="1"/>
            <rFont val="Calibri"/>
            <family val="2"/>
            <scheme val="minor"/>
          </rPr>
          <t>======
ID#AAABDq5Trr8
YULIED.PENARANDA    (2023-11-09 13:07:34)
Código y descripción de cada actividad en orden cronológico para el cumplimiento de la meta proyecto de inversión.    Máximo de caracteres 200 incluido espacios.</t>
        </r>
      </text>
    </comment>
    <comment ref="D7" authorId="0" shapeId="0" xr:uid="{00000000-0006-0000-0200-000006000000}">
      <text>
        <r>
          <rPr>
            <sz val="11"/>
            <color theme="1"/>
            <rFont val="Calibri"/>
            <family val="2"/>
            <scheme val="minor"/>
          </rPr>
          <t>======
ID#AAABDq5TrJA
YULIED.PENARANDA    (2023-11-09 13:07:34)
Se selecciona con “X” si el presupuesto con el que se ejecuta la actividad es con recursos de vigencia y/o de la reserva.</t>
        </r>
      </text>
    </comment>
    <comment ref="F7" authorId="0" shapeId="0" xr:uid="{00000000-0006-0000-0200-000007000000}">
      <text>
        <r>
          <rPr>
            <sz val="11"/>
            <color theme="1"/>
            <rFont val="Calibri"/>
            <family val="2"/>
            <scheme val="minor"/>
          </rPr>
          <t>======
ID#AAABDq5Trh0
YULIED.PENARANDA    (2023-11-09 13:07:34)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color theme="1"/>
            <rFont val="Calibri"/>
            <family val="2"/>
            <scheme val="minor"/>
          </rPr>
          <t>======
ID#AAABDq5TrlI
YULIED.PENARANDA    (2023-11-09 13:07:34)
Peso porcentual de la meta y actividad, al final del resultado nos da el 100%</t>
        </r>
      </text>
    </comment>
    <comment ref="V7" authorId="0" shapeId="0" xr:uid="{00000000-0006-0000-0200-000009000000}">
      <text>
        <r>
          <rPr>
            <sz val="11"/>
            <color theme="1"/>
            <rFont val="Calibri"/>
            <family val="2"/>
            <scheme val="minor"/>
          </rPr>
          <t>======
ID#AAABDq5TrUg
YULIED.PENARANDA    (2023-11-09 13:07:33)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sz val="11"/>
            <color theme="1"/>
            <rFont val="Calibri"/>
            <family val="2"/>
            <scheme val="minor"/>
          </rPr>
          <t>======
ID#AAABDq5Tqvg
YULIED.PENARANDA    (2023-11-09 13:07:34)
Este campo se selecciona con “X” si el presupuesto con el que se ejecuta la actividad es con recursos de vigencia</t>
        </r>
      </text>
    </comment>
    <comment ref="E8" authorId="0" shapeId="0" xr:uid="{00000000-0006-0000-0200-00000B000000}">
      <text>
        <r>
          <rPr>
            <sz val="11"/>
            <color theme="1"/>
            <rFont val="Calibri"/>
            <family val="2"/>
            <scheme val="minor"/>
          </rPr>
          <t>======
ID#AAABDq5TrPQ
YULIED.PENARANDA    (2023-11-09 13:07:33)
Este campo se selecciona con “X” si el presupuesto con el que se ejecuta la actividad es con recursos  de la reserva.</t>
        </r>
      </text>
    </comment>
    <comment ref="F8" authorId="0" shapeId="0" xr:uid="{00000000-0006-0000-0200-00000C000000}">
      <text>
        <r>
          <rPr>
            <sz val="11"/>
            <color theme="1"/>
            <rFont val="Calibri"/>
            <family val="2"/>
            <scheme val="minor"/>
          </rPr>
          <t>======
ID#AAABDq5Tq_A
YULIED.PENARANDA    (2023-11-09 13:07:33)
Variables: programado y ejecutado</t>
        </r>
      </text>
    </comment>
    <comment ref="G8" authorId="0" shapeId="0" xr:uid="{00000000-0006-0000-0200-00000D000000}">
      <text>
        <r>
          <rPr>
            <sz val="11"/>
            <color theme="1"/>
            <rFont val="Calibri"/>
            <family val="2"/>
            <scheme val="minor"/>
          </rPr>
          <t>======
ID#AAABDq5Trqo
YULIED.PENARANDA    (2023-11-09 13:07:33)
Máximo dos decimales</t>
        </r>
      </text>
    </comment>
    <comment ref="H8" authorId="0" shapeId="0" xr:uid="{00000000-0006-0000-0200-00000E000000}">
      <text>
        <r>
          <rPr>
            <sz val="11"/>
            <color theme="1"/>
            <rFont val="Calibri"/>
            <family val="2"/>
            <scheme val="minor"/>
          </rPr>
          <t>======
ID#AAABDq5Tqow
YULIED.PENARANDA    (2023-11-09 13:07:33)
Máximo dos decimales</t>
        </r>
      </text>
    </comment>
    <comment ref="I8" authorId="0" shapeId="0" xr:uid="{00000000-0006-0000-0200-00000F000000}">
      <text>
        <r>
          <rPr>
            <sz val="11"/>
            <color theme="1"/>
            <rFont val="Calibri"/>
            <family val="2"/>
            <scheme val="minor"/>
          </rPr>
          <t>======
ID#AAABDq5Trgs
YULIED.PENARANDA    (2023-11-09 13:07:33)
Máximo dos decimales</t>
        </r>
      </text>
    </comment>
    <comment ref="J8" authorId="0" shapeId="0" xr:uid="{00000000-0006-0000-0200-000010000000}">
      <text>
        <r>
          <rPr>
            <sz val="11"/>
            <color theme="1"/>
            <rFont val="Calibri"/>
            <family val="2"/>
            <scheme val="minor"/>
          </rPr>
          <t>======
ID#AAABDq5TqzA
YULIED.PENARANDA    (2023-11-09 13:07:33)
Máximo dos decimales</t>
        </r>
      </text>
    </comment>
    <comment ref="K8" authorId="0" shapeId="0" xr:uid="{00000000-0006-0000-0200-000011000000}">
      <text>
        <r>
          <rPr>
            <sz val="11"/>
            <color theme="1"/>
            <rFont val="Calibri"/>
            <family val="2"/>
            <scheme val="minor"/>
          </rPr>
          <t>======
ID#AAABDq5TrnI
YULIED.PENARANDA    (2023-11-09 13:07:33)
Máximo dos decimales</t>
        </r>
      </text>
    </comment>
    <comment ref="L8" authorId="0" shapeId="0" xr:uid="{00000000-0006-0000-0200-000012000000}">
      <text>
        <r>
          <rPr>
            <sz val="11"/>
            <color theme="1"/>
            <rFont val="Calibri"/>
            <family val="2"/>
            <scheme val="minor"/>
          </rPr>
          <t>======
ID#AAABDq5Trwg
YULIED.PENARANDA    (2023-11-09 13:07:34)
Máximo dos decimales</t>
        </r>
      </text>
    </comment>
    <comment ref="M8" authorId="0" shapeId="0" xr:uid="{00000000-0006-0000-0200-000013000000}">
      <text>
        <r>
          <rPr>
            <sz val="11"/>
            <color theme="1"/>
            <rFont val="Calibri"/>
            <family val="2"/>
            <scheme val="minor"/>
          </rPr>
          <t>======
ID#AAABDq5TrZo
YULIED.PENARANDA    (2023-11-09 13:07:33)
Máximo dos decimales</t>
        </r>
      </text>
    </comment>
    <comment ref="N8" authorId="0" shapeId="0" xr:uid="{00000000-0006-0000-0200-000014000000}">
      <text>
        <r>
          <rPr>
            <sz val="11"/>
            <color theme="1"/>
            <rFont val="Calibri"/>
            <family val="2"/>
            <scheme val="minor"/>
          </rPr>
          <t>======
ID#AAABDq5TryM
YULIED.PENARANDA    (2023-11-09 13:07:34)
Máximo dos decimales</t>
        </r>
      </text>
    </comment>
    <comment ref="O8" authorId="0" shapeId="0" xr:uid="{00000000-0006-0000-0200-000015000000}">
      <text>
        <r>
          <rPr>
            <sz val="11"/>
            <color theme="1"/>
            <rFont val="Calibri"/>
            <family val="2"/>
            <scheme val="minor"/>
          </rPr>
          <t>======
ID#AAABDq5Trls
YULIED.PENARANDA    (2023-11-09 13:07:34)
Máximo dos decimales</t>
        </r>
      </text>
    </comment>
    <comment ref="P8" authorId="0" shapeId="0" xr:uid="{00000000-0006-0000-0200-000016000000}">
      <text>
        <r>
          <rPr>
            <sz val="11"/>
            <color theme="1"/>
            <rFont val="Calibri"/>
            <family val="2"/>
            <scheme val="minor"/>
          </rPr>
          <t>======
ID#AAABDq5TrzU
YULIED.PENARANDA    (2023-11-09 13:07:34)
Máximo dos decimales</t>
        </r>
      </text>
    </comment>
    <comment ref="Q8" authorId="0" shapeId="0" xr:uid="{00000000-0006-0000-0200-000017000000}">
      <text>
        <r>
          <rPr>
            <sz val="11"/>
            <color theme="1"/>
            <rFont val="Calibri"/>
            <family val="2"/>
            <scheme val="minor"/>
          </rPr>
          <t>======
ID#AAABDq5Trdc
YULIED.PENARANDA    (2023-11-09 13:07:33)
Máximo dos decimales</t>
        </r>
      </text>
    </comment>
    <comment ref="R8" authorId="0" shapeId="0" xr:uid="{00000000-0006-0000-0200-000018000000}">
      <text>
        <r>
          <rPr>
            <sz val="11"/>
            <color theme="1"/>
            <rFont val="Calibri"/>
            <family val="2"/>
            <scheme val="minor"/>
          </rPr>
          <t>======
ID#AAABDq5Tq7Y
YULIED.PENARANDA    (2023-11-09 13:07:34)
Máximo dos decimales</t>
        </r>
      </text>
    </comment>
    <comment ref="S8" authorId="0" shapeId="0" xr:uid="{00000000-0006-0000-0200-000019000000}">
      <text>
        <r>
          <rPr>
            <sz val="11"/>
            <color theme="1"/>
            <rFont val="Calibri"/>
            <family val="2"/>
            <scheme val="minor"/>
          </rPr>
          <t>======
ID#AAABDq5TrA4
YULIED.PENARANDA    (2023-11-09 13:07:33)
La programación y la ejecución de la actividad en los 12 meses, no puede ser superior a 100%.</t>
        </r>
      </text>
    </comment>
    <comment ref="T8" authorId="0" shapeId="0" xr:uid="{00000000-0006-0000-0200-00001A000000}">
      <text>
        <r>
          <rPr>
            <sz val="11"/>
            <color theme="1"/>
            <rFont val="Calibri"/>
            <family val="2"/>
            <scheme val="minor"/>
          </rPr>
          <t>======
ID#AAABDq5Tqv0
YULIED.PENARANDA    (2023-11-09 13:07:33)
Peso porcentual de cada meta, en función del proyecto de inversión</t>
        </r>
      </text>
    </comment>
    <comment ref="U8" authorId="0" shapeId="0" xr:uid="{00000000-0006-0000-0200-00001B000000}">
      <text>
        <r>
          <rPr>
            <sz val="11"/>
            <color theme="1"/>
            <rFont val="Calibri"/>
            <family val="2"/>
            <scheme val="minor"/>
          </rPr>
          <t>======
ID#AAABDq5TrSQ
YULIED.PENARANDA    (2023-11-09 13:07:33)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D22" authorId="0" shapeId="0" xr:uid="{00000000-0006-0000-0300-000001000000}">
      <text>
        <r>
          <rPr>
            <sz val="11"/>
            <color theme="1"/>
            <rFont val="Calibri"/>
            <family val="2"/>
            <scheme val="minor"/>
          </rPr>
          <t>======
ID#AAABDq5TrBQ
YULIED.PENARANDA    (2023-11-09 13:07:34)
Magnitud física de la meta proyecto de inversión, a programar o a realizar seguimiento, según la columna en que se reporte.</t>
        </r>
      </text>
    </comment>
    <comment ref="D23" authorId="0" shapeId="0" xr:uid="{00000000-0006-0000-0300-000002000000}">
      <text>
        <r>
          <rPr>
            <sz val="11"/>
            <color theme="1"/>
            <rFont val="Calibri"/>
            <family val="2"/>
            <scheme val="minor"/>
          </rPr>
          <t>======
ID#AAABDq5TqwM
YULIED.PENARANDA    (2023-11-09 13:07:34)
Recursos presupuestales asignados para la vigencia en programación  y/o seguimiento, según la columna en que se reporte</t>
        </r>
      </text>
    </comment>
    <comment ref="D24" authorId="0" shapeId="0" xr:uid="{00000000-0006-0000-0300-000003000000}">
      <text>
        <r>
          <rPr>
            <sz val="11"/>
            <color theme="1"/>
            <rFont val="Calibri"/>
            <family val="2"/>
            <scheme val="minor"/>
          </rPr>
          <t>======
ID#AAABDq5Tq74
YULIED.PENARANDA    (2023-11-09 13:07:34)
Magnitud física asociada a la reservas,  aplica para las meta con tipología suma, las cuales se pueden desagregar por los compromisos contraídos que al cierre de la vigencia fiscal no  se cumplieron.</t>
        </r>
      </text>
    </comment>
    <comment ref="D25" authorId="0" shapeId="0" xr:uid="{00000000-0006-0000-0300-000004000000}">
      <text>
        <r>
          <rPr>
            <sz val="11"/>
            <color theme="1"/>
            <rFont val="Calibri"/>
            <family val="2"/>
            <scheme val="minor"/>
          </rPr>
          <t>======
ID#AAABDq5TrLs
YULIED.PENARANDA    (2023-11-09 13:07:34)
Son compromisos legalmente contraídos que al cierre de la vigencia fiscal no se han atendido por no haberse completado las formalidades necesarias que hagan exigible el pago al terminarse el año.</t>
        </r>
      </text>
    </comment>
    <comment ref="D26" authorId="0" shapeId="0" xr:uid="{00000000-0006-0000-0300-000005000000}">
      <text>
        <r>
          <rPr>
            <sz val="11"/>
            <color theme="1"/>
            <rFont val="Calibri"/>
            <family val="2"/>
            <scheme val="minor"/>
          </rPr>
          <t>======
ID#AAABDq5Tqpk
YULIED.PENARANDA    (2023-11-09 13:07:34)
Para las metas de tipología suma (vigencia *reservas). Para las demás tipos de metas se asocia el mismo dato de la vigencia.</t>
        </r>
      </text>
    </comment>
    <comment ref="D27" authorId="0" shapeId="0" xr:uid="{00000000-0006-0000-0300-000006000000}">
      <text>
        <r>
          <rPr>
            <sz val="11"/>
            <color theme="1"/>
            <rFont val="Calibri"/>
            <family val="2"/>
            <scheme val="minor"/>
          </rPr>
          <t>======
ID#AAABDq5TrbA
YULIED.PENARANDA    (2023-11-09 13:07:34)
Se suma los recursos presupuestales (vigencia + reservas)</t>
        </r>
      </text>
    </comment>
    <comment ref="D28" authorId="0" shapeId="0" xr:uid="{00000000-0006-0000-0300-000007000000}">
      <text>
        <r>
          <rPr>
            <sz val="11"/>
            <color theme="1"/>
            <rFont val="Calibri"/>
            <family val="2"/>
            <scheme val="minor"/>
          </rPr>
          <t>======
ID#AAABDq5TrtA
YULIED.PENARANDA    (2023-11-09 13:07:33)
Magnitud física de la meta proyecto de inversión, a programar o a realizar seguimiento, según la columna en que se reporte.</t>
        </r>
      </text>
    </comment>
    <comment ref="D29" authorId="0" shapeId="0" xr:uid="{00000000-0006-0000-0300-000008000000}">
      <text>
        <r>
          <rPr>
            <sz val="11"/>
            <color theme="1"/>
            <rFont val="Calibri"/>
            <family val="2"/>
            <scheme val="minor"/>
          </rPr>
          <t>======
ID#AAABDq5Tq0s
YULIED.PENARANDA    (2023-11-09 13:07:33)
Recursos presupuestales asignados para la vigencia en programación  y/o seguimiento, según la columna en que se reporte</t>
        </r>
      </text>
    </comment>
    <comment ref="D30" authorId="0" shapeId="0" xr:uid="{00000000-0006-0000-0300-000009000000}">
      <text>
        <r>
          <rPr>
            <sz val="11"/>
            <color theme="1"/>
            <rFont val="Calibri"/>
            <family val="2"/>
            <scheme val="minor"/>
          </rPr>
          <t>======
ID#AAABDq5TrqI
YULIED.PENARANDA    (2023-11-09 13:07:33)
Magnitud física asociada a la reservas,  aplica para las meta con tipología suma, las cuales se pueden desagregar por los compromisos contraídos que al cierre de la vigencia fiscal no  se cumplieron.</t>
        </r>
      </text>
    </comment>
    <comment ref="D31" authorId="0" shapeId="0" xr:uid="{00000000-0006-0000-0300-00000A000000}">
      <text>
        <r>
          <rPr>
            <sz val="11"/>
            <color theme="1"/>
            <rFont val="Calibri"/>
            <family val="2"/>
            <scheme val="minor"/>
          </rPr>
          <t>======
ID#AAABDq5TrIY
YULIED.PENARANDA    (2023-11-09 13:07:34)
Son compromisos legalmente contraídos que al cierre de la vigencia fiscal no se han atendido por no haberse completado las formalidades necesarias que hagan exigible el pago al terminarse el año.</t>
        </r>
      </text>
    </comment>
    <comment ref="D32" authorId="0" shapeId="0" xr:uid="{00000000-0006-0000-0300-00000B000000}">
      <text>
        <r>
          <rPr>
            <sz val="11"/>
            <color theme="1"/>
            <rFont val="Calibri"/>
            <family val="2"/>
            <scheme val="minor"/>
          </rPr>
          <t>======
ID#AAABDq5Truw
YULIED.PENARANDA    (2023-11-09 13:07:34)
Para las metas de tipología suma (vigencia *reservas). Para las demás tipos de metas se asocia el mismo dato de la vigencia.</t>
        </r>
      </text>
    </comment>
    <comment ref="D33" authorId="0" shapeId="0" xr:uid="{00000000-0006-0000-0300-00000C000000}">
      <text>
        <r>
          <rPr>
            <sz val="11"/>
            <color theme="1"/>
            <rFont val="Calibri"/>
            <family val="2"/>
            <scheme val="minor"/>
          </rPr>
          <t>======
ID#AAABDq5TrtY
YULIED.PENARANDA    (2023-11-09 13:07:33)
Se suma los recursos presupuestales (vigencia + reservas)</t>
        </r>
      </text>
    </comment>
    <comment ref="D256" authorId="0" shapeId="0" xr:uid="{00000000-0006-0000-0300-00000D000000}">
      <text>
        <r>
          <rPr>
            <sz val="11"/>
            <color theme="1"/>
            <rFont val="Calibri"/>
            <family val="2"/>
            <scheme val="minor"/>
          </rPr>
          <t>======
ID#AAABDq5Trk0
YULIED.PENARANDA    (2023-11-09 13:07:33)
Magnitud física de la meta proyecto de inversión, a programar o a realizar seguimiento, según la columna en que se reporte.</t>
        </r>
      </text>
    </comment>
    <comment ref="D257" authorId="0" shapeId="0" xr:uid="{00000000-0006-0000-0300-00000E000000}">
      <text>
        <r>
          <rPr>
            <sz val="11"/>
            <color theme="1"/>
            <rFont val="Calibri"/>
            <family val="2"/>
            <scheme val="minor"/>
          </rPr>
          <t>======
ID#AAABDq5TrTo
YULIED.PENARANDA    (2023-11-09 13:07:34)
Recursos presupuestales asignados para la vigencia en programación  y/o seguimiento, según la columna en que se reporte</t>
        </r>
      </text>
    </comment>
    <comment ref="D258" authorId="0" shapeId="0" xr:uid="{00000000-0006-0000-0300-00000F000000}">
      <text>
        <r>
          <rPr>
            <sz val="11"/>
            <color theme="1"/>
            <rFont val="Calibri"/>
            <family val="2"/>
            <scheme val="minor"/>
          </rPr>
          <t>======
ID#AAABDq5TrIM
YULIED.PENARANDA    (2023-11-09 13:07:33)
Magnitud física asociada a la reservas,  aplica para las meta con tipología suma, las cuales se pueden desagregar por los compromisos contraídos que al cierre de la vigencia fiscal no  se cumplierón.</t>
        </r>
      </text>
    </comment>
    <comment ref="D259" authorId="0" shapeId="0" xr:uid="{00000000-0006-0000-0300-000010000000}">
      <text>
        <r>
          <rPr>
            <sz val="11"/>
            <color theme="1"/>
            <rFont val="Calibri"/>
            <family val="2"/>
            <scheme val="minor"/>
          </rPr>
          <t>======
ID#AAABDq5Tqvk
YULIED.PENARANDA    (2023-11-09 13:07:33)
Son compromisos legalmente contraídos que al cierre de la vigencia fiscal no se han atendido por no haberse completado las formalidades necesarias que hagan exigible el pago al terminarse el año.</t>
        </r>
      </text>
    </comment>
    <comment ref="D260" authorId="0" shapeId="0" xr:uid="{00000000-0006-0000-0300-000011000000}">
      <text>
        <r>
          <rPr>
            <sz val="11"/>
            <color theme="1"/>
            <rFont val="Calibri"/>
            <family val="2"/>
            <scheme val="minor"/>
          </rPr>
          <t>======
ID#AAABDq5TrLM
YULIED.PENARANDA    (2023-11-09 13:07:34)
Para las metas de tipología suma (vigencia *reservas). Para las demás tipos de metas se asocia el mismo dato de la vigencia.</t>
        </r>
      </text>
    </comment>
    <comment ref="D261" authorId="0" shapeId="0" xr:uid="{00000000-0006-0000-0300-000012000000}">
      <text>
        <r>
          <rPr>
            <sz val="11"/>
            <color theme="1"/>
            <rFont val="Calibri"/>
            <family val="2"/>
            <scheme val="minor"/>
          </rPr>
          <t>======
ID#AAABDq5TrOU
YULIED.PENARANDA    (2023-11-09 13:07:34)
Se suma los recursos presupuestales (vigencia + reservas)</t>
        </r>
      </text>
    </comment>
    <comment ref="D268" authorId="0" shapeId="0" xr:uid="{00000000-0006-0000-0300-000013000000}">
      <text>
        <r>
          <rPr>
            <sz val="11"/>
            <color theme="1"/>
            <rFont val="Calibri"/>
            <family val="2"/>
            <scheme val="minor"/>
          </rPr>
          <t>======
ID#AAABDq5Trk0
YULIED.PENARANDA    (2023-11-09 13:07:33)
Magnitud física de la meta proyecto de inversión, a programar o a realizar seguimiento, según la columna en que se reporte.</t>
        </r>
      </text>
    </comment>
    <comment ref="D269" authorId="0" shapeId="0" xr:uid="{00000000-0006-0000-0300-000014000000}">
      <text>
        <r>
          <rPr>
            <sz val="11"/>
            <color theme="1"/>
            <rFont val="Calibri"/>
            <family val="2"/>
            <scheme val="minor"/>
          </rPr>
          <t>======
ID#AAABDq5TrTo
YULIED.PENARANDA    (2023-11-09 13:07:34)
Recursos presupuestales asignados para la vigencia en programación  y/o seguimiento, según la columna en que se reporte</t>
        </r>
      </text>
    </comment>
    <comment ref="D270" authorId="0" shapeId="0" xr:uid="{00000000-0006-0000-0300-000015000000}">
      <text>
        <r>
          <rPr>
            <sz val="11"/>
            <color theme="1"/>
            <rFont val="Calibri"/>
            <family val="2"/>
            <scheme val="minor"/>
          </rPr>
          <t>======
ID#AAABDq5TrIM
YULIED.PENARANDA    (2023-11-09 13:07:33)
Magnitud física asociada a la reservas,  aplica para las meta con tipología suma, las cuales se pueden desagregar por los compromisos contraídos que al cierre de la vigencia fiscal no  se cumplierón.</t>
        </r>
      </text>
    </comment>
    <comment ref="D271" authorId="0" shapeId="0" xr:uid="{00000000-0006-0000-0300-000016000000}">
      <text>
        <r>
          <rPr>
            <sz val="11"/>
            <color theme="1"/>
            <rFont val="Calibri"/>
            <family val="2"/>
            <scheme val="minor"/>
          </rPr>
          <t>======
ID#AAABDq5Tqvk
YULIED.PENARANDA    (2023-11-09 13:07:33)
Son compromisos legalmente contraídos que al cierre de la vigencia fiscal no se han atendido por no haberse completado las formalidades necesarias que hagan exigible el pago al terminarse el año.</t>
        </r>
      </text>
    </comment>
    <comment ref="D272" authorId="0" shapeId="0" xr:uid="{00000000-0006-0000-0300-000017000000}">
      <text>
        <r>
          <rPr>
            <sz val="11"/>
            <color theme="1"/>
            <rFont val="Calibri"/>
            <family val="2"/>
            <scheme val="minor"/>
          </rPr>
          <t>======
ID#AAABDq5TrLM
YULIED.PENARANDA    (2023-11-09 13:07:34)
Para las metas de tipología suma (vigencia *reservas). Para las demás tipos de metas se asocia el mismo dato de la vigencia.</t>
        </r>
      </text>
    </comment>
    <comment ref="D273" authorId="0" shapeId="0" xr:uid="{00000000-0006-0000-0300-000018000000}">
      <text>
        <r>
          <rPr>
            <sz val="11"/>
            <color theme="1"/>
            <rFont val="Calibri"/>
            <family val="2"/>
            <scheme val="minor"/>
          </rPr>
          <t>======
ID#AAABDq5TrOU
YULIED.PENARANDA    (2023-11-09 13:07:34)
Se suma los recursos presupuestales (vigencia + reservas)</t>
        </r>
      </text>
    </comment>
    <comment ref="D274" authorId="0" shapeId="0" xr:uid="{00000000-0006-0000-0300-000019000000}">
      <text>
        <r>
          <rPr>
            <sz val="11"/>
            <color theme="1"/>
            <rFont val="Calibri"/>
            <family val="2"/>
            <scheme val="minor"/>
          </rPr>
          <t>======
ID#AAABDq5TrN4
YULIED.PENARANDA    (2023-11-09 13:07:33)
Magnitud física de la meta proyecto de inversión, a programar o a realizar seguimiento, según la columna en que se reporte.</t>
        </r>
      </text>
    </comment>
    <comment ref="D275" authorId="0" shapeId="0" xr:uid="{00000000-0006-0000-0300-00001A000000}">
      <text>
        <r>
          <rPr>
            <sz val="11"/>
            <color theme="1"/>
            <rFont val="Calibri"/>
            <family val="2"/>
            <scheme val="minor"/>
          </rPr>
          <t>======
ID#AAABDq5TryU
YULIED.PENARANDA    (2023-11-09 13:07:34)
Recursos presupuestales asignados para la vigencia en programación  y/o seguimiento, según la columna en que se reporte</t>
        </r>
      </text>
    </comment>
    <comment ref="D276" authorId="0" shapeId="0" xr:uid="{00000000-0006-0000-0300-00001B000000}">
      <text>
        <r>
          <rPr>
            <sz val="11"/>
            <color theme="1"/>
            <rFont val="Calibri"/>
            <family val="2"/>
            <scheme val="minor"/>
          </rPr>
          <t>======
ID#AAABDq5Tq5A
YULIED.PENARANDA    (2023-11-09 13:07:34)
Magnitud física asociada a la reservas,  aplica para las meta con tipología suma, las cuales se pueden desagregar por los compromisos contraídos que al cierre de la vigencia fiscal no  se cumplierón.</t>
        </r>
      </text>
    </comment>
    <comment ref="D277" authorId="0" shapeId="0" xr:uid="{00000000-0006-0000-0300-00001C000000}">
      <text>
        <r>
          <rPr>
            <sz val="11"/>
            <color theme="1"/>
            <rFont val="Calibri"/>
            <family val="2"/>
            <scheme val="minor"/>
          </rPr>
          <t>======
ID#AAABDq5TrT0
YULIED.PENARANDA    (2023-11-09 13:07:34)
Son compromisos legalmente contraídos que al cierre de la vigencia fiscal no se han atendido por no haberse completado las formalidades necesarias que hagan exigible el pago al terminarse el año.</t>
        </r>
      </text>
    </comment>
    <comment ref="D278" authorId="0" shapeId="0" xr:uid="{00000000-0006-0000-0300-00001D000000}">
      <text>
        <r>
          <rPr>
            <sz val="11"/>
            <color theme="1"/>
            <rFont val="Calibri"/>
            <family val="2"/>
            <scheme val="minor"/>
          </rPr>
          <t>======
ID#AAABDq5TruM
YULIED.PENARANDA    (2023-11-09 13:07:33)
Para las metas de tipología suma (vigencia *reservas). Para las demás tipos de metas se asocia el mismo dato de la vigencia.</t>
        </r>
      </text>
    </comment>
    <comment ref="D279" authorId="0" shapeId="0" xr:uid="{00000000-0006-0000-0300-00001E000000}">
      <text>
        <r>
          <rPr>
            <sz val="11"/>
            <color theme="1"/>
            <rFont val="Calibri"/>
            <family val="2"/>
            <scheme val="minor"/>
          </rPr>
          <t>======
ID#AAABDq5TrLc
YULIED.PENARANDA    (2023-11-09 13:07:34)
Se suma los recursos presupuestales (vigencia + reservas)</t>
        </r>
      </text>
    </comment>
    <comment ref="D280" authorId="0" shapeId="0" xr:uid="{00000000-0006-0000-0300-00001F000000}">
      <text>
        <r>
          <rPr>
            <sz val="11"/>
            <color theme="1"/>
            <rFont val="Calibri"/>
            <family val="2"/>
            <scheme val="minor"/>
          </rPr>
          <t>======
ID#AAABDq5TrZM
YULIED.PENARANDA    (2023-11-09 13:07:33)
Magnitud física de la meta proyecto de inversión, a programar o a realizar seguimiento, según la columna en que se reporte.</t>
        </r>
      </text>
    </comment>
    <comment ref="D281" authorId="0" shapeId="0" xr:uid="{00000000-0006-0000-0300-000020000000}">
      <text>
        <r>
          <rPr>
            <sz val="11"/>
            <color theme="1"/>
            <rFont val="Calibri"/>
            <family val="2"/>
            <scheme val="minor"/>
          </rPr>
          <t>======
ID#AAABDq5Trow
YULIED.PENARANDA    (2023-11-09 13:07:34)
Recursos presupuestales asignados para la vigencia en programación  y/o seguimiento, según la columna en que se reporte</t>
        </r>
      </text>
    </comment>
    <comment ref="D282" authorId="0" shapeId="0" xr:uid="{00000000-0006-0000-0300-000021000000}">
      <text>
        <r>
          <rPr>
            <sz val="11"/>
            <color theme="1"/>
            <rFont val="Calibri"/>
            <family val="2"/>
            <scheme val="minor"/>
          </rPr>
          <t>======
ID#AAABDq5Tqpo
YULIED.PENARANDA    (2023-11-09 13:07:34)
Magnitud física asociada a la reservas,  aplica para las meta con tipología suma, las cuales se pueden desagregar por los compromisos contraídos que al cierre de la vigencia fiscal no  se cumplierón.</t>
        </r>
      </text>
    </comment>
    <comment ref="D283" authorId="0" shapeId="0" xr:uid="{00000000-0006-0000-0300-000022000000}">
      <text>
        <r>
          <rPr>
            <sz val="11"/>
            <color theme="1"/>
            <rFont val="Calibri"/>
            <family val="2"/>
            <scheme val="minor"/>
          </rPr>
          <t>======
ID#AAABDq5Trro
YULIED.PENARANDA    (2023-11-09 13:07:33)
Son compromisos legalmente contraídos que al cierre de la vigencia fiscal no se han atendido por no haberse completado las formalidades necesarias que hagan exigible el pago al terminarse el año.</t>
        </r>
      </text>
    </comment>
    <comment ref="D284" authorId="0" shapeId="0" xr:uid="{00000000-0006-0000-0300-000023000000}">
      <text>
        <r>
          <rPr>
            <sz val="11"/>
            <color theme="1"/>
            <rFont val="Calibri"/>
            <family val="2"/>
            <scheme val="minor"/>
          </rPr>
          <t>======
ID#AAABDq5Tq8g
YULIED.PENARANDA    (2023-11-09 13:07:34)
Para las metas de tipología suma (vigencia *reservas). Para las demás tipos de metas se asocia el mismo dato de la vigencia.</t>
        </r>
      </text>
    </comment>
    <comment ref="D285" authorId="0" shapeId="0" xr:uid="{00000000-0006-0000-0300-000024000000}">
      <text>
        <r>
          <rPr>
            <sz val="11"/>
            <color theme="1"/>
            <rFont val="Calibri"/>
            <family val="2"/>
            <scheme val="minor"/>
          </rPr>
          <t>======
ID#AAABDq5Trxs
YULIED.PENARANDA    (2023-11-09 13:07:33)
Se suma los recursos presupuestales (vigencia + reservas)</t>
        </r>
      </text>
    </comment>
    <comment ref="D316" authorId="0" shapeId="0" xr:uid="{00000000-0006-0000-0300-000025000000}">
      <text>
        <r>
          <rPr>
            <sz val="11"/>
            <color theme="1"/>
            <rFont val="Calibri"/>
            <family val="2"/>
            <scheme val="minor"/>
          </rPr>
          <t>======
ID#AAABDq5TrMA
YULIED.PENARANDA    (2023-11-09 13:07:34)
Magnitud física de la meta proyecto de inversión, a programar o a realizar seguimiento, según la columna en que se reporte.</t>
        </r>
      </text>
    </comment>
    <comment ref="D317" authorId="0" shapeId="0" xr:uid="{00000000-0006-0000-0300-000026000000}">
      <text>
        <r>
          <rPr>
            <sz val="11"/>
            <color theme="1"/>
            <rFont val="Calibri"/>
            <family val="2"/>
            <scheme val="minor"/>
          </rPr>
          <t>======
ID#AAABDq5TqxQ
YULIED.PENARANDA    (2023-11-09 13:07:34)
Recursos presupuestales asignados para la vigencia en programación  y/o seguimiento, según la columna en que se reporte</t>
        </r>
      </text>
    </comment>
    <comment ref="D318" authorId="0" shapeId="0" xr:uid="{00000000-0006-0000-0300-000027000000}">
      <text>
        <r>
          <rPr>
            <sz val="11"/>
            <color theme="1"/>
            <rFont val="Calibri"/>
            <family val="2"/>
            <scheme val="minor"/>
          </rPr>
          <t>======
ID#AAABDq5Tq9s
YULIED.PENARANDA    (2023-11-09 13:07:34)
Magnitud física asociada a la reservas,  aplica para las meta con tipología suma, las cuales se pueden desagregar por los compromisos contraídos que al cierre de la vigencia fiscal no  se cumplierón.</t>
        </r>
      </text>
    </comment>
    <comment ref="D319" authorId="0" shapeId="0" xr:uid="{00000000-0006-0000-0300-000028000000}">
      <text>
        <r>
          <rPr>
            <sz val="11"/>
            <color theme="1"/>
            <rFont val="Calibri"/>
            <family val="2"/>
            <scheme val="minor"/>
          </rPr>
          <t>======
ID#AAABDq5TrVE
YULIED.PENARANDA    (2023-11-09 13:07:34)
Son compromisos legalmente contraídos que al cierre de la vigencia fiscal no se han atendido por no haberse completado las formalidades necesarias que hagan exigible el pago al terminarse el año.</t>
        </r>
      </text>
    </comment>
    <comment ref="D320" authorId="0" shapeId="0" xr:uid="{00000000-0006-0000-0300-000029000000}">
      <text>
        <r>
          <rPr>
            <sz val="11"/>
            <color theme="1"/>
            <rFont val="Calibri"/>
            <family val="2"/>
            <scheme val="minor"/>
          </rPr>
          <t>======
ID#AAABDq5Trl4
YULIED.PENARANDA    (2023-11-09 13:07:33)
Para las metas de tipología suma (vigencia *reservas). Para las demás tipos de metas se asocia el mismo dato de la vigencia.</t>
        </r>
      </text>
    </comment>
    <comment ref="D321" authorId="0" shapeId="0" xr:uid="{00000000-0006-0000-0300-00002A000000}">
      <text>
        <r>
          <rPr>
            <sz val="11"/>
            <color theme="1"/>
            <rFont val="Calibri"/>
            <family val="2"/>
            <scheme val="minor"/>
          </rPr>
          <t>======
ID#AAABDq5TrS8
YULIED.PENARANDA    (2023-11-09 13:07:34)
Se suma los recursos presupuestales (vigencia + reservas)</t>
        </r>
      </text>
    </comment>
    <comment ref="D322" authorId="0" shapeId="0" xr:uid="{00000000-0006-0000-0300-00002B000000}">
      <text>
        <r>
          <rPr>
            <sz val="11"/>
            <color theme="1"/>
            <rFont val="Calibri"/>
            <family val="2"/>
            <scheme val="minor"/>
          </rPr>
          <t>======
ID#AAABDq5TrMA
YULIED.PENARANDA    (2023-11-09 13:07:34)
Magnitud física de la meta proyecto de inversión, a programar o a realizar seguimiento, según la columna en que se reporte.</t>
        </r>
      </text>
    </comment>
    <comment ref="D323" authorId="0" shapeId="0" xr:uid="{00000000-0006-0000-0300-00002C000000}">
      <text>
        <r>
          <rPr>
            <sz val="11"/>
            <color theme="1"/>
            <rFont val="Calibri"/>
            <family val="2"/>
            <scheme val="minor"/>
          </rPr>
          <t>======
ID#AAABDq5TqxQ
YULIED.PENARANDA    (2023-11-09 13:07:34)
Recursos presupuestales asignados para la vigencia en programación  y/o seguimiento, según la columna en que se reporte</t>
        </r>
      </text>
    </comment>
    <comment ref="D324" authorId="0" shapeId="0" xr:uid="{00000000-0006-0000-0300-00002D000000}">
      <text>
        <r>
          <rPr>
            <sz val="11"/>
            <color theme="1"/>
            <rFont val="Calibri"/>
            <family val="2"/>
            <scheme val="minor"/>
          </rPr>
          <t>======
ID#AAABDq5Tq9s
YULIED.PENARANDA    (2023-11-09 13:07:34)
Magnitud física asociada a la reservas,  aplica para las meta con tipología suma, las cuales se pueden desagregar por los compromisos contraídos que al cierre de la vigencia fiscal no  se cumplierón.</t>
        </r>
      </text>
    </comment>
    <comment ref="D325" authorId="0" shapeId="0" xr:uid="{00000000-0006-0000-0300-00002E000000}">
      <text>
        <r>
          <rPr>
            <sz val="11"/>
            <color theme="1"/>
            <rFont val="Calibri"/>
            <family val="2"/>
            <scheme val="minor"/>
          </rPr>
          <t>======
ID#AAABDq5TrVE
YULIED.PENARANDA    (2023-11-09 13:07:34)
Son compromisos legalmente contraídos que al cierre de la vigencia fiscal no se han atendido por no haberse completado las formalidades necesarias que hagan exigible el pago al terminarse el año.</t>
        </r>
      </text>
    </comment>
    <comment ref="D326" authorId="0" shapeId="0" xr:uid="{00000000-0006-0000-0300-00002F000000}">
      <text>
        <r>
          <rPr>
            <sz val="11"/>
            <color theme="1"/>
            <rFont val="Calibri"/>
            <family val="2"/>
            <scheme val="minor"/>
          </rPr>
          <t>======
ID#AAABDq5Trl4
YULIED.PENARANDA    (2023-11-09 13:07:33)
Para las metas de tipología suma (vigencia *reservas). Para las demás tipos de metas se asocia el mismo dato de la vigencia.</t>
        </r>
      </text>
    </comment>
    <comment ref="D327" authorId="0" shapeId="0" xr:uid="{00000000-0006-0000-0300-000030000000}">
      <text>
        <r>
          <rPr>
            <sz val="11"/>
            <color theme="1"/>
            <rFont val="Calibri"/>
            <family val="2"/>
            <scheme val="minor"/>
          </rPr>
          <t>======
ID#AAABDq5TrS8
YULIED.PENARANDA    (2023-11-09 13:07:34)
Se suma los recursos presupuestales (vigencia + reservas)</t>
        </r>
      </text>
    </comment>
    <comment ref="D328" authorId="0" shapeId="0" xr:uid="{00000000-0006-0000-0300-000031000000}">
      <text>
        <r>
          <rPr>
            <sz val="11"/>
            <color theme="1"/>
            <rFont val="Calibri"/>
            <family val="2"/>
            <scheme val="minor"/>
          </rPr>
          <t>======
ID#AAABDq5TrMA
YULIED.PENARANDA    (2023-11-09 13:07:34)
Magnitud física de la meta proyecto de inversión, a programar o a realizar seguimiento, según la columna en que se reporte.</t>
        </r>
      </text>
    </comment>
    <comment ref="D329" authorId="0" shapeId="0" xr:uid="{00000000-0006-0000-0300-000032000000}">
      <text>
        <r>
          <rPr>
            <sz val="11"/>
            <color theme="1"/>
            <rFont val="Calibri"/>
            <family val="2"/>
            <scheme val="minor"/>
          </rPr>
          <t>======
ID#AAABDq5TqxQ
YULIED.PENARANDA    (2023-11-09 13:07:34)
Recursos presupuestales asignados para la vigencia en programación  y/o seguimiento, según la columna en que se reporte</t>
        </r>
      </text>
    </comment>
    <comment ref="D330" authorId="0" shapeId="0" xr:uid="{00000000-0006-0000-0300-000033000000}">
      <text>
        <r>
          <rPr>
            <sz val="11"/>
            <color theme="1"/>
            <rFont val="Calibri"/>
            <family val="2"/>
            <scheme val="minor"/>
          </rPr>
          <t>======
ID#AAABDq5Tq9s
YULIED.PENARANDA    (2023-11-09 13:07:34)
Magnitud física asociada a la reservas,  aplica para las meta con tipología suma, las cuales se pueden desagregar por los compromisos contraídos que al cierre de la vigencia fiscal no  se cumplierón.</t>
        </r>
      </text>
    </comment>
    <comment ref="D331" authorId="0" shapeId="0" xr:uid="{00000000-0006-0000-0300-000034000000}">
      <text>
        <r>
          <rPr>
            <sz val="11"/>
            <color theme="1"/>
            <rFont val="Calibri"/>
            <family val="2"/>
            <scheme val="minor"/>
          </rPr>
          <t>======
ID#AAABDq5TrVE
YULIED.PENARANDA    (2023-11-09 13:07:34)
Son compromisos legalmente contraídos que al cierre de la vigencia fiscal no se han atendido por no haberse completado las formalidades necesarias que hagan exigible el pago al terminarse el año.</t>
        </r>
      </text>
    </comment>
    <comment ref="D332" authorId="0" shapeId="0" xr:uid="{00000000-0006-0000-0300-000035000000}">
      <text>
        <r>
          <rPr>
            <sz val="11"/>
            <color theme="1"/>
            <rFont val="Calibri"/>
            <family val="2"/>
            <scheme val="minor"/>
          </rPr>
          <t>======
ID#AAABDq5Trl4
YULIED.PENARANDA    (2023-11-09 13:07:33)
Para las metas de tipología suma (vigencia *reservas). Para las demás tipos de metas se asocia el mismo dato de la vigencia.</t>
        </r>
      </text>
    </comment>
    <comment ref="D333" authorId="0" shapeId="0" xr:uid="{00000000-0006-0000-0300-000036000000}">
      <text>
        <r>
          <rPr>
            <sz val="11"/>
            <color theme="1"/>
            <rFont val="Calibri"/>
            <family val="2"/>
            <scheme val="minor"/>
          </rPr>
          <t>======
ID#AAABDq5TrS8
YULIED.PENARANDA    (2023-11-09 13:07:34)
Se suma los recursos presupuestales (vigencia + reservas)</t>
        </r>
      </text>
    </comment>
    <comment ref="D334" authorId="0" shapeId="0" xr:uid="{00000000-0006-0000-0300-000037000000}">
      <text>
        <r>
          <rPr>
            <sz val="11"/>
            <color theme="1"/>
            <rFont val="Calibri"/>
            <family val="2"/>
            <scheme val="minor"/>
          </rPr>
          <t>======
ID#AAABDq5TrkQ
YULIED.PENARANDA    (2023-11-09 13:07:34)
Magnitud física de la meta proyecto de inversión, a programar o a realizar seguimiento, según la columna en que se reporte.</t>
        </r>
      </text>
    </comment>
    <comment ref="D335" authorId="0" shapeId="0" xr:uid="{00000000-0006-0000-0300-000038000000}">
      <text>
        <r>
          <rPr>
            <sz val="11"/>
            <color theme="1"/>
            <rFont val="Calibri"/>
            <family val="2"/>
            <scheme val="minor"/>
          </rPr>
          <t>======
ID#AAABDq5TqxU
YULIED.PENARANDA    (2023-11-09 13:07:34)
Recursos presupuestales asignados para la vigencia en programación  y/o seguimiento, según la columna en que se reporte</t>
        </r>
      </text>
    </comment>
    <comment ref="D336" authorId="0" shapeId="0" xr:uid="{00000000-0006-0000-0300-000039000000}">
      <text>
        <r>
          <rPr>
            <sz val="11"/>
            <color theme="1"/>
            <rFont val="Calibri"/>
            <family val="2"/>
            <scheme val="minor"/>
          </rPr>
          <t>======
ID#AAABDq5TrDI
YULIED.PENARANDA    (2023-11-09 13:07:34)
Magnitud física asociada a la reservas,  aplica para las meta con tipología suma, las cuales se pueden desagregar por los compromisos contraídos que al cierre de la vigencia fiscal no  se cumplierón.</t>
        </r>
      </text>
    </comment>
    <comment ref="D337" authorId="0" shapeId="0" xr:uid="{00000000-0006-0000-0300-00003A000000}">
      <text>
        <r>
          <rPr>
            <sz val="11"/>
            <color theme="1"/>
            <rFont val="Calibri"/>
            <family val="2"/>
            <scheme val="minor"/>
          </rPr>
          <t>======
ID#AAABDq5TrHM
YULIED.PENARANDA    (2023-11-09 13:07:34)
Son compromisos legalmente contraídos que al cierre de la vigencia fiscal no se han atendido por no haberse completado las formalidades necesarias que hagan exigible el pago al terminarse el año.</t>
        </r>
      </text>
    </comment>
    <comment ref="D338" authorId="0" shapeId="0" xr:uid="{00000000-0006-0000-0300-00003B000000}">
      <text>
        <r>
          <rPr>
            <sz val="11"/>
            <color theme="1"/>
            <rFont val="Calibri"/>
            <family val="2"/>
            <scheme val="minor"/>
          </rPr>
          <t>======
ID#AAABDq5TrNU
YULIED.PENARANDA    (2023-11-09 13:07:33)
Para las metas de tipología suma (vigencia *reservas). Para las demás tipos de metas se asocia el mismo dato de la vigencia.</t>
        </r>
      </text>
    </comment>
    <comment ref="D339" authorId="0" shapeId="0" xr:uid="{00000000-0006-0000-0300-00003C000000}">
      <text>
        <r>
          <rPr>
            <sz val="11"/>
            <color theme="1"/>
            <rFont val="Calibri"/>
            <family val="2"/>
            <scheme val="minor"/>
          </rPr>
          <t>======
ID#AAABDq5TrjM
YULIED.PENARANDA    (2023-11-09 13:07:34)
Se suma los recursos presupuestales (vigencia + reservas)</t>
        </r>
      </text>
    </comment>
    <comment ref="D346" authorId="0" shapeId="0" xr:uid="{00000000-0006-0000-0300-00003D000000}">
      <text>
        <r>
          <rPr>
            <sz val="11"/>
            <color theme="1"/>
            <rFont val="Calibri"/>
            <family val="2"/>
            <scheme val="minor"/>
          </rPr>
          <t>======
ID#AAABDq5TrGg
YULIED.PENARANDA    (2023-11-09 13:07:33)
Magnitud física de la meta proyecto de inversión, a programar o a realizar seguimiento, según la columna en que se reporte.</t>
        </r>
      </text>
    </comment>
    <comment ref="D347" authorId="0" shapeId="0" xr:uid="{00000000-0006-0000-0300-00003E000000}">
      <text>
        <r>
          <rPr>
            <sz val="11"/>
            <color theme="1"/>
            <rFont val="Calibri"/>
            <family val="2"/>
            <scheme val="minor"/>
          </rPr>
          <t>======
ID#AAABDq5Tq5M
YULIED.PENARANDA    (2023-11-09 13:07:33)
Recursos presupuestales asignados para la vigencia en programación  y/o seguimiento, según la columna en que se reporte</t>
        </r>
      </text>
    </comment>
    <comment ref="D348" authorId="0" shapeId="0" xr:uid="{00000000-0006-0000-0300-00003F000000}">
      <text>
        <r>
          <rPr>
            <sz val="11"/>
            <color theme="1"/>
            <rFont val="Calibri"/>
            <family val="2"/>
            <scheme val="minor"/>
          </rPr>
          <t>======
ID#AAABDq5TrOw
YULIED.PENARANDA    (2023-11-09 13:07:34)
Magnitud física asociada a la reservas,  aplica para las meta con tipología suma, las cuales se pueden desagregar por los compromisos contraídos que al cierre de la vigencia fiscal no  se cumplierón.</t>
        </r>
      </text>
    </comment>
    <comment ref="D349" authorId="0" shapeId="0" xr:uid="{00000000-0006-0000-0300-000040000000}">
      <text>
        <r>
          <rPr>
            <sz val="11"/>
            <color theme="1"/>
            <rFont val="Calibri"/>
            <family val="2"/>
            <scheme val="minor"/>
          </rPr>
          <t>======
ID#AAABDq5Try4
YULIED.PENARANDA    (2023-11-09 13:07:34)
Son compromisos legalmente contraídos que al cierre de la vigencia fiscal no se han atendido por no haberse completado las formalidades necesarias que hagan exigible el pago al terminarse el año.</t>
        </r>
      </text>
    </comment>
    <comment ref="D350" authorId="0" shapeId="0" xr:uid="{00000000-0006-0000-0300-000041000000}">
      <text>
        <r>
          <rPr>
            <sz val="11"/>
            <color theme="1"/>
            <rFont val="Calibri"/>
            <family val="2"/>
            <scheme val="minor"/>
          </rPr>
          <t>======
ID#AAABDq5Tq1Y
YULIED.PENARANDA    (2023-11-09 13:07:34)
Para las metas de tipología suma (vigencia *reservas). Para las demás tipos de metas se asocia el mismo dato de la vigencia.</t>
        </r>
      </text>
    </comment>
    <comment ref="D351" authorId="0" shapeId="0" xr:uid="{00000000-0006-0000-0300-000042000000}">
      <text>
        <r>
          <rPr>
            <sz val="11"/>
            <color theme="1"/>
            <rFont val="Calibri"/>
            <family val="2"/>
            <scheme val="minor"/>
          </rPr>
          <t>======
ID#AAABDq5TrCM
YULIED.PENARANDA    (2023-11-09 13:07:34)
Se suma los recursos presupuestales (vigencia + reservas)</t>
        </r>
      </text>
    </comment>
    <comment ref="D352" authorId="0" shapeId="0" xr:uid="{00000000-0006-0000-0300-000043000000}">
      <text>
        <r>
          <rPr>
            <sz val="11"/>
            <color theme="1"/>
            <rFont val="Calibri"/>
            <family val="2"/>
            <scheme val="minor"/>
          </rPr>
          <t>======
ID#AAABDq5Tq0M
YULIED.PENARANDA    (2023-11-09 13:07:34)
Magnitud física de la meta proyecto de inversión, a programar o a realizar seguimiento, según la columna en que se reporte.</t>
        </r>
      </text>
    </comment>
    <comment ref="D353" authorId="0" shapeId="0" xr:uid="{00000000-0006-0000-0300-000044000000}">
      <text>
        <r>
          <rPr>
            <sz val="11"/>
            <color theme="1"/>
            <rFont val="Calibri"/>
            <family val="2"/>
            <scheme val="minor"/>
          </rPr>
          <t>======
ID#AAABDq5TrkY
YULIED.PENARANDA    (2023-11-09 13:07:34)
Recursos presupuestales asignados para la vigencia en programación  y/o seguimiento, según la columna en que se reporte</t>
        </r>
      </text>
    </comment>
    <comment ref="D354" authorId="0" shapeId="0" xr:uid="{00000000-0006-0000-0300-000045000000}">
      <text>
        <r>
          <rPr>
            <sz val="11"/>
            <color theme="1"/>
            <rFont val="Calibri"/>
            <family val="2"/>
            <scheme val="minor"/>
          </rPr>
          <t>======
ID#AAABDq5Tqww
YULIED.PENARANDA    (2023-11-09 13:07:34)
Magnitud física asociada a la reservas,  aplica para las meta con tipología suma, las cuales se pueden desagregar por los compromisos contraídos que al cierre de la vigencia fiscal no  se cumplierón.</t>
        </r>
      </text>
    </comment>
    <comment ref="D355" authorId="0" shapeId="0" xr:uid="{00000000-0006-0000-0300-000046000000}">
      <text>
        <r>
          <rPr>
            <sz val="11"/>
            <color theme="1"/>
            <rFont val="Calibri"/>
            <family val="2"/>
            <scheme val="minor"/>
          </rPr>
          <t>======
ID#AAABDq5Trvw
YULIED.PENARANDA    (2023-11-09 13:07:33)
Son compromisos legalmente contraídos que al cierre de la vigencia fiscal no se han atendido por no haberse completado las formalidades necesarias que hagan exigible el pago al terminarse el año.</t>
        </r>
      </text>
    </comment>
    <comment ref="D356" authorId="0" shapeId="0" xr:uid="{00000000-0006-0000-0300-000047000000}">
      <text>
        <r>
          <rPr>
            <sz val="11"/>
            <color theme="1"/>
            <rFont val="Calibri"/>
            <family val="2"/>
            <scheme val="minor"/>
          </rPr>
          <t>======
ID#AAABDq5TrwY
YULIED.PENARANDA    (2023-11-09 13:07:34)
Para las metas de tipología suma (vigencia *reservas). Para las demás tipos de metas se asocia el mismo dato de la vigencia.</t>
        </r>
      </text>
    </comment>
    <comment ref="D357" authorId="0" shapeId="0" xr:uid="{00000000-0006-0000-0300-000048000000}">
      <text>
        <r>
          <rPr>
            <sz val="11"/>
            <color theme="1"/>
            <rFont val="Calibri"/>
            <family val="2"/>
            <scheme val="minor"/>
          </rPr>
          <t>======
ID#AAABDq5TraE
YULIED.PENARANDA    (2023-11-09 13:07:34)
Se suma los recursos presupuestales (vigencia + reservas)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theme="1"/>
            <rFont val="Calibri"/>
            <family val="2"/>
            <scheme val="minor"/>
          </rPr>
          <t>======
ID#AAABDq5Trx8
YULIED.PENARANDA    (2023-11-09 13:07:33)
Describir el nombre completo de la oficina, dirección o subdirección que gerencia el proyecto de inversión.</t>
        </r>
      </text>
    </comment>
    <comment ref="A5" authorId="0" shapeId="0" xr:uid="{00000000-0006-0000-0400-000002000000}">
      <text>
        <r>
          <rPr>
            <sz val="11"/>
            <color theme="1"/>
            <rFont val="Calibri"/>
            <family val="2"/>
            <scheme val="minor"/>
          </rPr>
          <t>======
ID#AAABDq5TrkA
YULIED.PENARANDA    (2023-11-09 13:07:34)
Describir el número y nombre completo del proyecto de inversión.</t>
        </r>
      </text>
    </comment>
    <comment ref="A7" authorId="0" shapeId="0" xr:uid="{00000000-0006-0000-0400-000003000000}">
      <text>
        <r>
          <rPr>
            <sz val="11"/>
            <color theme="1"/>
            <rFont val="Calibri"/>
            <family val="2"/>
            <scheme val="minor"/>
          </rPr>
          <t>======
ID#AAABDq5TrzQ
YULIED.PENARANDA    (2023-11-09 13:07:33)
Corresponde a la información en firme de cada vigencia fiscal.</t>
        </r>
      </text>
    </comment>
    <comment ref="A8" authorId="0" shapeId="0" xr:uid="{00000000-0006-0000-0400-000004000000}">
      <text>
        <r>
          <rPr>
            <sz val="11"/>
            <color theme="1"/>
            <rFont val="Calibri"/>
            <family val="2"/>
            <scheme val="minor"/>
          </rPr>
          <t>======
ID#AAABDq5Trkk
YULIED.PENARANDA    (2023-11-09 13:07:34)
Vigencia a reportar</t>
        </r>
      </text>
    </comment>
    <comment ref="C8" authorId="0" shapeId="0" xr:uid="{00000000-0006-0000-0400-000005000000}">
      <text>
        <r>
          <rPr>
            <sz val="11"/>
            <color theme="1"/>
            <rFont val="Calibri"/>
            <family val="2"/>
            <scheme val="minor"/>
          </rPr>
          <t>======
ID#AAABDq5TrYM
YULIED.PENARANDA    (2023-11-09 13:07:34)
Apropiación inicial acorde con la herramienta oficial de la SDH</t>
        </r>
      </text>
    </comment>
    <comment ref="D8" authorId="0" shapeId="0" xr:uid="{00000000-0006-0000-0400-000006000000}">
      <text>
        <r>
          <rPr>
            <sz val="11"/>
            <color theme="1"/>
            <rFont val="Calibri"/>
            <family val="2"/>
            <scheme val="minor"/>
          </rPr>
          <t>======
ID#AAABDq5Trqw
YULIED.PENARANDA    (2023-11-09 13:07:34)
Apropiación inicial + 0 - movimientos positivos y/o negativos, con este valor se proyecta los compromisos</t>
        </r>
      </text>
    </comment>
    <comment ref="E8" authorId="0" shapeId="0" xr:uid="{00000000-0006-0000-0400-000007000000}">
      <text>
        <r>
          <rPr>
            <sz val="11"/>
            <color theme="1"/>
            <rFont val="Calibri"/>
            <family val="2"/>
            <scheme val="minor"/>
          </rPr>
          <t>======
ID#AAABDq5Trfg
YULIED.PENARANDA    (2023-11-09 13:07:34)
Valores contenidos en los Registros Presupuestales de Compromisos</t>
        </r>
      </text>
    </comment>
    <comment ref="F8" authorId="0" shapeId="0" xr:uid="{00000000-0006-0000-0400-000008000000}">
      <text>
        <r>
          <rPr>
            <sz val="11"/>
            <color theme="1"/>
            <rFont val="Calibri"/>
            <family val="2"/>
            <scheme val="minor"/>
          </rPr>
          <t>======
ID#AAABDq5TrBY
YULIED.PENARANDA    (2023-11-09 13:07:34)
Corresponde al pago</t>
        </r>
      </text>
    </comment>
    <comment ref="G8" authorId="0" shapeId="0" xr:uid="{00000000-0006-0000-0400-000009000000}">
      <text>
        <r>
          <rPr>
            <sz val="11"/>
            <color theme="1"/>
            <rFont val="Calibri"/>
            <family val="2"/>
            <scheme val="minor"/>
          </rPr>
          <t>======
ID#AAABDq5TrYU
YULIED.PENARANDA    (2023-11-09 13:07:34)
Extinción de la obligación a cargo de la SDA.</t>
        </r>
      </text>
    </comment>
    <comment ref="A16" authorId="0" shapeId="0" xr:uid="{00000000-0006-0000-0400-00000A000000}">
      <text>
        <r>
          <rPr>
            <sz val="11"/>
            <color theme="1"/>
            <rFont val="Calibri"/>
            <family val="2"/>
            <scheme val="minor"/>
          </rPr>
          <t>======
ID#AAABDq5Tq3U
YULIED.PENARANDA    (2023-11-09 13:07:33)
Corresponde a la información en firme de cada vigencia fiscal.</t>
        </r>
      </text>
    </comment>
    <comment ref="A17" authorId="0" shapeId="0" xr:uid="{00000000-0006-0000-0400-00000B000000}">
      <text>
        <r>
          <rPr>
            <sz val="11"/>
            <color theme="1"/>
            <rFont val="Calibri"/>
            <family val="2"/>
            <scheme val="minor"/>
          </rPr>
          <t>======
ID#AAABDq5TrX4
YULIED.PENARANDA    (2023-11-09 13:07:34)
Vigencia a reportar</t>
        </r>
      </text>
    </comment>
    <comment ref="C17" authorId="0" shapeId="0" xr:uid="{00000000-0006-0000-0400-00000C000000}">
      <text>
        <r>
          <rPr>
            <sz val="11"/>
            <color theme="1"/>
            <rFont val="Calibri"/>
            <family val="2"/>
            <scheme val="minor"/>
          </rPr>
          <t>======
ID#AAABDq5Truk
YULIED.PENARANDA    (2023-11-09 13:07:33)
Apropiación inicial acorde con la herramienta oficial de la SDH</t>
        </r>
      </text>
    </comment>
    <comment ref="D17" authorId="0" shapeId="0" xr:uid="{00000000-0006-0000-0400-00000D000000}">
      <text>
        <r>
          <rPr>
            <sz val="11"/>
            <color theme="1"/>
            <rFont val="Calibri"/>
            <family val="2"/>
            <scheme val="minor"/>
          </rPr>
          <t>======
ID#AAABDq5Tqw8
YULIED.PENARANDA    (2023-11-09 13:07:34)
Apropiación inicial + 0 - movimientos positivos y/o negativos, con este valor se proyecta los compromisos</t>
        </r>
      </text>
    </comment>
    <comment ref="E17" authorId="0" shapeId="0" xr:uid="{00000000-0006-0000-0400-00000E000000}">
      <text>
        <r>
          <rPr>
            <sz val="11"/>
            <color theme="1"/>
            <rFont val="Calibri"/>
            <family val="2"/>
            <scheme val="minor"/>
          </rPr>
          <t>======
ID#AAABDq5Tryo
YULIED.PENARANDA    (2023-11-09 13:07:34)
Valores contenidos en los Registros Presupuestales de Compromisos</t>
        </r>
      </text>
    </comment>
    <comment ref="F17" authorId="0" shapeId="0" xr:uid="{00000000-0006-0000-0400-00000F000000}">
      <text>
        <r>
          <rPr>
            <sz val="11"/>
            <color theme="1"/>
            <rFont val="Calibri"/>
            <family val="2"/>
            <scheme val="minor"/>
          </rPr>
          <t>======
ID#AAABDq5TrIk
YULIED.PENARANDA    (2023-11-09 13:07:34)
Corresponde al pago</t>
        </r>
      </text>
    </comment>
    <comment ref="G17" authorId="0" shapeId="0" xr:uid="{00000000-0006-0000-0400-000010000000}">
      <text>
        <r>
          <rPr>
            <sz val="11"/>
            <color theme="1"/>
            <rFont val="Calibri"/>
            <family val="2"/>
            <scheme val="minor"/>
          </rPr>
          <t>======
ID#AAABDq5TrMM
YULIED.PENARANDA    (2023-11-09 13:07:33)
Extinción de la obligación a cargo de la SDA.</t>
        </r>
      </text>
    </comment>
    <comment ref="A31" authorId="0" shapeId="0" xr:uid="{00000000-0006-0000-0400-000011000000}">
      <text>
        <r>
          <rPr>
            <sz val="11"/>
            <color theme="1"/>
            <rFont val="Calibri"/>
            <family val="2"/>
            <scheme val="minor"/>
          </rPr>
          <t>======
ID#AAABDq5TrVI
YULIED.PENARANDA    (2023-11-09 13:07:34)
Corresponde a la información en firme de cada vigencia fiscal.</t>
        </r>
      </text>
    </comment>
    <comment ref="A32" authorId="0" shapeId="0" xr:uid="{00000000-0006-0000-0400-000012000000}">
      <text>
        <r>
          <rPr>
            <sz val="11"/>
            <color theme="1"/>
            <rFont val="Calibri"/>
            <family val="2"/>
            <scheme val="minor"/>
          </rPr>
          <t>======
ID#AAABDq5TrXQ
YULIED.PENARANDA    (2023-11-09 13:07:34)
Vigencia a reportar</t>
        </r>
      </text>
    </comment>
    <comment ref="C32" authorId="0" shapeId="0" xr:uid="{00000000-0006-0000-0400-000013000000}">
      <text>
        <r>
          <rPr>
            <sz val="11"/>
            <color theme="1"/>
            <rFont val="Calibri"/>
            <family val="2"/>
            <scheme val="minor"/>
          </rPr>
          <t>======
ID#AAABDq5TrN8
YULIED.PENARANDA    (2023-11-09 13:07:34)
Apropiación inicial acorde con la herramienta oficial de la SDH</t>
        </r>
      </text>
    </comment>
    <comment ref="D32" authorId="0" shapeId="0" xr:uid="{00000000-0006-0000-0400-000014000000}">
      <text>
        <r>
          <rPr>
            <sz val="11"/>
            <color theme="1"/>
            <rFont val="Calibri"/>
            <family val="2"/>
            <scheme val="minor"/>
          </rPr>
          <t>======
ID#AAABDq5TrYo
YULIED.PENARANDA    (2023-11-09 13:07:33)
Apropiación inicial + 0 - movimientos positivos y/o negativos, con este valor se proyecta los compromisos</t>
        </r>
      </text>
    </comment>
    <comment ref="E32" authorId="0" shapeId="0" xr:uid="{00000000-0006-0000-0400-000015000000}">
      <text>
        <r>
          <rPr>
            <sz val="11"/>
            <color theme="1"/>
            <rFont val="Calibri"/>
            <family val="2"/>
            <scheme val="minor"/>
          </rPr>
          <t>======
ID#AAABDq5TroY
YULIED.PENARANDA    (2023-11-09 13:07:34)
Valores contenidos en los Registros Presupuestales de Compromisos</t>
        </r>
      </text>
    </comment>
    <comment ref="F32" authorId="0" shapeId="0" xr:uid="{00000000-0006-0000-0400-000016000000}">
      <text>
        <r>
          <rPr>
            <sz val="11"/>
            <color theme="1"/>
            <rFont val="Calibri"/>
            <family val="2"/>
            <scheme val="minor"/>
          </rPr>
          <t>======
ID#AAABDq5Tq5Q
YULIED.PENARANDA    (2023-11-09 13:07:34)
Corresponde al pago</t>
        </r>
      </text>
    </comment>
    <comment ref="G32" authorId="0" shapeId="0" xr:uid="{00000000-0006-0000-0400-000017000000}">
      <text>
        <r>
          <rPr>
            <sz val="11"/>
            <color theme="1"/>
            <rFont val="Calibri"/>
            <family val="2"/>
            <scheme val="minor"/>
          </rPr>
          <t>======
ID#AAABDq5TrT4
YULIED.PENARANDA    (2023-11-09 13:07:33)
Extinción de la obligación a cargo de la SDA.</t>
        </r>
      </text>
    </comment>
    <comment ref="A46" authorId="0" shapeId="0" xr:uid="{00000000-0006-0000-0400-000018000000}">
      <text>
        <r>
          <rPr>
            <sz val="11"/>
            <color theme="1"/>
            <rFont val="Calibri"/>
            <family val="2"/>
            <scheme val="minor"/>
          </rPr>
          <t>======
ID#AAABDq5TrVs
YULIED.PENARANDA    (2023-11-09 13:07:33)
Corresponde a la información en firme de cada vigencia fiscal.</t>
        </r>
      </text>
    </comment>
    <comment ref="A47" authorId="0" shapeId="0" xr:uid="{00000000-0006-0000-0400-000019000000}">
      <text>
        <r>
          <rPr>
            <sz val="11"/>
            <color theme="1"/>
            <rFont val="Calibri"/>
            <family val="2"/>
            <scheme val="minor"/>
          </rPr>
          <t>======
ID#AAABDq5TrRA
YULIED.PENARANDA    (2023-11-09 13:07:34)
Vigencia a reportar</t>
        </r>
      </text>
    </comment>
    <comment ref="C47" authorId="0" shapeId="0" xr:uid="{00000000-0006-0000-0400-00001A000000}">
      <text>
        <r>
          <rPr>
            <sz val="11"/>
            <color theme="1"/>
            <rFont val="Calibri"/>
            <family val="2"/>
            <scheme val="minor"/>
          </rPr>
          <t>======
ID#AAABDq5TrI8
YULIED.PENARANDA    (2023-11-09 13:07:33)
Apropiación inicial acorde con la herramienta oficial de la SDH</t>
        </r>
      </text>
    </comment>
    <comment ref="D47" authorId="0" shapeId="0" xr:uid="{00000000-0006-0000-0400-00001B000000}">
      <text>
        <r>
          <rPr>
            <sz val="11"/>
            <color theme="1"/>
            <rFont val="Calibri"/>
            <family val="2"/>
            <scheme val="minor"/>
          </rPr>
          <t>======
ID#AAABDq5TrXU
YULIED.PENARANDA    (2023-11-09 13:07:34)
Apropiación inicial + 0 - movimientos positivos y/o negativos, con este valor se proyecta los compromisos</t>
        </r>
      </text>
    </comment>
    <comment ref="E47" authorId="0" shapeId="0" xr:uid="{00000000-0006-0000-0400-00001C000000}">
      <text>
        <r>
          <rPr>
            <sz val="11"/>
            <color theme="1"/>
            <rFont val="Calibri"/>
            <family val="2"/>
            <scheme val="minor"/>
          </rPr>
          <t>======
ID#AAABDq5Tq5I
YULIED.PENARANDA    (2023-11-09 13:07:34)
Valores contenidos en los Registros Presupuestales de Compromisos</t>
        </r>
      </text>
    </comment>
    <comment ref="F47" authorId="0" shapeId="0" xr:uid="{00000000-0006-0000-0400-00001D000000}">
      <text>
        <r>
          <rPr>
            <sz val="11"/>
            <color theme="1"/>
            <rFont val="Calibri"/>
            <family val="2"/>
            <scheme val="minor"/>
          </rPr>
          <t>======
ID#AAABDq5Tq1I
YULIED.PENARANDA    (2023-11-09 13:07:34)
Corresponde al pago</t>
        </r>
      </text>
    </comment>
    <comment ref="G47" authorId="0" shapeId="0" xr:uid="{00000000-0006-0000-0400-00001E000000}">
      <text>
        <r>
          <rPr>
            <sz val="11"/>
            <color theme="1"/>
            <rFont val="Calibri"/>
            <family val="2"/>
            <scheme val="minor"/>
          </rPr>
          <t>======
ID#AAABDq5TqxA
YULIED.PENARANDA    (2023-11-09 13:07:34)
Extinción de la obligación a cargo de la SDA.</t>
        </r>
      </text>
    </comment>
    <comment ref="A61" authorId="0" shapeId="0" xr:uid="{00000000-0006-0000-0400-00001F000000}">
      <text>
        <r>
          <rPr>
            <sz val="11"/>
            <color theme="1"/>
            <rFont val="Calibri"/>
            <family val="2"/>
            <scheme val="minor"/>
          </rPr>
          <t>======
ID#AAABDq5TqqI
YULIED.PENARANDA    (2023-11-09 13:07:34)
Corresponde a la información en firme de cada vigencia fiscal.</t>
        </r>
      </text>
    </comment>
    <comment ref="A62" authorId="0" shapeId="0" xr:uid="{00000000-0006-0000-0400-000020000000}">
      <text>
        <r>
          <rPr>
            <sz val="11"/>
            <color theme="1"/>
            <rFont val="Calibri"/>
            <family val="2"/>
            <scheme val="minor"/>
          </rPr>
          <t>======
ID#AAABDq5Trlw
YULIED.PENARANDA    (2023-11-09 13:07:33)
Vigencia a reportar</t>
        </r>
      </text>
    </comment>
    <comment ref="C62" authorId="0" shapeId="0" xr:uid="{00000000-0006-0000-0400-000021000000}">
      <text>
        <r>
          <rPr>
            <sz val="11"/>
            <color theme="1"/>
            <rFont val="Calibri"/>
            <family val="2"/>
            <scheme val="minor"/>
          </rPr>
          <t>======
ID#AAABDq5Troc
YULIED.PENARANDA    (2023-11-09 13:07:34)
Apropiación inicial acorde con la herramienta oficial de la SDH</t>
        </r>
      </text>
    </comment>
    <comment ref="D62" authorId="0" shapeId="0" xr:uid="{00000000-0006-0000-0400-000022000000}">
      <text>
        <r>
          <rPr>
            <sz val="11"/>
            <color theme="1"/>
            <rFont val="Calibri"/>
            <family val="2"/>
            <scheme val="minor"/>
          </rPr>
          <t>======
ID#AAABDq5Trw8
YULIED.PENARANDA    (2023-11-09 13:07:33)
Apropiación inicial + 0 - movimientos positivos y/o negativos, con este valor se proyecta los compromisos</t>
        </r>
      </text>
    </comment>
    <comment ref="E62" authorId="0" shapeId="0" xr:uid="{00000000-0006-0000-0400-000023000000}">
      <text>
        <r>
          <rPr>
            <sz val="11"/>
            <color theme="1"/>
            <rFont val="Calibri"/>
            <family val="2"/>
            <scheme val="minor"/>
          </rPr>
          <t>======
ID#AAABDq5Tqp8
YULIED.PENARANDA    (2023-11-09 13:07:34)
Valores contenidos en los Registros Presupuestales de Compromisos</t>
        </r>
      </text>
    </comment>
    <comment ref="F62" authorId="0" shapeId="0" xr:uid="{00000000-0006-0000-0400-000024000000}">
      <text>
        <r>
          <rPr>
            <sz val="11"/>
            <color theme="1"/>
            <rFont val="Calibri"/>
            <family val="2"/>
            <scheme val="minor"/>
          </rPr>
          <t>======
ID#AAABDq5TrnA
YULIED.PENARANDA    (2023-11-09 13:07:33)
Corresponde al pago</t>
        </r>
      </text>
    </comment>
    <comment ref="G62" authorId="0" shapeId="0" xr:uid="{00000000-0006-0000-0400-000025000000}">
      <text>
        <r>
          <rPr>
            <sz val="11"/>
            <color theme="1"/>
            <rFont val="Calibri"/>
            <family val="2"/>
            <scheme val="minor"/>
          </rPr>
          <t>======
ID#AAABDq5TrD0
YULIED.PENARANDA    (2023-11-09 13:07:33)
Extinción de la obligación a cargo de la SDA.</t>
        </r>
      </text>
    </comment>
    <comment ref="A76" authorId="0" shapeId="0" xr:uid="{00000000-0006-0000-0400-000026000000}">
      <text>
        <r>
          <rPr>
            <sz val="11"/>
            <color theme="1"/>
            <rFont val="Calibri"/>
            <family val="2"/>
            <scheme val="minor"/>
          </rPr>
          <t>======
ID#AAABDq5TruA
YULIED.PENARANDA    (2023-11-09 13:07:34)
Avance productos e indicadores de productos (según cadena de valor)
NOTA: Desagregar cuadro cuantas veces tenga productos y/o indicadores asociados</t>
        </r>
      </text>
    </comment>
    <comment ref="N77" authorId="0" shapeId="0" xr:uid="{00000000-0006-0000-0400-000027000000}">
      <text>
        <r>
          <rPr>
            <sz val="11"/>
            <color theme="1"/>
            <rFont val="Calibri"/>
            <family val="2"/>
            <scheme val="minor"/>
          </rPr>
          <t>======
ID#AAABDq5Truo
YULIED.PENARANDA    (2023-11-09 13:07:33)
Descripción concreta del avance, máximo de caracteres 200</t>
        </r>
      </text>
    </comment>
    <comment ref="A96" authorId="0" shapeId="0" xr:uid="{00000000-0006-0000-0400-000028000000}">
      <text>
        <r>
          <rPr>
            <sz val="11"/>
            <color theme="1"/>
            <rFont val="Calibri"/>
            <family val="2"/>
            <scheme val="minor"/>
          </rPr>
          <t>======
ID#AAABDq5Tqp0
YULIED.PENARANDA    (2023-11-09 13:07:34)
Avance productos e indicadores de productos (según cadena de valor)
NOTA: Desagregar cuadro cuantas veces tenga productos y/o indicadores asociados</t>
        </r>
      </text>
    </comment>
    <comment ref="A97" authorId="0" shapeId="0" xr:uid="{00000000-0006-0000-0400-000029000000}">
      <text>
        <r>
          <rPr>
            <sz val="11"/>
            <color theme="1"/>
            <rFont val="Calibri"/>
            <family val="2"/>
            <scheme val="minor"/>
          </rPr>
          <t>======
ID#AAABDq5Trpk
YULIED.PENARANDA    (2023-11-09 13:07:34)
Vigencia a reportar</t>
        </r>
      </text>
    </comment>
    <comment ref="B97" authorId="0" shapeId="0" xr:uid="{00000000-0006-0000-0400-00002A000000}">
      <text>
        <r>
          <rPr>
            <sz val="11"/>
            <color theme="1"/>
            <rFont val="Calibri"/>
            <family val="2"/>
            <scheme val="minor"/>
          </rPr>
          <t>======
ID#AAABDq5TrZ8
YULIED.PENARANDA    (2023-11-09 13:07:34)
Describir los objetivo específico del proyecto, como se definió en la formulación del proyecto</t>
        </r>
      </text>
    </comment>
    <comment ref="C97" authorId="0" shapeId="0" xr:uid="{00000000-0006-0000-0400-00002B000000}">
      <text>
        <r>
          <rPr>
            <sz val="11"/>
            <color theme="1"/>
            <rFont val="Calibri"/>
            <family val="2"/>
            <scheme val="minor"/>
          </rPr>
          <t>======
ID#AAABDq5TrwU
YULIED.PENARANDA    (2023-11-09 13:07:33)
Describir los productos del proyecto, como se definió en la formulación del proyecto y de acuerdo con el catálogo de productos DNP</t>
        </r>
      </text>
    </comment>
    <comment ref="D97" authorId="0" shapeId="0" xr:uid="{00000000-0006-0000-0400-00002C000000}">
      <text>
        <r>
          <rPr>
            <sz val="11"/>
            <color theme="1"/>
            <rFont val="Calibri"/>
            <family val="2"/>
            <scheme val="minor"/>
          </rPr>
          <t>======
ID#AAABDq5Tq60
YULIED.PENARANDA    (2023-11-09 13:07:33)
Nombre completo del indicador. Expresión verbal, precisa y concreta del patrón de evaluación.</t>
        </r>
      </text>
    </comment>
    <comment ref="E97" authorId="0" shapeId="0" xr:uid="{00000000-0006-0000-0400-00002D000000}">
      <text>
        <r>
          <rPr>
            <sz val="11"/>
            <color theme="1"/>
            <rFont val="Calibri"/>
            <family val="2"/>
            <scheme val="minor"/>
          </rPr>
          <t>======
ID#AAABDq5TrXI
YULIED.PENARANDA    (2023-11-09 13:07:34)
Unidad cualitativa del indicador, define las características de la magnitud a realizar seguimiento. Eje: Hectáreas, estrategias, modelos, etc.</t>
        </r>
      </text>
    </comment>
    <comment ref="F97" authorId="0" shapeId="0" xr:uid="{00000000-0006-0000-0400-00002E000000}">
      <text>
        <r>
          <rPr>
            <sz val="11"/>
            <color theme="1"/>
            <rFont val="Calibri"/>
            <family val="2"/>
            <scheme val="minor"/>
          </rPr>
          <t>======
ID#AAABDq5Trsw
YULIED.PENARANDA    (2023-11-09 13:07:33)
Ponderación del indicador se realiza de acuerdo al peso que cada producto tiene en el caso total del proyecto.</t>
        </r>
      </text>
    </comment>
    <comment ref="G97" authorId="0" shapeId="0" xr:uid="{00000000-0006-0000-0400-00002F000000}">
      <text>
        <r>
          <rPr>
            <sz val="11"/>
            <color theme="1"/>
            <rFont val="Calibri"/>
            <family val="2"/>
            <scheme val="minor"/>
          </rPr>
          <t>======
ID#AAABDq5Tq-c
YULIED.PENARANDA    (2023-11-09 13:07:33)
Nombre completo de la Meta  del Plan de Desarrollo, como se relaciona en el de gestión</t>
        </r>
      </text>
    </comment>
    <comment ref="N97" authorId="0" shapeId="0" xr:uid="{00000000-0006-0000-0400-000030000000}">
      <text>
        <r>
          <rPr>
            <sz val="11"/>
            <color theme="1"/>
            <rFont val="Calibri"/>
            <family val="2"/>
            <scheme val="minor"/>
          </rPr>
          <t>======
ID#AAABDq5Tri8
YULIED.PENARANDA    (2023-11-09 13:07:34)
Descripción concreta del avance, máximo de caracteres 200</t>
        </r>
      </text>
    </comment>
    <comment ref="A147" authorId="0" shapeId="0" xr:uid="{00000000-0006-0000-0400-000031000000}">
      <text>
        <r>
          <rPr>
            <sz val="11"/>
            <color theme="1"/>
            <rFont val="Calibri"/>
            <family val="2"/>
            <scheme val="minor"/>
          </rPr>
          <t>======
ID#AAABDq5Trnw
YULIED.PENARANDA    (2023-11-09 13:07:33)
Avance productos e indicadores de productos (según cadena de valor)
NOTA: Desagregar cuadro cuantas veces tenga productos y/o indicadores asociados</t>
        </r>
      </text>
    </comment>
    <comment ref="A148" authorId="0" shapeId="0" xr:uid="{00000000-0006-0000-0400-000032000000}">
      <text>
        <r>
          <rPr>
            <sz val="11"/>
            <color theme="1"/>
            <rFont val="Calibri"/>
            <family val="2"/>
            <scheme val="minor"/>
          </rPr>
          <t>======
ID#AAABDq5Tq0Q
YULIED.PENARANDA    (2023-11-09 13:07:33)
Vigencia a reportar</t>
        </r>
      </text>
    </comment>
    <comment ref="B148" authorId="0" shapeId="0" xr:uid="{00000000-0006-0000-0400-000033000000}">
      <text>
        <r>
          <rPr>
            <sz val="11"/>
            <color theme="1"/>
            <rFont val="Calibri"/>
            <family val="2"/>
            <scheme val="minor"/>
          </rPr>
          <t>======
ID#AAABDq5TrtQ
YULIED.PENARANDA    (2023-11-09 13:07:34)
Describir los objetivo específico del proyecto, como se definió en la formulación del proyecto</t>
        </r>
      </text>
    </comment>
    <comment ref="C148" authorId="0" shapeId="0" xr:uid="{00000000-0006-0000-0400-000034000000}">
      <text>
        <r>
          <rPr>
            <sz val="11"/>
            <color theme="1"/>
            <rFont val="Calibri"/>
            <family val="2"/>
            <scheme val="minor"/>
          </rPr>
          <t>======
ID#AAABDq5Trdk
YULIED.PENARANDA    (2023-11-09 13:07:34)
Describir los productos del proyecto, como se definió en la formulación del proyecto y de acuerdo con el catálogo de productos DNP</t>
        </r>
      </text>
    </comment>
    <comment ref="D148" authorId="0" shapeId="0" xr:uid="{00000000-0006-0000-0400-000035000000}">
      <text>
        <r>
          <rPr>
            <sz val="11"/>
            <color theme="1"/>
            <rFont val="Calibri"/>
            <family val="2"/>
            <scheme val="minor"/>
          </rPr>
          <t>======
ID#AAABDq5TrrQ
YULIED.PENARANDA    (2023-11-09 13:07:33)
Nombre completo del indicador. Expresión verbal, precisa y concreta del patrón de evaluación.</t>
        </r>
      </text>
    </comment>
    <comment ref="E148" authorId="0" shapeId="0" xr:uid="{00000000-0006-0000-0400-000036000000}">
      <text>
        <r>
          <rPr>
            <sz val="11"/>
            <color theme="1"/>
            <rFont val="Calibri"/>
            <family val="2"/>
            <scheme val="minor"/>
          </rPr>
          <t>======
ID#AAABDq5TrXc
YULIED.PENARANDA    (2023-11-09 13:07:34)
Unidad cualitativa del indicador, define las características de la magnitud a realizar seguimiento. Eje: Hectáreas, estrategias, modelos, etc.</t>
        </r>
      </text>
    </comment>
    <comment ref="F148" authorId="0" shapeId="0" xr:uid="{00000000-0006-0000-0400-000037000000}">
      <text>
        <r>
          <rPr>
            <sz val="11"/>
            <color theme="1"/>
            <rFont val="Calibri"/>
            <family val="2"/>
            <scheme val="minor"/>
          </rPr>
          <t>======
ID#AAABDq5Tq_Y
YULIED.PENARANDA    (2023-11-09 13:07:33)
Ponderación del indicador se realiza de acuerdo al peso que cada producto tiene en el caso total del proyecto.</t>
        </r>
      </text>
    </comment>
    <comment ref="G148" authorId="0" shapeId="0" xr:uid="{00000000-0006-0000-0400-000038000000}">
      <text>
        <r>
          <rPr>
            <sz val="11"/>
            <color theme="1"/>
            <rFont val="Calibri"/>
            <family val="2"/>
            <scheme val="minor"/>
          </rPr>
          <t>======
ID#AAABDq5TrMw
YULIED.PENARANDA    (2023-11-09 13:07:33)
Nombre completo de la Meta  del Plan de Desarrollo, como se relaciona en el de gestión</t>
        </r>
      </text>
    </comment>
    <comment ref="N148" authorId="0" shapeId="0" xr:uid="{00000000-0006-0000-0400-000039000000}">
      <text>
        <r>
          <rPr>
            <sz val="11"/>
            <color theme="1"/>
            <rFont val="Calibri"/>
            <family val="2"/>
            <scheme val="minor"/>
          </rPr>
          <t>======
ID#AAABDq5Tq5U
YULIED.PENARANDA    (2023-11-09 13:07:33)
Descripción concreta del avance, máximo de caracteres 200</t>
        </r>
      </text>
    </comment>
    <comment ref="A194" authorId="0" shapeId="0" xr:uid="{00000000-0006-0000-0400-00003A000000}">
      <text>
        <r>
          <rPr>
            <sz val="11"/>
            <color theme="1"/>
            <rFont val="Calibri"/>
            <family val="2"/>
            <scheme val="minor"/>
          </rPr>
          <t>======
ID#AAABDq5Tq68
YULIED.PENARANDA    (2023-11-09 13:07:34)
Avance productos e indicadores de productos (según cadena de valor)
NOTA: Desagregar cuadro cuantas veces tenga productos y/o indicadores asociados</t>
        </r>
      </text>
    </comment>
    <comment ref="A195" authorId="0" shapeId="0" xr:uid="{00000000-0006-0000-0400-00003B000000}">
      <text>
        <r>
          <rPr>
            <sz val="11"/>
            <color theme="1"/>
            <rFont val="Calibri"/>
            <family val="2"/>
            <scheme val="minor"/>
          </rPr>
          <t>======
ID#AAABDq5TrzY
YULIED.PENARANDA    (2023-11-09 13:07:33)
Vigencia a reportar</t>
        </r>
      </text>
    </comment>
    <comment ref="B195" authorId="0" shapeId="0" xr:uid="{00000000-0006-0000-0400-00003C000000}">
      <text>
        <r>
          <rPr>
            <sz val="11"/>
            <color theme="1"/>
            <rFont val="Calibri"/>
            <family val="2"/>
            <scheme val="minor"/>
          </rPr>
          <t>======
ID#AAABDq5TriY
YULIED.PENARANDA    (2023-11-09 13:07:34)
Describir los objetivo específico del proyecto, como se definió en la formulación del proyecto</t>
        </r>
      </text>
    </comment>
    <comment ref="C195" authorId="0" shapeId="0" xr:uid="{00000000-0006-0000-0400-00003D000000}">
      <text>
        <r>
          <rPr>
            <sz val="11"/>
            <color theme="1"/>
            <rFont val="Calibri"/>
            <family val="2"/>
            <scheme val="minor"/>
          </rPr>
          <t>======
ID#AAABDq5Tq8U
YULIED.PENARANDA    (2023-11-09 13:07:34)
Describir los productos del proyecto, como se definió en la formulación del proyecto y de acuerdo con el catálogo de productos DNP</t>
        </r>
      </text>
    </comment>
    <comment ref="D195" authorId="0" shapeId="0" xr:uid="{00000000-0006-0000-0400-00003E000000}">
      <text>
        <r>
          <rPr>
            <sz val="11"/>
            <color theme="1"/>
            <rFont val="Calibri"/>
            <family val="2"/>
            <scheme val="minor"/>
          </rPr>
          <t>======
ID#AAABDq5Tq50
YULIED.PENARANDA    (2023-11-09 13:07:34)
Nombre completo del indicador. Expresión verbal, precisa y concreta del patrón de evaluación.</t>
        </r>
      </text>
    </comment>
    <comment ref="E195" authorId="0" shapeId="0" xr:uid="{00000000-0006-0000-0400-00003F000000}">
      <text>
        <r>
          <rPr>
            <sz val="11"/>
            <color theme="1"/>
            <rFont val="Calibri"/>
            <family val="2"/>
            <scheme val="minor"/>
          </rPr>
          <t>======
ID#AAABDq5Trgw
YULIED.PENARANDA    (2023-11-09 13:07:34)
Unidad cualitativa del indicador, define las características de la magnitud a realizar seguimiento. Eje: Hectáreas, estrategias, modelos, etc.</t>
        </r>
      </text>
    </comment>
    <comment ref="F195" authorId="0" shapeId="0" xr:uid="{00000000-0006-0000-0400-000040000000}">
      <text>
        <r>
          <rPr>
            <sz val="11"/>
            <color theme="1"/>
            <rFont val="Calibri"/>
            <family val="2"/>
            <scheme val="minor"/>
          </rPr>
          <t>======
ID#AAABDq5Tq9Y
YULIED.PENARANDA    (2023-11-09 13:07:34)
Ponderación del indicador se realiza de acuerdo al peso que cada producto tiene en el caso total del proyecto.</t>
        </r>
      </text>
    </comment>
    <comment ref="G195" authorId="0" shapeId="0" xr:uid="{00000000-0006-0000-0400-000041000000}">
      <text>
        <r>
          <rPr>
            <sz val="11"/>
            <color theme="1"/>
            <rFont val="Calibri"/>
            <family val="2"/>
            <scheme val="minor"/>
          </rPr>
          <t>======
ID#AAABDq5TrEk
YULIED.PENARANDA    (2023-11-09 13:07:34)
Nombre completo de la Meta  del Plan de Desarrollo, como se relaciona en el de gestión</t>
        </r>
      </text>
    </comment>
    <comment ref="N195" authorId="0" shapeId="0" xr:uid="{00000000-0006-0000-0400-000042000000}">
      <text>
        <r>
          <rPr>
            <sz val="11"/>
            <color theme="1"/>
            <rFont val="Calibri"/>
            <family val="2"/>
            <scheme val="minor"/>
          </rPr>
          <t>======
ID#AAABDq5Tq_s
YULIED.PENARANDA    (2023-11-09 13:07:34)
Descripción concreta del avance, máximo de caracteres 200</t>
        </r>
      </text>
    </comment>
    <comment ref="A244" authorId="0" shapeId="0" xr:uid="{00000000-0006-0000-0400-000043000000}">
      <text>
        <r>
          <rPr>
            <sz val="11"/>
            <color theme="1"/>
            <rFont val="Calibri"/>
            <family val="2"/>
            <scheme val="minor"/>
          </rPr>
          <t>======
ID#AAABDq5Tq6w
YULIED.PENARANDA    (2023-11-09 13:07:33)
Avance productos e indicadores de productos (según cadena de valor)
NOTA: Desagregar cuadro cuantas veces tenga productos y/o indicadores asociados</t>
        </r>
      </text>
    </comment>
    <comment ref="A245" authorId="0" shapeId="0" xr:uid="{00000000-0006-0000-0400-000044000000}">
      <text>
        <r>
          <rPr>
            <sz val="11"/>
            <color theme="1"/>
            <rFont val="Calibri"/>
            <family val="2"/>
            <scheme val="minor"/>
          </rPr>
          <t>======
ID#AAABDq5TrM8
YULIED.PENARANDA    (2023-11-09 13:07:34)
Vigencia a reportar</t>
        </r>
      </text>
    </comment>
    <comment ref="B245" authorId="0" shapeId="0" xr:uid="{00000000-0006-0000-0400-000045000000}">
      <text>
        <r>
          <rPr>
            <sz val="11"/>
            <color theme="1"/>
            <rFont val="Calibri"/>
            <family val="2"/>
            <scheme val="minor"/>
          </rPr>
          <t>======
ID#AAABDq5TrNM
YULIED.PENARANDA    (2023-11-09 13:07:33)
Describir los objetivo específico del proyecto, como se definió en la formulación del proyecto</t>
        </r>
      </text>
    </comment>
    <comment ref="C245" authorId="0" shapeId="0" xr:uid="{00000000-0006-0000-0400-000046000000}">
      <text>
        <r>
          <rPr>
            <sz val="11"/>
            <color theme="1"/>
            <rFont val="Calibri"/>
            <family val="2"/>
            <scheme val="minor"/>
          </rPr>
          <t>======
ID#AAABDq5Tqvw
YULIED.PENARANDA    (2023-11-09 13:07:34)
Describir los productos del proyecto, como se definió en la formulación del proyecto y de acuerdo con el catálogo de productos DNP</t>
        </r>
      </text>
    </comment>
    <comment ref="D245" authorId="0" shapeId="0" xr:uid="{00000000-0006-0000-0400-000047000000}">
      <text>
        <r>
          <rPr>
            <sz val="11"/>
            <color theme="1"/>
            <rFont val="Calibri"/>
            <family val="2"/>
            <scheme val="minor"/>
          </rPr>
          <t>======
ID#AAABDq5TrFc
YULIED.PENARANDA    (2023-11-09 13:07:34)
Nombre completo del indicador. Expresión verbal, precisa y concreta del patrón de evaluación.</t>
        </r>
      </text>
    </comment>
    <comment ref="E245" authorId="0" shapeId="0" xr:uid="{00000000-0006-0000-0400-000048000000}">
      <text>
        <r>
          <rPr>
            <sz val="11"/>
            <color theme="1"/>
            <rFont val="Calibri"/>
            <family val="2"/>
            <scheme val="minor"/>
          </rPr>
          <t>======
ID#AAABDq5TreY
YULIED.PENARANDA    (2023-11-09 13:07:34)
Unidad cualitativa del indicador, define las características de la magnitud a realizar seguimiento. Eje: Hectáreas, estrategias, modelos, etc.</t>
        </r>
      </text>
    </comment>
    <comment ref="F245" authorId="0" shapeId="0" xr:uid="{00000000-0006-0000-0400-000049000000}">
      <text>
        <r>
          <rPr>
            <sz val="11"/>
            <color theme="1"/>
            <rFont val="Calibri"/>
            <family val="2"/>
            <scheme val="minor"/>
          </rPr>
          <t>======
ID#AAABDq5TriE
YULIED.PENARANDA    (2023-11-09 13:07:34)
Ponderación del indicador se realiza de acuerdo al peso que cada producto tiene en el caso total del proyecto.</t>
        </r>
      </text>
    </comment>
    <comment ref="G245" authorId="0" shapeId="0" xr:uid="{00000000-0006-0000-0400-00004A000000}">
      <text>
        <r>
          <rPr>
            <sz val="11"/>
            <color theme="1"/>
            <rFont val="Calibri"/>
            <family val="2"/>
            <scheme val="minor"/>
          </rPr>
          <t>======
ID#AAABDq5Trf0
YULIED.PENARANDA    (2023-11-09 13:07:34)
Nombre completo de la Meta  del Plan de Desarrollo, como se relaciona en el de gestión</t>
        </r>
      </text>
    </comment>
    <comment ref="N245" authorId="0" shapeId="0" xr:uid="{00000000-0006-0000-0400-00004B000000}">
      <text>
        <r>
          <rPr>
            <sz val="11"/>
            <color theme="1"/>
            <rFont val="Calibri"/>
            <family val="2"/>
            <scheme val="minor"/>
          </rPr>
          <t>======
ID#AAABDq5TrJ4
YULIED.PENARANDA    (2023-11-09 13:07:33)
Descripción concreta del avance, máximo de caracteres 200</t>
        </r>
      </text>
    </comment>
    <comment ref="A272" authorId="0" shapeId="0" xr:uid="{00000000-0006-0000-0400-00004C000000}">
      <text>
        <r>
          <rPr>
            <sz val="11"/>
            <color theme="1"/>
            <rFont val="Calibri"/>
            <family val="2"/>
            <scheme val="minor"/>
          </rPr>
          <t>======
ID#AAABDq5Trnk
YULIED.PENARANDA    (2023-11-09 13:07:34)
YULIED.PENARANDA
Distribuir las obligaciones del proyecto entre las diferentes actividades que hacen parte de un producto y un objetivo específico.
NOTA: Desagregar cuadro cuantas veces tenga productos asociados</t>
        </r>
      </text>
    </comment>
    <comment ref="G273" authorId="0" shapeId="0" xr:uid="{00000000-0006-0000-0400-00004D000000}">
      <text>
        <r>
          <rPr>
            <sz val="11"/>
            <color theme="1"/>
            <rFont val="Calibri"/>
            <family val="2"/>
            <scheme val="minor"/>
          </rPr>
          <t>======
ID#AAABDq5Trs4
YULIED.PENARANDA    (2023-11-09 13:07:34)
Descripción concreta del avance, máximo de caracteres 200</t>
        </r>
      </text>
    </comment>
    <comment ref="A287" authorId="0" shapeId="0" xr:uid="{00000000-0006-0000-0400-00004E000000}">
      <text>
        <r>
          <rPr>
            <sz val="11"/>
            <color theme="1"/>
            <rFont val="Calibri"/>
            <family val="2"/>
            <scheme val="minor"/>
          </rPr>
          <t>======
ID#AAABDq5TrS4
YULIED.PENARANDA    (2023-11-09 13:07:34)
YULIED.PENARANDA
Distribuir las obligaciones del proyecto entre las diferentes actividades que hacen parte de un producto y un objetivo específico.
NOTA: Desagregar cuadro cuantas veces tenga productos asociados</t>
        </r>
      </text>
    </comment>
    <comment ref="A288" authorId="0" shapeId="0" xr:uid="{00000000-0006-0000-0400-00004F000000}">
      <text>
        <r>
          <rPr>
            <sz val="11"/>
            <color theme="1"/>
            <rFont val="Calibri"/>
            <family val="2"/>
            <scheme val="minor"/>
          </rPr>
          <t>======
ID#AAABDq5Tq-0
YULIED.PENARANDA    (2023-11-09 13:07:33)
Vigencia a reportar</t>
        </r>
      </text>
    </comment>
    <comment ref="B288" authorId="0" shapeId="0" xr:uid="{00000000-0006-0000-0400-000050000000}">
      <text>
        <r>
          <rPr>
            <sz val="11"/>
            <color theme="1"/>
            <rFont val="Calibri"/>
            <family val="2"/>
            <scheme val="minor"/>
          </rPr>
          <t>======
ID#AAABDq5Tq_4
YULIED.PENARANDA    (2023-11-09 13:07:33)
Describir los objetivo específico del proyecto, como se definió en la formulación del proyecto</t>
        </r>
      </text>
    </comment>
    <comment ref="C288" authorId="0" shapeId="0" xr:uid="{00000000-0006-0000-0400-000051000000}">
      <text>
        <r>
          <rPr>
            <sz val="11"/>
            <color theme="1"/>
            <rFont val="Calibri"/>
            <family val="2"/>
            <scheme val="minor"/>
          </rPr>
          <t>======
ID#AAABDq5TraQ
YULIED.PENARANDA    (2023-11-09 13:07:33)
Describir los productos del proyecto, como se definió en la formulación del proyecto y de acuerdo con el catálogo de productos del DNP.</t>
        </r>
      </text>
    </comment>
    <comment ref="D288" authorId="0" shapeId="0" xr:uid="{00000000-0006-0000-0400-000052000000}">
      <text>
        <r>
          <rPr>
            <sz val="11"/>
            <color theme="1"/>
            <rFont val="Calibri"/>
            <family val="2"/>
            <scheme val="minor"/>
          </rPr>
          <t>======
ID#AAABDq5Trm0
YULIED.PENARANDA    (2023-11-09 13:07:34)
Nombre completo del indicador. Expresión verbal, precisa y concreta del patrón de evaluación.</t>
        </r>
      </text>
    </comment>
    <comment ref="G288" authorId="0" shapeId="0" xr:uid="{00000000-0006-0000-0400-000053000000}">
      <text>
        <r>
          <rPr>
            <sz val="11"/>
            <color theme="1"/>
            <rFont val="Calibri"/>
            <family val="2"/>
            <scheme val="minor"/>
          </rPr>
          <t>======
ID#AAABDq5Tqxg
YULIED.PENARANDA    (2023-11-09 13:07:33)
Descripción concreta del avance, máximo de caracteres 200</t>
        </r>
      </text>
    </comment>
    <comment ref="A390" authorId="0" shapeId="0" xr:uid="{00000000-0006-0000-0400-000054000000}">
      <text>
        <r>
          <rPr>
            <sz val="11"/>
            <color theme="1"/>
            <rFont val="Calibri"/>
            <family val="2"/>
            <scheme val="minor"/>
          </rPr>
          <t>======
ID#AAABDq5TrL8
YULIED.PENARANDA    (2023-11-09 13:07:34)
YULIED.PENARANDA
Distribuir las obligaciones del proyecto entre las diferentes actividades que hacen parte de un producto y un objetivo específico.
NOTA: Desagregar cuadro cuantas veces tenga productos asociados</t>
        </r>
      </text>
    </comment>
    <comment ref="A391" authorId="0" shapeId="0" xr:uid="{00000000-0006-0000-0400-000055000000}">
      <text>
        <r>
          <rPr>
            <sz val="11"/>
            <color theme="1"/>
            <rFont val="Calibri"/>
            <family val="2"/>
            <scheme val="minor"/>
          </rPr>
          <t>======
ID#AAABDq5Trhc
YULIED.PENARANDA    (2023-11-09 13:07:33)
Vigencia a reportar</t>
        </r>
      </text>
    </comment>
    <comment ref="B391" authorId="0" shapeId="0" xr:uid="{00000000-0006-0000-0400-000056000000}">
      <text>
        <r>
          <rPr>
            <sz val="11"/>
            <color theme="1"/>
            <rFont val="Calibri"/>
            <family val="2"/>
            <scheme val="minor"/>
          </rPr>
          <t>======
ID#AAABDq5TrwA
YULIED.PENARANDA    (2023-11-09 13:07:33)
Describir los objetivo específico del proyecto, como se definió en la formulación del proyecto</t>
        </r>
      </text>
    </comment>
    <comment ref="C391" authorId="0" shapeId="0" xr:uid="{00000000-0006-0000-0400-000057000000}">
      <text>
        <r>
          <rPr>
            <sz val="11"/>
            <color theme="1"/>
            <rFont val="Calibri"/>
            <family val="2"/>
            <scheme val="minor"/>
          </rPr>
          <t>======
ID#AAABDq5Trjc
YULIED.PENARANDA    (2023-11-09 13:07:34)
Describir los productos del proyecto, como se definió en la formulación del proyecto y de acuerdo con el catálogo de productos del DNP.</t>
        </r>
      </text>
    </comment>
    <comment ref="D391" authorId="0" shapeId="0" xr:uid="{00000000-0006-0000-0400-000058000000}">
      <text>
        <r>
          <rPr>
            <sz val="11"/>
            <color theme="1"/>
            <rFont val="Calibri"/>
            <family val="2"/>
            <scheme val="minor"/>
          </rPr>
          <t>======
ID#AAABDq5Trzs
YULIED.PENARANDA    (2023-11-09 13:07:34)
Nombre completo del indicador. Expresión verbal, precisa y concreta del patrón de evaluación.</t>
        </r>
      </text>
    </comment>
    <comment ref="G391" authorId="0" shapeId="0" xr:uid="{00000000-0006-0000-0400-000059000000}">
      <text>
        <r>
          <rPr>
            <sz val="11"/>
            <color theme="1"/>
            <rFont val="Calibri"/>
            <family val="2"/>
            <scheme val="minor"/>
          </rPr>
          <t>======
ID#AAABDq5TrJM
YULIED.PENARANDA    (2023-11-09 13:07:33)
Descripción concreta del avance, máximo de caracteres 200</t>
        </r>
      </text>
    </comment>
    <comment ref="A573" authorId="0" shapeId="0" xr:uid="{00000000-0006-0000-0400-00005A000000}">
      <text>
        <r>
          <rPr>
            <sz val="11"/>
            <color theme="1"/>
            <rFont val="Calibri"/>
            <family val="2"/>
            <scheme val="minor"/>
          </rPr>
          <t>======
ID#AAABDq5Tq0c
YULIED.PENARANDA    (2023-11-09 13:07:33)
YULIED.PENARANDA
Distribuir las obligaciones del proyecto entre las diferentes actividades que hacen parte de un producto y un objetivo específico.
NOTA: Desagregar cuadro cuantas veces tenga productos asociados</t>
        </r>
      </text>
    </comment>
    <comment ref="A574" authorId="0" shapeId="0" xr:uid="{00000000-0006-0000-0400-00005B000000}">
      <text>
        <r>
          <rPr>
            <sz val="11"/>
            <color theme="1"/>
            <rFont val="Calibri"/>
            <family val="2"/>
            <scheme val="minor"/>
          </rPr>
          <t>======
ID#AAABDq5TrhM
YULIED.PENARANDA    (2023-11-09 13:07:33)
Vigencia a reportar</t>
        </r>
      </text>
    </comment>
    <comment ref="B574" authorId="0" shapeId="0" xr:uid="{00000000-0006-0000-0400-00005C000000}">
      <text>
        <r>
          <rPr>
            <sz val="11"/>
            <color theme="1"/>
            <rFont val="Calibri"/>
            <family val="2"/>
            <scheme val="minor"/>
          </rPr>
          <t>======
ID#AAABDq5Tq14
YULIED.PENARANDA    (2023-11-09 13:07:34)
Describir los objetivo específico del proyecto, como se definió en la formulación del proyecto</t>
        </r>
      </text>
    </comment>
    <comment ref="C574" authorId="0" shapeId="0" xr:uid="{00000000-0006-0000-0400-00005D000000}">
      <text>
        <r>
          <rPr>
            <sz val="11"/>
            <color theme="1"/>
            <rFont val="Calibri"/>
            <family val="2"/>
            <scheme val="minor"/>
          </rPr>
          <t>======
ID#AAABDq5TrU8
YULIED.PENARANDA    (2023-11-09 13:07:33)
Describir los productos del proyecto, como se definió en la formulación del proyecto y de acuerdo con el catálogo de productos del DNP.</t>
        </r>
      </text>
    </comment>
    <comment ref="D574" authorId="0" shapeId="0" xr:uid="{00000000-0006-0000-0400-00005E000000}">
      <text>
        <r>
          <rPr>
            <sz val="11"/>
            <color theme="1"/>
            <rFont val="Calibri"/>
            <family val="2"/>
            <scheme val="minor"/>
          </rPr>
          <t>======
ID#AAABDq5Trc8
YULIED.PENARANDA    (2023-11-09 13:07:34)
Nombre completo del indicador. Expresión verbal, precisa y concreta del patrón de evaluación.</t>
        </r>
      </text>
    </comment>
    <comment ref="G574" authorId="0" shapeId="0" xr:uid="{00000000-0006-0000-0400-00005F000000}">
      <text>
        <r>
          <rPr>
            <sz val="11"/>
            <color theme="1"/>
            <rFont val="Calibri"/>
            <family val="2"/>
            <scheme val="minor"/>
          </rPr>
          <t>======
ID#AAABDq5TrJU
YULIED.PENARANDA    (2023-11-09 13:07:34)
Descripción concreta del avance, máximo de caracteres 200</t>
        </r>
      </text>
    </comment>
    <comment ref="A855" authorId="0" shapeId="0" xr:uid="{00000000-0006-0000-0400-000060000000}">
      <text>
        <r>
          <rPr>
            <sz val="11"/>
            <color theme="1"/>
            <rFont val="Calibri"/>
            <family val="2"/>
            <scheme val="minor"/>
          </rPr>
          <t>======
ID#AAABDq5Tq0c
YULIED.PENARANDA    (2023-11-09 13:07:33)
YULIED.PENARANDA
Distribuir las obligaciones del proyecto entre las diferentes actividades que hacen parte de un producto y un objetivo específico.
NOTA: Desagregar cuadro cuantas veces tenga productos asociados</t>
        </r>
      </text>
    </comment>
    <comment ref="A856" authorId="0" shapeId="0" xr:uid="{00000000-0006-0000-0400-000061000000}">
      <text>
        <r>
          <rPr>
            <sz val="11"/>
            <color theme="1"/>
            <rFont val="Calibri"/>
            <family val="2"/>
            <scheme val="minor"/>
          </rPr>
          <t>======
ID#AAABDq5TrhM
YULIED.PENARANDA    (2023-11-09 13:07:33)
Vigencia a reportar</t>
        </r>
      </text>
    </comment>
    <comment ref="B856" authorId="0" shapeId="0" xr:uid="{00000000-0006-0000-0400-000062000000}">
      <text>
        <r>
          <rPr>
            <sz val="11"/>
            <color theme="1"/>
            <rFont val="Calibri"/>
            <family val="2"/>
            <scheme val="minor"/>
          </rPr>
          <t>======
ID#AAABDq5Tq14
YULIED.PENARANDA    (2023-11-09 13:07:34)
Describir los objetivo específico del proyecto, como se definió en la formulación del proyecto</t>
        </r>
      </text>
    </comment>
    <comment ref="C856" authorId="0" shapeId="0" xr:uid="{00000000-0006-0000-0400-000063000000}">
      <text>
        <r>
          <rPr>
            <sz val="11"/>
            <color theme="1"/>
            <rFont val="Calibri"/>
            <family val="2"/>
            <scheme val="minor"/>
          </rPr>
          <t>======
ID#AAABDq5TrU8
YULIED.PENARANDA    (2023-11-09 13:07:33)
Describir los productos del proyecto, como se definió en la formulación del proyecto y de acuerdo con el catálogo de productos del DNP.</t>
        </r>
      </text>
    </comment>
    <comment ref="D856" authorId="0" shapeId="0" xr:uid="{00000000-0006-0000-0400-000064000000}">
      <text>
        <r>
          <rPr>
            <sz val="11"/>
            <color theme="1"/>
            <rFont val="Calibri"/>
            <family val="2"/>
            <scheme val="minor"/>
          </rPr>
          <t>======
ID#AAABDq5Trc8
YULIED.PENARANDA    (2023-11-09 13:07:34)
Nombre completo del indicador. Expresión verbal, precisa y concreta del patrón de evaluación.</t>
        </r>
      </text>
    </comment>
    <comment ref="G856" authorId="0" shapeId="0" xr:uid="{00000000-0006-0000-0400-000065000000}">
      <text>
        <r>
          <rPr>
            <sz val="11"/>
            <color theme="1"/>
            <rFont val="Calibri"/>
            <family val="2"/>
            <scheme val="minor"/>
          </rPr>
          <t>======
ID#AAABDq5TrJU
YULIED.PENARANDA    (2023-11-09 13:07:34)
Descripción concreta del avance, máximo de caracteres 200</t>
        </r>
      </text>
    </comment>
    <comment ref="A912" authorId="0" shapeId="0" xr:uid="{00000000-0006-0000-0400-000066000000}">
      <text>
        <r>
          <rPr>
            <sz val="11"/>
            <color theme="1"/>
            <rFont val="Calibri"/>
            <family val="2"/>
            <scheme val="minor"/>
          </rPr>
          <t>======
ID#AAABDq5Tq-A
YULIED.PENARANDA    (2023-11-09 13:07:34)
Avance indicadores de gestión
NOTA: Desagregar cuadro cuantas veces tenga indicadores asociados</t>
        </r>
      </text>
    </comment>
    <comment ref="A913" authorId="0" shapeId="0" xr:uid="{00000000-0006-0000-0400-000067000000}">
      <text>
        <r>
          <rPr>
            <sz val="11"/>
            <color theme="1"/>
            <rFont val="Calibri"/>
            <family val="2"/>
            <scheme val="minor"/>
          </rPr>
          <t>======
ID#AAABDq5TqyU
YULIED.PENARANDA    (2023-11-09 13:07:34)
Vigencia a reportar</t>
        </r>
      </text>
    </comment>
    <comment ref="B913" authorId="0" shapeId="0" xr:uid="{00000000-0006-0000-0400-000068000000}">
      <text>
        <r>
          <rPr>
            <sz val="11"/>
            <color theme="1"/>
            <rFont val="Calibri"/>
            <family val="2"/>
            <scheme val="minor"/>
          </rPr>
          <t>======
ID#AAABDq5Trx4
YULIED.PENARANDA    (2023-11-09 13:07:34)
Nombre completo del indicador. Expresión verbal, precisa y concreta del patrón de evaluación.</t>
        </r>
      </text>
    </comment>
    <comment ref="C913" authorId="0" shapeId="0" xr:uid="{00000000-0006-0000-0400-000069000000}">
      <text>
        <r>
          <rPr>
            <sz val="11"/>
            <color theme="1"/>
            <rFont val="Calibri"/>
            <family val="2"/>
            <scheme val="minor"/>
          </rPr>
          <t>======
ID#AAABDq5Trqs
YULIED.PENARANDA    (2023-11-09 13:07:34)
Unidad del indicador, define las características de la magnitud a realizar seguimiento. Eje: Hectáreas, estrategias, modelos, número etc.</t>
        </r>
      </text>
    </comment>
    <comment ref="D913" authorId="0" shapeId="0" xr:uid="{00000000-0006-0000-0400-00006A000000}">
      <text>
        <r>
          <rPr>
            <sz val="11"/>
            <color theme="1"/>
            <rFont val="Calibri"/>
            <family val="2"/>
            <scheme val="minor"/>
          </rPr>
          <t>======
ID#AAABDq5TrFM
YULIED.PENARANDA    (2023-11-09 13:07:33)
Peso porcentual de acuerdo con la distribución de los indicadores de gestión.</t>
        </r>
      </text>
    </comment>
    <comment ref="H913" authorId="0" shapeId="0" xr:uid="{00000000-0006-0000-0400-00006B000000}">
      <text>
        <r>
          <rPr>
            <sz val="11"/>
            <color theme="1"/>
            <rFont val="Calibri"/>
            <family val="2"/>
            <scheme val="minor"/>
          </rPr>
          <t>======
ID#AAABDq5Tq4w
YULIED.PENARANDA    (2023-11-09 13:07:34)
Descripción concreta del avance, máximo de caracteres 200</t>
        </r>
      </text>
    </comment>
    <comment ref="A923" authorId="0" shapeId="0" xr:uid="{00000000-0006-0000-0400-00006C000000}">
      <text>
        <r>
          <rPr>
            <sz val="11"/>
            <color theme="1"/>
            <rFont val="Calibri"/>
            <family val="2"/>
            <scheme val="minor"/>
          </rPr>
          <t>======
ID#AAABDq5TrAo
YULIED.PENARANDA    (2023-11-09 13:07:33)
Avance indicadores de gestión
NOTA: Desagregar cuadro cuantas veces tenga indicadores asociados</t>
        </r>
      </text>
    </comment>
    <comment ref="A924" authorId="0" shapeId="0" xr:uid="{00000000-0006-0000-0400-00006D000000}">
      <text>
        <r>
          <rPr>
            <sz val="11"/>
            <color theme="1"/>
            <rFont val="Calibri"/>
            <family val="2"/>
            <scheme val="minor"/>
          </rPr>
          <t>======
ID#AAABDq5TrCk
YULIED.PENARANDA    (2023-11-09 13:07:34)
Vigencia a reportar</t>
        </r>
      </text>
    </comment>
    <comment ref="B924" authorId="0" shapeId="0" xr:uid="{00000000-0006-0000-0400-00006E000000}">
      <text>
        <r>
          <rPr>
            <sz val="11"/>
            <color theme="1"/>
            <rFont val="Calibri"/>
            <family val="2"/>
            <scheme val="minor"/>
          </rPr>
          <t>======
ID#AAABDq5Tqwc
YULIED.PENARANDA    (2023-11-09 13:07:34)
Nombre completo del indicador. Expresión verbal, precisa y concreta del patrón de evaluación.</t>
        </r>
      </text>
    </comment>
    <comment ref="C924" authorId="0" shapeId="0" xr:uid="{00000000-0006-0000-0400-00006F000000}">
      <text>
        <r>
          <rPr>
            <sz val="11"/>
            <color theme="1"/>
            <rFont val="Calibri"/>
            <family val="2"/>
            <scheme val="minor"/>
          </rPr>
          <t>======
ID#AAABDq5TryQ
YULIED.PENARANDA    (2023-11-09 13:07:34)
Unidad del indicador, define las características de la magnitud a realizar seguimiento. Eje: Hectáreas, estrategias, modelos, número etc.</t>
        </r>
      </text>
    </comment>
    <comment ref="D924" authorId="0" shapeId="0" xr:uid="{00000000-0006-0000-0400-000070000000}">
      <text>
        <r>
          <rPr>
            <sz val="11"/>
            <color theme="1"/>
            <rFont val="Calibri"/>
            <family val="2"/>
            <scheme val="minor"/>
          </rPr>
          <t>======
ID#AAABDq5TrcQ
YULIED.PENARANDA    (2023-11-09 13:07:34)
Peso porcentual de acuerdo con la distribución de los indicadores de gestión.</t>
        </r>
      </text>
    </comment>
    <comment ref="H924" authorId="0" shapeId="0" xr:uid="{00000000-0006-0000-0400-000071000000}">
      <text>
        <r>
          <rPr>
            <sz val="11"/>
            <color theme="1"/>
            <rFont val="Calibri"/>
            <family val="2"/>
            <scheme val="minor"/>
          </rPr>
          <t>======
ID#AAABDq5TrTA
YULIED.PENARANDA    (2023-11-09 13:07:34)
Descripción concreta del avance, máximo de caracteres 200</t>
        </r>
      </text>
    </comment>
    <comment ref="A988" authorId="0" shapeId="0" xr:uid="{00000000-0006-0000-0400-000072000000}">
      <text>
        <r>
          <rPr>
            <sz val="11"/>
            <color theme="1"/>
            <rFont val="Calibri"/>
            <family val="2"/>
            <scheme val="minor"/>
          </rPr>
          <t>======
ID#AAABDq5Trbk
YULIED.PENARANDA    (2023-11-09 13:07:34)
Avance indicadores de gestión.
NOTA: Desagregar cuadro cuantas veces tenga indicadores asociados</t>
        </r>
      </text>
    </comment>
    <comment ref="A989" authorId="0" shapeId="0" xr:uid="{00000000-0006-0000-0400-000073000000}">
      <text>
        <r>
          <rPr>
            <sz val="11"/>
            <color theme="1"/>
            <rFont val="Calibri"/>
            <family val="2"/>
            <scheme val="minor"/>
          </rPr>
          <t>======
ID#AAABDq5Tqo4
YULIED.PENARANDA    (2023-11-09 13:07:33)
Vigencia a reportar</t>
        </r>
      </text>
    </comment>
    <comment ref="B989" authorId="0" shapeId="0" xr:uid="{00000000-0006-0000-0400-000074000000}">
      <text>
        <r>
          <rPr>
            <sz val="11"/>
            <color theme="1"/>
            <rFont val="Calibri"/>
            <family val="2"/>
            <scheme val="minor"/>
          </rPr>
          <t>======
ID#AAABDq5TrPk
YULIED.PENARANDA    (2023-11-09 13:07:34)
Nombre completo del indicador. Expresión verbal, precisa y concreta del patrón de evaluación.</t>
        </r>
      </text>
    </comment>
    <comment ref="C989" authorId="0" shapeId="0" xr:uid="{00000000-0006-0000-0400-000075000000}">
      <text>
        <r>
          <rPr>
            <sz val="11"/>
            <color theme="1"/>
            <rFont val="Calibri"/>
            <family val="2"/>
            <scheme val="minor"/>
          </rPr>
          <t>======
ID#AAABDq5Tqzs
YULIED.PENARANDA    (2023-11-09 13:07:34)
Unidad del indicador, define las características de la magnitud a realizar seguimiento. Eje: Hectáreas, estrategias, modelos, número etc.</t>
        </r>
      </text>
    </comment>
    <comment ref="D989" authorId="0" shapeId="0" xr:uid="{00000000-0006-0000-0400-000076000000}">
      <text>
        <r>
          <rPr>
            <sz val="11"/>
            <color theme="1"/>
            <rFont val="Calibri"/>
            <family val="2"/>
            <scheme val="minor"/>
          </rPr>
          <t>======
ID#AAABDq5TrO8
YULIED.PENARANDA    (2023-11-09 13:07:34)
Peso porcentual de acuerdo con la distribución de los indicadores de gestión.</t>
        </r>
      </text>
    </comment>
    <comment ref="H989" authorId="0" shapeId="0" xr:uid="{00000000-0006-0000-0400-000077000000}">
      <text>
        <r>
          <rPr>
            <sz val="11"/>
            <color theme="1"/>
            <rFont val="Calibri"/>
            <family val="2"/>
            <scheme val="minor"/>
          </rPr>
          <t>======
ID#AAABDq5TrXs
YULIED.PENARANDA    (2023-11-09 13:07:34)
Descripción concreta del avance, máximo de caracteres 200</t>
        </r>
      </text>
    </comment>
    <comment ref="A1046" authorId="0" shapeId="0" xr:uid="{00000000-0006-0000-0400-000078000000}">
      <text>
        <r>
          <rPr>
            <sz val="11"/>
            <color theme="1"/>
            <rFont val="Calibri"/>
            <family val="2"/>
            <scheme val="minor"/>
          </rPr>
          <t>======
ID#AAABDq5Trss
YULIED.PENARANDA    (2023-11-09 13:07:34)
Avance indicadores de gestión.
NOTA: Desagregar cuadro cuantas veces tenga indicadores asociados</t>
        </r>
      </text>
    </comment>
    <comment ref="A1047" authorId="0" shapeId="0" xr:uid="{00000000-0006-0000-0400-000079000000}">
      <text>
        <r>
          <rPr>
            <sz val="11"/>
            <color theme="1"/>
            <rFont val="Calibri"/>
            <family val="2"/>
            <scheme val="minor"/>
          </rPr>
          <t>======
ID#AAABDq5Tq2M
YULIED.PENARANDA    (2023-11-09 13:07:34)
Vigencia a reportar</t>
        </r>
      </text>
    </comment>
    <comment ref="B1047" authorId="0" shapeId="0" xr:uid="{00000000-0006-0000-0400-00007A000000}">
      <text>
        <r>
          <rPr>
            <sz val="11"/>
            <color theme="1"/>
            <rFont val="Calibri"/>
            <family val="2"/>
            <scheme val="minor"/>
          </rPr>
          <t>======
ID#AAABDq5TrwI
YULIED.PENARANDA    (2023-11-09 13:07:33)
Nombre completo del indicador. Expresión verbal, precisa y concreta del patrón de evaluación.</t>
        </r>
      </text>
    </comment>
    <comment ref="C1047" authorId="0" shapeId="0" xr:uid="{00000000-0006-0000-0400-00007B000000}">
      <text>
        <r>
          <rPr>
            <sz val="11"/>
            <color theme="1"/>
            <rFont val="Calibri"/>
            <family val="2"/>
            <scheme val="minor"/>
          </rPr>
          <t>======
ID#AAABDq5TrqM
YULIED.PENARANDA    (2023-11-09 13:07:34)
Unidad del indicador, define las características de la magnitud a realizar seguimiento. Eje: Hectáreas, estrategias, modelos, número etc.</t>
        </r>
      </text>
    </comment>
    <comment ref="D1047" authorId="0" shapeId="0" xr:uid="{00000000-0006-0000-0400-00007C000000}">
      <text>
        <r>
          <rPr>
            <sz val="11"/>
            <color theme="1"/>
            <rFont val="Calibri"/>
            <family val="2"/>
            <scheme val="minor"/>
          </rPr>
          <t>======
ID#AAABDq5TqwU
YULIED.PENARANDA    (2023-11-09 13:07:34)
Peso porcentual de acuerdo con la distribución de los indicadores de gestión.</t>
        </r>
      </text>
    </comment>
    <comment ref="H1047" authorId="0" shapeId="0" xr:uid="{00000000-0006-0000-0400-00007D000000}">
      <text>
        <r>
          <rPr>
            <sz val="11"/>
            <color theme="1"/>
            <rFont val="Calibri"/>
            <family val="2"/>
            <scheme val="minor"/>
          </rPr>
          <t>======
ID#AAABDq5TrMQ
YULIED.PENARANDA    (2023-11-09 13:07:34)
Descripción concreta del avance, máximo de caracteres 200</t>
        </r>
      </text>
    </comment>
    <comment ref="A1108" authorId="0" shapeId="0" xr:uid="{00000000-0006-0000-0400-00007E000000}">
      <text>
        <r>
          <rPr>
            <sz val="11"/>
            <color theme="1"/>
            <rFont val="Calibri"/>
            <family val="2"/>
            <scheme val="minor"/>
          </rPr>
          <t>======
ID#AAABDq5TrF8
YULIED.PENARANDA    (2023-11-09 13:07:34)
Avance indicadores de gestión.
NOTA: Desagregar cuadro cuantas veces tenga indicadores asociados</t>
        </r>
      </text>
    </comment>
    <comment ref="A1109" authorId="0" shapeId="0" xr:uid="{00000000-0006-0000-0400-00007F000000}">
      <text>
        <r>
          <rPr>
            <sz val="11"/>
            <color theme="1"/>
            <rFont val="Calibri"/>
            <family val="2"/>
            <scheme val="minor"/>
          </rPr>
          <t>======
ID#AAABDq5TrUY
YULIED.PENARANDA    (2023-11-09 13:07:33)
Vigencia a reportar</t>
        </r>
      </text>
    </comment>
    <comment ref="B1109" authorId="0" shapeId="0" xr:uid="{00000000-0006-0000-0400-000080000000}">
      <text>
        <r>
          <rPr>
            <sz val="11"/>
            <color theme="1"/>
            <rFont val="Calibri"/>
            <family val="2"/>
            <scheme val="minor"/>
          </rPr>
          <t>======
ID#AAABDq5Tqw0
YULIED.PENARANDA    (2023-11-09 13:07:34)
Nombre completo del indicador. Expresión verbal, precisa y concreta del patrón de evaluación.</t>
        </r>
      </text>
    </comment>
    <comment ref="C1109" authorId="0" shapeId="0" xr:uid="{00000000-0006-0000-0400-000081000000}">
      <text>
        <r>
          <rPr>
            <sz val="11"/>
            <color theme="1"/>
            <rFont val="Calibri"/>
            <family val="2"/>
            <scheme val="minor"/>
          </rPr>
          <t>======
ID#AAABDq5TrSs
YULIED.PENARANDA    (2023-11-09 13:07:34)
Unidad del indicador, define las características de la magnitud a realizar seguimiento. Eje: Hectáreas, estrategias, modelos, número etc.</t>
        </r>
      </text>
    </comment>
    <comment ref="D1109" authorId="0" shapeId="0" xr:uid="{00000000-0006-0000-0400-000082000000}">
      <text>
        <r>
          <rPr>
            <sz val="11"/>
            <color theme="1"/>
            <rFont val="Calibri"/>
            <family val="2"/>
            <scheme val="minor"/>
          </rPr>
          <t>======
ID#AAABDq5Trno
YULIED.PENARANDA    (2023-11-09 13:07:34)
Peso porcentual de acuerdo con la distribución de los indicadores de gestión.</t>
        </r>
      </text>
    </comment>
    <comment ref="H1109" authorId="0" shapeId="0" xr:uid="{00000000-0006-0000-0400-000083000000}">
      <text>
        <r>
          <rPr>
            <sz val="11"/>
            <color theme="1"/>
            <rFont val="Calibri"/>
            <family val="2"/>
            <scheme val="minor"/>
          </rPr>
          <t>======
ID#AAABDq5TrZ0
YULIED.PENARANDA    (2023-11-09 13:07:34)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500-000001000000}">
      <text>
        <r>
          <rPr>
            <sz val="11"/>
            <color theme="1"/>
            <rFont val="Calibri"/>
            <family val="2"/>
            <scheme val="minor"/>
          </rPr>
          <t>======
ID#AAABDq5TrWo
YULIED.PENARANDA    (2023-11-09 13:07:34)
Describir el nombre completo de la oficina, dirección o subdirección que gerencia el proyecto de inversión.</t>
        </r>
      </text>
    </comment>
    <comment ref="A5" authorId="0" shapeId="0" xr:uid="{00000000-0006-0000-0500-000002000000}">
      <text>
        <r>
          <rPr>
            <sz val="11"/>
            <color theme="1"/>
            <rFont val="Calibri"/>
            <family val="2"/>
            <scheme val="minor"/>
          </rPr>
          <t>======
ID#AAABDq5TrY0
YULIED.PENARANDA    (2023-11-09 13:07:33)
Describir el número y nombre completo del proyecto de inversión.</t>
        </r>
      </text>
    </comment>
    <comment ref="A6" authorId="0" shapeId="0" xr:uid="{00000000-0006-0000-0500-000003000000}">
      <text>
        <r>
          <rPr>
            <sz val="11"/>
            <color theme="1"/>
            <rFont val="Calibri"/>
            <family val="2"/>
            <scheme val="minor"/>
          </rPr>
          <t>======
ID#AAABDq5Trc0
YULIED.PENARANDA    (2023-11-09 13:07:34)
Relacionar el período del reporte</t>
        </r>
      </text>
    </comment>
    <comment ref="A8" authorId="0" shapeId="0" xr:uid="{00000000-0006-0000-0500-000004000000}">
      <text>
        <r>
          <rPr>
            <sz val="11"/>
            <color theme="1"/>
            <rFont val="Calibri"/>
            <family val="2"/>
            <scheme val="minor"/>
          </rPr>
          <t>======
ID#AAABDq5TrPM
SPCI    (2023-11-09 13:07:33)
Número de la meta proyecto de inversión, según la asignación dada en  SEGPLAN</t>
        </r>
      </text>
    </comment>
    <comment ref="B8" authorId="0" shapeId="0" xr:uid="{00000000-0006-0000-0500-000005000000}">
      <text>
        <r>
          <rPr>
            <sz val="11"/>
            <color theme="1"/>
            <rFont val="Calibri"/>
            <family val="2"/>
            <scheme val="minor"/>
          </rPr>
          <t>======
ID#AAABDq5TrO4
SPCI    (2023-11-09 13:07:34)
mbre completo de la meta proyecto de inversión, igual como quedo en inversión</t>
        </r>
      </text>
    </comment>
    <comment ref="C8" authorId="0" shapeId="0" xr:uid="{00000000-0006-0000-0500-000006000000}">
      <text>
        <r>
          <rPr>
            <sz val="11"/>
            <color theme="1"/>
            <rFont val="Calibri"/>
            <family val="2"/>
            <scheme val="minor"/>
          </rPr>
          <t>======
ID#AAABDq5TrGw
SPCI    (2023-11-09 13:07:33)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0000000-0006-0000-0500-000007000000}">
      <text>
        <r>
          <rPr>
            <sz val="11"/>
            <color theme="1"/>
            <rFont val="Calibri"/>
            <family val="2"/>
            <scheme val="minor"/>
          </rPr>
          <t>======
ID#AAABDq5TrGE
SPCI    (2023-11-09 13:07:33)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00000000-0006-0000-0500-000008000000}">
      <text>
        <r>
          <rPr>
            <sz val="11"/>
            <color theme="1"/>
            <rFont val="Calibri"/>
            <family val="2"/>
            <scheme val="minor"/>
          </rPr>
          <t>======
ID#AAABDq5TrWg
SPCI    (2023-11-09 13:07:33)
magnitud física y presupuestal  programada para al inicio del plan de desarrollo.</t>
        </r>
      </text>
    </comment>
    <comment ref="S9" authorId="0" shapeId="0" xr:uid="{00000000-0006-0000-0500-000009000000}">
      <text>
        <r>
          <rPr>
            <sz val="11"/>
            <color theme="1"/>
            <rFont val="Calibri"/>
            <family val="2"/>
            <scheme val="minor"/>
          </rPr>
          <t>======
ID#AAABDq5TqzY
Paola Andrea Rodríguez Barrero    (2023-11-09 13:07:33)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0" shapeId="0" xr:uid="{00000000-0006-0000-0500-00000A000000}">
      <text>
        <r>
          <rPr>
            <sz val="11"/>
            <color theme="1"/>
            <rFont val="Calibri"/>
            <family val="2"/>
            <scheme val="minor"/>
          </rPr>
          <t>======
ID#AAABDq5Tq-4
Paola Andrea Rodríguez Barrero    (2023-11-09 13:07:34)
En este campo se deberán registrar las observaciones y/o acciones desarrolladas en el punto de inversión en el trimestre reportado.</t>
        </r>
      </text>
    </comment>
    <comment ref="AJ9" authorId="0" shapeId="0" xr:uid="{00000000-0006-0000-0500-00000B000000}">
      <text>
        <r>
          <rPr>
            <sz val="11"/>
            <color theme="1"/>
            <rFont val="Calibri"/>
            <family val="2"/>
            <scheme val="minor"/>
          </rPr>
          <t>======
ID#AAABDq5Tro8
Paola Andrea Rodríguez Barreo    (2023-11-09 13:07:34)
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0" shapeId="0" xr:uid="{00000000-0006-0000-0500-00000C000000}">
      <text>
        <r>
          <rPr>
            <sz val="11"/>
            <color theme="1"/>
            <rFont val="Calibri"/>
            <family val="2"/>
            <scheme val="minor"/>
          </rPr>
          <t>======
ID#AAABDq5Trv0
Paola Andrea Rodríguez Barrero    (2023-11-09 13:07:33)
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t>
        </r>
      </text>
    </comment>
    <comment ref="AL9" authorId="0" shapeId="0" xr:uid="{00000000-0006-0000-0500-00000D000000}">
      <text>
        <r>
          <rPr>
            <sz val="11"/>
            <color theme="1"/>
            <rFont val="Calibri"/>
            <family val="2"/>
            <scheme val="minor"/>
          </rPr>
          <t>======
ID#AAABDq5Tq-k
Paola Andrea Rodríguez Barrero    (2023-11-09 13:07:34)
En este campo se registra si el punto de inversión está relacionado espacialmente con un polígono de mejoramiento ya sea por que se encuentra directamente en el área definida o si se encuentra en el área de influencia de la acción en el punto de inversión.</t>
        </r>
      </text>
    </comment>
    <comment ref="AM9" authorId="0" shapeId="0" xr:uid="{00000000-0006-0000-0500-00000E000000}">
      <text>
        <r>
          <rPr>
            <sz val="11"/>
            <color theme="1"/>
            <rFont val="Calibri"/>
            <family val="2"/>
            <scheme val="minor"/>
          </rPr>
          <t>======
ID#AAABDq5TrgE
Paola Andrea Rodríguez Barrero    (2023-11-09 13:07:34)
En este campo se registra si la acción en el punto de inversión apunta a una política pública. Ej: Política pública poblacional, diversidad, humedales, entre otras.</t>
        </r>
      </text>
    </comment>
    <comment ref="AN9" authorId="0" shapeId="0" xr:uid="{00000000-0006-0000-0500-00000F000000}">
      <text>
        <r>
          <rPr>
            <sz val="11"/>
            <color theme="1"/>
            <rFont val="Calibri"/>
            <family val="2"/>
            <scheme val="minor"/>
          </rPr>
          <t>======
ID#AAABDq5TraY
SPCI    (2023-11-09 13:07:33)
Número de personas identificadas en la localización asociada al punto de inversión.</t>
        </r>
      </text>
    </comment>
    <comment ref="AR9" authorId="0" shapeId="0" xr:uid="{00000000-0006-0000-0500-000010000000}">
      <text>
        <r>
          <rPr>
            <sz val="11"/>
            <color theme="1"/>
            <rFont val="Calibri"/>
            <family val="2"/>
            <scheme val="minor"/>
          </rPr>
          <t>======
ID#AAABDq5TrbY
YULIED.PENARANDA    (2023-11-09 13:07:34)
a. 0-5 (primera infancia)
b.6-12 (Infancia)
c. 13-17 (Adolescencia)
d. 18-26 (Juventud)
e. 27-59 (adultez)
f. 60+Adelante (Envejecimiento y vejez)
z. Grupo etario sin definir</t>
        </r>
      </text>
    </comment>
    <comment ref="AT9" authorId="0" shapeId="0" xr:uid="{00000000-0006-0000-0500-000011000000}">
      <text>
        <r>
          <rPr>
            <sz val="11"/>
            <color theme="1"/>
            <rFont val="Calibri"/>
            <family val="2"/>
            <scheme val="minor"/>
          </rPr>
          <t>======
ID#AAABDq5TrRQ
SPCI    (2023-11-09 13:07:33)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500-000012000000}">
      <text>
        <r>
          <rPr>
            <sz val="11"/>
            <color theme="1"/>
            <rFont val="Calibri"/>
            <family val="2"/>
            <scheme val="minor"/>
          </rPr>
          <t>======
ID#AAABDq5TrFo
YULIED.PENARANDA    (2023-11-09 13:07:33)
Afrocolombianos, palenqueros y negritudes
Indígenas
No identifica grupo étnicos
Otros grupos étnicos
ROM
Raizales</t>
        </r>
      </text>
    </comment>
    <comment ref="AX9" authorId="0" shapeId="0" xr:uid="{00000000-0006-0000-0500-000013000000}">
      <text>
        <r>
          <rPr>
            <sz val="11"/>
            <color theme="1"/>
            <rFont val="Calibri"/>
            <family val="2"/>
            <scheme val="minor"/>
          </rPr>
          <t>======
ID#AAABDq5Trl8
SPCI    (2023-11-09 13:07:33)
Se relaciona con el seguimiento a la población de acuerdo a la magnitud de la meta.</t>
        </r>
      </text>
    </comment>
    <comment ref="D10" authorId="0" shapeId="0" xr:uid="{00000000-0006-0000-0500-000014000000}">
      <text>
        <r>
          <rPr>
            <sz val="11"/>
            <color theme="1"/>
            <rFont val="Calibri"/>
            <family val="2"/>
            <scheme val="minor"/>
          </rPr>
          <t>======
ID#AAABDq5TrTw
YULIED.PENARANDA    (2023-11-09 13:07:33)
Magnitud física de la meta proyecto de inversión, a programar o a realizar seguimiento, según la columna en que se reporte.</t>
        </r>
      </text>
    </comment>
    <comment ref="D11" authorId="0" shapeId="0" xr:uid="{00000000-0006-0000-0500-000015000000}">
      <text>
        <r>
          <rPr>
            <sz val="11"/>
            <color theme="1"/>
            <rFont val="Calibri"/>
            <family val="2"/>
            <scheme val="minor"/>
          </rPr>
          <t>======
ID#AAABDq5TrRE
YULIED.PENARANDA    (2023-11-09 13:07:33)
Recursos presupuestales asignados para la vigencia en programación  y/o seguimiento, según la columna en que se reporte</t>
        </r>
      </text>
    </comment>
    <comment ref="D12" authorId="0" shapeId="0" xr:uid="{00000000-0006-0000-0500-000016000000}">
      <text>
        <r>
          <rPr>
            <sz val="11"/>
            <color theme="1"/>
            <rFont val="Calibri"/>
            <family val="2"/>
            <scheme val="minor"/>
          </rPr>
          <t>======
ID#AAABDq5Trxg
YULIED.PENARANDA    (2023-11-09 13:07:33)
Magnitud física asociada a la reservas,  aplica para las meta con tipología suma, las cuales se pueden desagregar por los compromisos contraídos que al cierre de la vigencia fiscal no  se cumplierón.</t>
        </r>
      </text>
    </comment>
    <comment ref="D13" authorId="0" shapeId="0" xr:uid="{00000000-0006-0000-0500-000017000000}">
      <text>
        <r>
          <rPr>
            <sz val="11"/>
            <color theme="1"/>
            <rFont val="Calibri"/>
            <family val="2"/>
            <scheme val="minor"/>
          </rPr>
          <t>======
ID#AAABDq5TrAM
YULIED.PENARANDA    (2023-11-09 13:07:33)
Son compromisos legalmente contraídos que al cierre de la vigencia fiscal no se han atendido por no haberse completado las formalidades necesarias que hagan exigible el pago al terminarse el año.</t>
        </r>
      </text>
    </comment>
    <comment ref="D14" authorId="0" shapeId="0" xr:uid="{00000000-0006-0000-0500-000018000000}">
      <text>
        <r>
          <rPr>
            <sz val="11"/>
            <color theme="1"/>
            <rFont val="Calibri"/>
            <family val="2"/>
            <scheme val="minor"/>
          </rPr>
          <t>======
ID#AAABDq5TrX8
YULIED.PENARANDA    (2023-11-09 13:07:33)
Para las metas de tipología suma (vigencia *reservas). Para las demás tipos de metas se asocia el mismo dato de la vigencia.</t>
        </r>
      </text>
    </comment>
    <comment ref="D15" authorId="0" shapeId="0" xr:uid="{00000000-0006-0000-0500-000019000000}">
      <text>
        <r>
          <rPr>
            <sz val="11"/>
            <color theme="1"/>
            <rFont val="Calibri"/>
            <family val="2"/>
            <scheme val="minor"/>
          </rPr>
          <t>======
ID#AAABDq5Tq3M
YULIED.PENARANDA    (2023-11-09 13:07:34)
Se suma los recursos presupuestales (vigencia + reservas)</t>
        </r>
      </text>
    </comment>
    <comment ref="D16" authorId="0" shapeId="0" xr:uid="{00000000-0006-0000-0500-00001A000000}">
      <text>
        <r>
          <rPr>
            <sz val="11"/>
            <color theme="1"/>
            <rFont val="Calibri"/>
            <family val="2"/>
            <scheme val="minor"/>
          </rPr>
          <t>======
ID#AAABDq5Trh4
YULIED.PENARANDA    (2023-11-09 13:07:34)
Magnitud física de la meta proyecto de inversión, a programar o a realizar seguimiento, según la columna en que se reporte.</t>
        </r>
      </text>
    </comment>
    <comment ref="D17" authorId="0" shapeId="0" xr:uid="{00000000-0006-0000-0500-00001B000000}">
      <text>
        <r>
          <rPr>
            <sz val="11"/>
            <color theme="1"/>
            <rFont val="Calibri"/>
            <family val="2"/>
            <scheme val="minor"/>
          </rPr>
          <t>======
ID#AAABDq5TrTU
YULIED.PENARANDA    (2023-11-09 13:07:34)
Recursos presupuestales asignados para la vigencia en programación  y/o seguimiento, según la columna en que se reporte</t>
        </r>
      </text>
    </comment>
    <comment ref="D18" authorId="0" shapeId="0" xr:uid="{00000000-0006-0000-0500-00001C000000}">
      <text>
        <r>
          <rPr>
            <sz val="11"/>
            <color theme="1"/>
            <rFont val="Calibri"/>
            <family val="2"/>
            <scheme val="minor"/>
          </rPr>
          <t>======
ID#AAABDq5TrWs
YULIED.PENARANDA    (2023-11-09 13:07:33)
Magnitud física asociada a la reservas,  aplica para las meta con tipología suma, las cuales se pueden desagregar por los compromisos contraídos que al cierre de la vigencia fiscal no  se cumplierón.</t>
        </r>
      </text>
    </comment>
    <comment ref="D19" authorId="0" shapeId="0" xr:uid="{00000000-0006-0000-0500-00001D000000}">
      <text>
        <r>
          <rPr>
            <sz val="11"/>
            <color theme="1"/>
            <rFont val="Calibri"/>
            <family val="2"/>
            <scheme val="minor"/>
          </rPr>
          <t>======
ID#AAABDq5Tq3w
YULIED.PENARANDA    (2023-11-09 13:07:33)
Son compromisos legalmente contraídos que al cierre de la vigencia fiscal no se han atendido por no haberse completado las formalidades necesarias que hagan exigible el pago al terminarse el año.</t>
        </r>
      </text>
    </comment>
    <comment ref="D20" authorId="0" shapeId="0" xr:uid="{00000000-0006-0000-0500-00001E000000}">
      <text>
        <r>
          <rPr>
            <sz val="11"/>
            <color theme="1"/>
            <rFont val="Calibri"/>
            <family val="2"/>
            <scheme val="minor"/>
          </rPr>
          <t>======
ID#AAABDq5TrDw
YULIED.PENARANDA    (2023-11-09 13:07:34)
Para las metas de tipología suma (vigencia *reservas). Para las demás tipos de metas se asocia el mismo dato de la vigencia.</t>
        </r>
      </text>
    </comment>
    <comment ref="D21" authorId="0" shapeId="0" xr:uid="{00000000-0006-0000-0500-00001F000000}">
      <text>
        <r>
          <rPr>
            <sz val="11"/>
            <color theme="1"/>
            <rFont val="Calibri"/>
            <family val="2"/>
            <scheme val="minor"/>
          </rPr>
          <t>======
ID#AAABDq5Tq4Y
YULIED.PENARANDA    (2023-11-09 13:07:34)
Se suma los recursos presupuestales (vigencia + reservas)</t>
        </r>
      </text>
    </comment>
    <comment ref="D22" authorId="0" shapeId="0" xr:uid="{00000000-0006-0000-0500-000020000000}">
      <text>
        <r>
          <rPr>
            <sz val="11"/>
            <color theme="1"/>
            <rFont val="Calibri"/>
            <family val="2"/>
            <scheme val="minor"/>
          </rPr>
          <t>======
ID#AAABDq5TrSI
YULIED.PENARANDA    (2023-11-09 13:07:33)
Magnitud física de la meta proyecto de inversión, a programar o a realizar seguimiento, según la columna en que se reporte.</t>
        </r>
      </text>
    </comment>
    <comment ref="D23" authorId="0" shapeId="0" xr:uid="{00000000-0006-0000-0500-000021000000}">
      <text>
        <r>
          <rPr>
            <sz val="11"/>
            <color theme="1"/>
            <rFont val="Calibri"/>
            <family val="2"/>
            <scheme val="minor"/>
          </rPr>
          <t>======
ID#AAABDq5Tq4c
YULIED.PENARANDA    (2023-11-09 13:07:34)
Recursos presupuestales asignados para la vigencia en programación  y/o seguimiento, según la columna en que se reporte</t>
        </r>
      </text>
    </comment>
    <comment ref="D24" authorId="0" shapeId="0" xr:uid="{00000000-0006-0000-0500-000022000000}">
      <text>
        <r>
          <rPr>
            <sz val="11"/>
            <color theme="1"/>
            <rFont val="Calibri"/>
            <family val="2"/>
            <scheme val="minor"/>
          </rPr>
          <t>======
ID#AAABDq5Trb0
YULIED.PENARANDA    (2023-11-09 13:07:34)
Magnitud física asociada a la reservas,  aplica para las meta con tipología suma, las cuales se pueden desagregar por los compromisos contraídos que al cierre de la vigencia fiscal no  se cumplierón.</t>
        </r>
      </text>
    </comment>
    <comment ref="D25" authorId="0" shapeId="0" xr:uid="{00000000-0006-0000-0500-000023000000}">
      <text>
        <r>
          <rPr>
            <sz val="11"/>
            <color theme="1"/>
            <rFont val="Calibri"/>
            <family val="2"/>
            <scheme val="minor"/>
          </rPr>
          <t>======
ID#AAABDq5Trb8
YULIED.PENARANDA    (2023-11-09 13:07:33)
Son compromisos legalmente contraídos que al cierre de la vigencia fiscal no se han atendido por no haberse completado las formalidades necesarias que hagan exigible el pago al terminarse el año.</t>
        </r>
      </text>
    </comment>
    <comment ref="D26" authorId="0" shapeId="0" xr:uid="{00000000-0006-0000-0500-000024000000}">
      <text>
        <r>
          <rPr>
            <sz val="11"/>
            <color theme="1"/>
            <rFont val="Calibri"/>
            <family val="2"/>
            <scheme val="minor"/>
          </rPr>
          <t>======
ID#AAABDq5Tqvo
YULIED.PENARANDA    (2023-11-09 13:07:34)
Para las metas de tipología suma (vigencia *reservas). Para las demás tipos de metas se asocia el mismo dato de la vigencia.</t>
        </r>
      </text>
    </comment>
    <comment ref="D27" authorId="0" shapeId="0" xr:uid="{00000000-0006-0000-0500-000025000000}">
      <text>
        <r>
          <rPr>
            <sz val="11"/>
            <color theme="1"/>
            <rFont val="Calibri"/>
            <family val="2"/>
            <scheme val="minor"/>
          </rPr>
          <t>======
ID#AAABDq5Tq-8
YULIED.PENARANDA    (2023-11-09 13:07:34)
Se suma los recursos presupuestales (vigencia + reservas)</t>
        </r>
      </text>
    </comment>
    <comment ref="D28" authorId="0" shapeId="0" xr:uid="{00000000-0006-0000-0500-000026000000}">
      <text>
        <r>
          <rPr>
            <sz val="11"/>
            <color theme="1"/>
            <rFont val="Calibri"/>
            <family val="2"/>
            <scheme val="minor"/>
          </rPr>
          <t>======
ID#AAABDq5TrGA
YULIED.PENARANDA    (2023-11-09 13:07:34)
Magnitud física de la meta proyecto de inversión, a programar o a realizar seguimiento, según la columna en que se reporte.</t>
        </r>
      </text>
    </comment>
    <comment ref="D29" authorId="0" shapeId="0" xr:uid="{00000000-0006-0000-0500-000027000000}">
      <text>
        <r>
          <rPr>
            <sz val="11"/>
            <color theme="1"/>
            <rFont val="Calibri"/>
            <family val="2"/>
            <scheme val="minor"/>
          </rPr>
          <t>======
ID#AAABDq5Trh8
YULIED.PENARANDA    (2023-11-09 13:07:34)
Recursos presupuestales asignados para la vigencia en programación  y/o seguimiento, según la columna en que se reporte</t>
        </r>
      </text>
    </comment>
    <comment ref="D30" authorId="0" shapeId="0" xr:uid="{00000000-0006-0000-0500-000028000000}">
      <text>
        <r>
          <rPr>
            <sz val="11"/>
            <color theme="1"/>
            <rFont val="Calibri"/>
            <family val="2"/>
            <scheme val="minor"/>
          </rPr>
          <t>======
ID#AAABDq5TrNg
YULIED.PENARANDA    (2023-11-09 13:07:33)
Magnitud física asociada a la reservas,  aplica para las meta con tipología suma, las cuales se pueden desagregar por los compromisos contraídos que al cierre de la vigencia fiscal no  se cumplierón.</t>
        </r>
      </text>
    </comment>
    <comment ref="D31" authorId="0" shapeId="0" xr:uid="{00000000-0006-0000-0500-000029000000}">
      <text>
        <r>
          <rPr>
            <sz val="11"/>
            <color theme="1"/>
            <rFont val="Calibri"/>
            <family val="2"/>
            <scheme val="minor"/>
          </rPr>
          <t>======
ID#AAABDq5TrJk
YULIED.PENARANDA    (2023-11-09 13:07:33)
Son compromisos legalmente contraídos que al cierre de la vigencia fiscal no se han atendido por no haberse completado las formalidades necesarias que hagan exigible el pago al terminarse el año.</t>
        </r>
      </text>
    </comment>
    <comment ref="D32" authorId="0" shapeId="0" xr:uid="{00000000-0006-0000-0500-00002A000000}">
      <text>
        <r>
          <rPr>
            <sz val="11"/>
            <color theme="1"/>
            <rFont val="Calibri"/>
            <family val="2"/>
            <scheme val="minor"/>
          </rPr>
          <t>======
ID#AAABDq5Tq4s
YULIED.PENARANDA    (2023-11-09 13:07:34)
Para las metas de tipología suma (vigencia *reservas). Para las demás tipos de metas se asocia el mismo dato de la vigencia.</t>
        </r>
      </text>
    </comment>
    <comment ref="D33" authorId="0" shapeId="0" xr:uid="{00000000-0006-0000-0500-00002B000000}">
      <text>
        <r>
          <rPr>
            <sz val="11"/>
            <color theme="1"/>
            <rFont val="Calibri"/>
            <family val="2"/>
            <scheme val="minor"/>
          </rPr>
          <t>======
ID#AAABDq5Tq_Q
YULIED.PENARANDA    (2023-11-09 13:07:34)
Se suma los recursos presupuestales (vigencia + reservas)</t>
        </r>
      </text>
    </comment>
    <comment ref="D34" authorId="0" shapeId="0" xr:uid="{00000000-0006-0000-0500-00002C000000}">
      <text>
        <r>
          <rPr>
            <sz val="11"/>
            <color theme="1"/>
            <rFont val="Calibri"/>
            <family val="2"/>
            <scheme val="minor"/>
          </rPr>
          <t>======
ID#AAABDq5Tq2A
YULIED.PENARANDA    (2023-11-09 13:07:34)
Magnitud física de la meta proyecto de inversión, a programar o a realizar seguimiento, según la columna en que se reporte.</t>
        </r>
      </text>
    </comment>
    <comment ref="D35" authorId="0" shapeId="0" xr:uid="{00000000-0006-0000-0500-00002D000000}">
      <text>
        <r>
          <rPr>
            <sz val="11"/>
            <color theme="1"/>
            <rFont val="Calibri"/>
            <family val="2"/>
            <scheme val="minor"/>
          </rPr>
          <t>======
ID#AAABDq5TrCg
YULIED.PENARANDA    (2023-11-09 13:07:34)
Recursos presupuestales asignados para la vigencia en programación  y/o seguimiento, según la columna en que se reporte</t>
        </r>
      </text>
    </comment>
    <comment ref="D36" authorId="0" shapeId="0" xr:uid="{00000000-0006-0000-0500-00002E000000}">
      <text>
        <r>
          <rPr>
            <sz val="11"/>
            <color theme="1"/>
            <rFont val="Calibri"/>
            <family val="2"/>
            <scheme val="minor"/>
          </rPr>
          <t>======
ID#AAABDq5TrG8
YULIED.PENARANDA    (2023-11-09 13:07:33)
Magnitud física asociada a la reservas,  aplica para las meta con tipología suma, las cuales se pueden desagregar por los compromisos contraídos que al cierre de la vigencia fiscal no  se cumplierón.</t>
        </r>
      </text>
    </comment>
    <comment ref="D37" authorId="0" shapeId="0" xr:uid="{00000000-0006-0000-0500-00002F000000}">
      <text>
        <r>
          <rPr>
            <sz val="11"/>
            <color theme="1"/>
            <rFont val="Calibri"/>
            <family val="2"/>
            <scheme val="minor"/>
          </rPr>
          <t>======
ID#AAABDq5Trdg
YULIED.PENARANDA    (2023-11-09 13:07:34)
Son compromisos legalmente contraídos que al cierre de la vigencia fiscal no se han atendido por no haberse completado las formalidades necesarias que hagan exigible el pago al terminarse el año.</t>
        </r>
      </text>
    </comment>
    <comment ref="D38" authorId="0" shapeId="0" xr:uid="{00000000-0006-0000-0500-000030000000}">
      <text>
        <r>
          <rPr>
            <sz val="11"/>
            <color theme="1"/>
            <rFont val="Calibri"/>
            <family val="2"/>
            <scheme val="minor"/>
          </rPr>
          <t>======
ID#AAABDq5TrB0
YULIED.PENARANDA    (2023-11-09 13:07:34)
Para las metas de tipología suma (vigencia *reservas). Para las demás tipos de metas se asocia el mismo dato de la vigencia.</t>
        </r>
      </text>
    </comment>
    <comment ref="D39" authorId="0" shapeId="0" xr:uid="{00000000-0006-0000-0500-000031000000}">
      <text>
        <r>
          <rPr>
            <sz val="11"/>
            <color theme="1"/>
            <rFont val="Calibri"/>
            <family val="2"/>
            <scheme val="minor"/>
          </rPr>
          <t>======
ID#AAABDq5Tras
YULIED.PENARANDA    (2023-11-09 13:07:33)
Se suma los recursos presupuestales (vigencia + reservas)</t>
        </r>
      </text>
    </comment>
    <comment ref="D40" authorId="0" shapeId="0" xr:uid="{00000000-0006-0000-0500-000032000000}">
      <text>
        <r>
          <rPr>
            <sz val="11"/>
            <color theme="1"/>
            <rFont val="Calibri"/>
            <family val="2"/>
            <scheme val="minor"/>
          </rPr>
          <t>======
ID#AAABDq5Tqxk
YULIED.PENARANDA    (2023-11-09 13:07:34)
Magnitud física de la meta proyecto de inversión, a programar o a realizar seguimiento, según la columna en que se reporte.</t>
        </r>
      </text>
    </comment>
    <comment ref="D41" authorId="0" shapeId="0" xr:uid="{00000000-0006-0000-0500-000033000000}">
      <text>
        <r>
          <rPr>
            <sz val="11"/>
            <color theme="1"/>
            <rFont val="Calibri"/>
            <family val="2"/>
            <scheme val="minor"/>
          </rPr>
          <t>======
ID#AAABDq5TrPE
YULIED.PENARANDA    (2023-11-09 13:07:34)
Recursos presupuestales asignados para la vigencia en programación  y/o seguimiento, según la columna en que se reporte</t>
        </r>
      </text>
    </comment>
    <comment ref="D42" authorId="0" shapeId="0" xr:uid="{00000000-0006-0000-0500-000034000000}">
      <text>
        <r>
          <rPr>
            <sz val="11"/>
            <color theme="1"/>
            <rFont val="Calibri"/>
            <family val="2"/>
            <scheme val="minor"/>
          </rPr>
          <t>======
ID#AAABDq5TrSo
YULIED.PENARANDA    (2023-11-09 13:07:34)
Magnitud física asociada a la reservas,  aplica para las meta con tipología suma, las cuales se pueden desagregar por los compromisos contraídos que al cierre de la vigencia fiscal no  se cumplierón.</t>
        </r>
      </text>
    </comment>
    <comment ref="D43" authorId="0" shapeId="0" xr:uid="{00000000-0006-0000-0500-000035000000}">
      <text>
        <r>
          <rPr>
            <sz val="11"/>
            <color theme="1"/>
            <rFont val="Calibri"/>
            <family val="2"/>
            <scheme val="minor"/>
          </rPr>
          <t>======
ID#AAABDq5TrZY
YULIED.PENARANDA    (2023-11-09 13:07:33)
Son compromisos legalmente contraídos que al cierre de la vigencia fiscal no se han atendido por no haberse completado las formalidades necesarias que hagan exigible el pago al terminarse el año.</t>
        </r>
      </text>
    </comment>
    <comment ref="D44" authorId="0" shapeId="0" xr:uid="{00000000-0006-0000-0500-000036000000}">
      <text>
        <r>
          <rPr>
            <sz val="11"/>
            <color theme="1"/>
            <rFont val="Calibri"/>
            <family val="2"/>
            <scheme val="minor"/>
          </rPr>
          <t>======
ID#AAABDq5TrZI
YULIED.PENARANDA    (2023-11-09 13:07:34)
Para las metas de tipología suma (vigencia *reservas). Para las demás tipos de metas se asocia el mismo dato de la vigencia.</t>
        </r>
      </text>
    </comment>
    <comment ref="D45" authorId="0" shapeId="0" xr:uid="{00000000-0006-0000-0500-000037000000}">
      <text>
        <r>
          <rPr>
            <sz val="11"/>
            <color theme="1"/>
            <rFont val="Calibri"/>
            <family val="2"/>
            <scheme val="minor"/>
          </rPr>
          <t>======
ID#AAABDq5Tq7E
YULIED.PENARANDA    (2023-11-09 13:07:34)
Se suma los recursos presupuestales (vigencia + reservas)</t>
        </r>
      </text>
    </comment>
    <comment ref="D46" authorId="0" shapeId="0" xr:uid="{00000000-0006-0000-0500-000038000000}">
      <text>
        <r>
          <rPr>
            <sz val="11"/>
            <color theme="1"/>
            <rFont val="Calibri"/>
            <family val="2"/>
            <scheme val="minor"/>
          </rPr>
          <t>======
ID#AAABDq5TrEM
YULIED.PENARANDA    (2023-11-09 13:07:34)
Magnitud física de la meta proyecto de inversión, a programar o a realizar seguimiento, según la columna en que se reporte.</t>
        </r>
      </text>
    </comment>
    <comment ref="D47" authorId="0" shapeId="0" xr:uid="{00000000-0006-0000-0500-000039000000}">
      <text>
        <r>
          <rPr>
            <sz val="11"/>
            <color theme="1"/>
            <rFont val="Calibri"/>
            <family val="2"/>
            <scheme val="minor"/>
          </rPr>
          <t>======
ID#AAABDq5Trws
YULIED.PENARANDA    (2023-11-09 13:07:33)
Recursos presupuestales asignados para la vigencia en programación  y/o seguimiento, según la columna en que se reporte</t>
        </r>
      </text>
    </comment>
    <comment ref="D48" authorId="0" shapeId="0" xr:uid="{00000000-0006-0000-0500-00003A000000}">
      <text>
        <r>
          <rPr>
            <sz val="11"/>
            <color theme="1"/>
            <rFont val="Calibri"/>
            <family val="2"/>
            <scheme val="minor"/>
          </rPr>
          <t>======
ID#AAABDq5TrVA
YULIED.PENARANDA    (2023-11-09 13:07:34)
Magnitud física asociada a la reservas,  aplica para las meta con tipología suma, las cuales se pueden desagregar por los compromisos contraídos que al cierre de la vigencia fiscal no  se cumplierón.</t>
        </r>
      </text>
    </comment>
    <comment ref="D49" authorId="0" shapeId="0" xr:uid="{00000000-0006-0000-0500-00003B000000}">
      <text>
        <r>
          <rPr>
            <sz val="11"/>
            <color theme="1"/>
            <rFont val="Calibri"/>
            <family val="2"/>
            <scheme val="minor"/>
          </rPr>
          <t>======
ID#AAABDq5TrKs
YULIED.PENARANDA    (2023-11-09 13:07:33)
Son compromisos legalmente contraídos que al cierre de la vigencia fiscal no se han atendido por no haberse completado las formalidades necesarias que hagan exigible el pago al terminarse el año.</t>
        </r>
      </text>
    </comment>
    <comment ref="D50" authorId="0" shapeId="0" xr:uid="{00000000-0006-0000-0500-00003C000000}">
      <text>
        <r>
          <rPr>
            <sz val="11"/>
            <color theme="1"/>
            <rFont val="Calibri"/>
            <family val="2"/>
            <scheme val="minor"/>
          </rPr>
          <t>======
ID#AAABDq5Tq54
YULIED.PENARANDA    (2023-11-09 13:07:33)
Para las metas de tipología suma (vigencia *reservas). Para las demás tipos de metas se asocia el mismo dato de la vigencia.</t>
        </r>
      </text>
    </comment>
    <comment ref="D51" authorId="0" shapeId="0" xr:uid="{00000000-0006-0000-0500-00003D000000}">
      <text>
        <r>
          <rPr>
            <sz val="11"/>
            <color theme="1"/>
            <rFont val="Calibri"/>
            <family val="2"/>
            <scheme val="minor"/>
          </rPr>
          <t>======
ID#AAABDq5Trxw
YULIED.PENARANDA    (2023-11-09 13:07:34)
Se suma los recursos presupuestales (vigencia + reservas)</t>
        </r>
      </text>
    </comment>
    <comment ref="D52" authorId="0" shapeId="0" xr:uid="{00000000-0006-0000-0500-00003E000000}">
      <text>
        <r>
          <rPr>
            <sz val="11"/>
            <color theme="1"/>
            <rFont val="Calibri"/>
            <family val="2"/>
            <scheme val="minor"/>
          </rPr>
          <t>======
ID#AAABDq5TrxI
YULIED.PENARANDA    (2023-11-09 13:07:34)
Magnitud física de la meta proyecto de inversión, a programar o a realizar seguimiento, según la columna en que se reporte.</t>
        </r>
      </text>
    </comment>
    <comment ref="D53" authorId="0" shapeId="0" xr:uid="{00000000-0006-0000-0500-00003F000000}">
      <text>
        <r>
          <rPr>
            <sz val="11"/>
            <color theme="1"/>
            <rFont val="Calibri"/>
            <family val="2"/>
            <scheme val="minor"/>
          </rPr>
          <t>======
ID#AAABDq5Tq_o
YULIED.PENARANDA    (2023-11-09 13:07:33)
Recursos presupuestales asignados para la vigencia en programación  y/o seguimiento, según la columna en que se reporte</t>
        </r>
      </text>
    </comment>
    <comment ref="D54" authorId="0" shapeId="0" xr:uid="{00000000-0006-0000-0500-000040000000}">
      <text>
        <r>
          <rPr>
            <sz val="11"/>
            <color theme="1"/>
            <rFont val="Calibri"/>
            <family val="2"/>
            <scheme val="minor"/>
          </rPr>
          <t>======
ID#AAABDq5Tqyw
YULIED.PENARANDA    (2023-11-09 13:07:34)
Magnitud física asociada a la reservas,  aplica para las meta con tipología suma, las cuales se pueden desagregar por los compromisos contraídos que al cierre de la vigencia fiscal no  se cumplierón.</t>
        </r>
      </text>
    </comment>
    <comment ref="D55" authorId="0" shapeId="0" xr:uid="{00000000-0006-0000-0500-000041000000}">
      <text>
        <r>
          <rPr>
            <sz val="11"/>
            <color theme="1"/>
            <rFont val="Calibri"/>
            <family val="2"/>
            <scheme val="minor"/>
          </rPr>
          <t>======
ID#AAABDq5Tq8E
YULIED.PENARANDA    (2023-11-09 13:07:34)
Son compromisos legalmente contraídos que al cierre de la vigencia fiscal no se han atendido por no haberse completado las formalidades necesarias que hagan exigible el pago al terminarse el año.</t>
        </r>
      </text>
    </comment>
    <comment ref="D56" authorId="0" shapeId="0" xr:uid="{00000000-0006-0000-0500-000042000000}">
      <text>
        <r>
          <rPr>
            <sz val="11"/>
            <color theme="1"/>
            <rFont val="Calibri"/>
            <family val="2"/>
            <scheme val="minor"/>
          </rPr>
          <t>======
ID#AAABDq5TqpU
YULIED.PENARANDA    (2023-11-09 13:07:33)
Para las metas de tipología suma (vigencia *reservas). Para las demás tipos de metas se asocia el mismo dato de la vigencia.</t>
        </r>
      </text>
    </comment>
    <comment ref="D57" authorId="0" shapeId="0" xr:uid="{00000000-0006-0000-0500-000043000000}">
      <text>
        <r>
          <rPr>
            <sz val="11"/>
            <color theme="1"/>
            <rFont val="Calibri"/>
            <family val="2"/>
            <scheme val="minor"/>
          </rPr>
          <t>======
ID#AAABDq5Trko
YULIED.PENARANDA    (2023-11-09 13:07:34)
Se suma los recursos presupuestales (vigencia + reservas)</t>
        </r>
      </text>
    </comment>
    <comment ref="D58" authorId="0" shapeId="0" xr:uid="{00000000-0006-0000-0500-000044000000}">
      <text>
        <r>
          <rPr>
            <sz val="11"/>
            <color theme="1"/>
            <rFont val="Calibri"/>
            <family val="2"/>
            <scheme val="minor"/>
          </rPr>
          <t>======
ID#AAABDq5TrVY
YULIED.PENARANDA    (2023-11-09 13:07:34)
Magnitud física de la meta proyecto de inversión, a programar o a realizar seguimiento, según la columna en que se reporte.</t>
        </r>
      </text>
    </comment>
    <comment ref="D59" authorId="0" shapeId="0" xr:uid="{00000000-0006-0000-0500-000045000000}">
      <text>
        <r>
          <rPr>
            <sz val="11"/>
            <color theme="1"/>
            <rFont val="Calibri"/>
            <family val="2"/>
            <scheme val="minor"/>
          </rPr>
          <t>======
ID#AAABDq5TrHw
YULIED.PENARANDA    (2023-11-09 13:07:33)
Recursos presupuestales asignados para la vigencia en programación  y/o seguimiento, según la columna en que se reporte</t>
        </r>
      </text>
    </comment>
    <comment ref="D60" authorId="0" shapeId="0" xr:uid="{00000000-0006-0000-0500-000046000000}">
      <text>
        <r>
          <rPr>
            <sz val="11"/>
            <color theme="1"/>
            <rFont val="Calibri"/>
            <family val="2"/>
            <scheme val="minor"/>
          </rPr>
          <t>======
ID#AAABDq5TrRI
YULIED.PENARANDA    (2023-11-09 13:07:34)
Magnitud física asociada a la reservas,  aplica para las meta con tipología suma, las cuales se pueden desagregar por los compromisos contraídos que al cierre de la vigencia fiscal no  se cumplierón.</t>
        </r>
      </text>
    </comment>
    <comment ref="D61" authorId="0" shapeId="0" xr:uid="{00000000-0006-0000-0500-000047000000}">
      <text>
        <r>
          <rPr>
            <sz val="11"/>
            <color theme="1"/>
            <rFont val="Calibri"/>
            <family val="2"/>
            <scheme val="minor"/>
          </rPr>
          <t>======
ID#AAABDq5TrhA
YULIED.PENARANDA    (2023-11-09 13:07:34)
Son compromisos legalmente contraídos que al cierre de la vigencia fiscal no se han atendido por no haberse completado las formalidades necesarias que hagan exigible el pago al terminarse el año.</t>
        </r>
      </text>
    </comment>
    <comment ref="D62" authorId="0" shapeId="0" xr:uid="{00000000-0006-0000-0500-000048000000}">
      <text>
        <r>
          <rPr>
            <sz val="11"/>
            <color theme="1"/>
            <rFont val="Calibri"/>
            <family val="2"/>
            <scheme val="minor"/>
          </rPr>
          <t>======
ID#AAABDq5TrPo
YULIED.PENARANDA    (2023-11-09 13:07:34)
Para las metas de tipología suma (vigencia *reservas). Para las demás tipos de metas se asocia el mismo dato de la vigencia.</t>
        </r>
      </text>
    </comment>
    <comment ref="D63" authorId="0" shapeId="0" xr:uid="{00000000-0006-0000-0500-000049000000}">
      <text>
        <r>
          <rPr>
            <sz val="11"/>
            <color theme="1"/>
            <rFont val="Calibri"/>
            <family val="2"/>
            <scheme val="minor"/>
          </rPr>
          <t>======
ID#AAABDq5Tqz0
YULIED.PENARANDA    (2023-11-09 13:07:33)
Se suma los recursos presupuestales (vigencia + reservas)</t>
        </r>
      </text>
    </comment>
    <comment ref="D64" authorId="0" shapeId="0" xr:uid="{00000000-0006-0000-0500-00004A000000}">
      <text>
        <r>
          <rPr>
            <sz val="11"/>
            <color theme="1"/>
            <rFont val="Calibri"/>
            <family val="2"/>
            <scheme val="minor"/>
          </rPr>
          <t>======
ID#AAABDq5TrDk
YULIED.PENARANDA    (2023-11-09 13:07:34)
Magnitud física de la meta proyecto de inversión, a programar o a realizar seguimiento, según la columna en que se reporte.</t>
        </r>
      </text>
    </comment>
    <comment ref="D65" authorId="0" shapeId="0" xr:uid="{00000000-0006-0000-0500-00004B000000}">
      <text>
        <r>
          <rPr>
            <sz val="11"/>
            <color theme="1"/>
            <rFont val="Calibri"/>
            <family val="2"/>
            <scheme val="minor"/>
          </rPr>
          <t>======
ID#AAABDq5Tqxw
YULIED.PENARANDA    (2023-11-09 13:07:33)
Recursos presupuestales asignados para la vigencia en programación  y/o seguimiento, según la columna en que se reporte</t>
        </r>
      </text>
    </comment>
    <comment ref="AE65" authorId="0" shapeId="0" xr:uid="{00000000-0006-0000-0500-00004C000000}">
      <text>
        <r>
          <rPr>
            <sz val="11"/>
            <color theme="1"/>
            <rFont val="Calibri"/>
            <family val="2"/>
            <scheme val="minor"/>
          </rPr>
          <t>======
ID#AAABDq5Tq9M
Angela    (2023-11-09 13:07:34)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6" authorId="0" shapeId="0" xr:uid="{00000000-0006-0000-0500-00004D000000}">
      <text>
        <r>
          <rPr>
            <sz val="11"/>
            <color theme="1"/>
            <rFont val="Calibri"/>
            <family val="2"/>
            <scheme val="minor"/>
          </rPr>
          <t>======
ID#AAABDq5Trrw
YULIED.PENARANDA    (2023-11-09 13:07:34)
Magnitud física asociada a la reservas,  aplica para las meta con tipología suma, las cuales se pueden desagregar por los compromisos contraídos que al cierre de la vigencia fiscal no  se cumplierón.</t>
        </r>
      </text>
    </comment>
    <comment ref="D67" authorId="0" shapeId="0" xr:uid="{00000000-0006-0000-0500-00004E000000}">
      <text>
        <r>
          <rPr>
            <sz val="11"/>
            <color theme="1"/>
            <rFont val="Calibri"/>
            <family val="2"/>
            <scheme val="minor"/>
          </rPr>
          <t>======
ID#AAABDq5Tqy0
YULIED.PENARANDA    (2023-11-09 13:07:33)
Son compromisos legalmente contraídos que al cierre de la vigencia fiscal no se han atendido por no haberse completado las formalidades necesarias que hagan exigible el pago al terminarse el año.</t>
        </r>
      </text>
    </comment>
    <comment ref="D68" authorId="0" shapeId="0" xr:uid="{00000000-0006-0000-0500-00004F000000}">
      <text>
        <r>
          <rPr>
            <sz val="11"/>
            <color theme="1"/>
            <rFont val="Calibri"/>
            <family val="2"/>
            <scheme val="minor"/>
          </rPr>
          <t>======
ID#AAABDq5Trf4
YULIED.PENARANDA    (2023-11-09 13:07:34)
Para las metas de tipología suma (vigencia *reservas). Para las demás tipos de metas se asocia el mismo dato de la vigencia.</t>
        </r>
      </text>
    </comment>
    <comment ref="D69" authorId="0" shapeId="0" xr:uid="{00000000-0006-0000-0500-000050000000}">
      <text>
        <r>
          <rPr>
            <sz val="11"/>
            <color theme="1"/>
            <rFont val="Calibri"/>
            <family val="2"/>
            <scheme val="minor"/>
          </rPr>
          <t>======
ID#AAABDq5Tru0
YULIED.PENARANDA    (2023-11-09 13:07:34)
Se suma los recursos presupuestales (vigencia + reservas)</t>
        </r>
      </text>
    </comment>
    <comment ref="D70" authorId="0" shapeId="0" xr:uid="{00000000-0006-0000-0500-000051000000}">
      <text>
        <r>
          <rPr>
            <sz val="11"/>
            <color theme="1"/>
            <rFont val="Calibri"/>
            <family val="2"/>
            <scheme val="minor"/>
          </rPr>
          <t>======
ID#AAABDq5TrY8
YULIED.PENARANDA    (2023-11-09 13:07:34)
Magnitud física de la meta proyecto de inversión, a programar o a realizar seguimiento, según la columna en que se reporte.</t>
        </r>
      </text>
    </comment>
    <comment ref="D71" authorId="0" shapeId="0" xr:uid="{00000000-0006-0000-0500-000052000000}">
      <text>
        <r>
          <rPr>
            <sz val="11"/>
            <color theme="1"/>
            <rFont val="Calibri"/>
            <family val="2"/>
            <scheme val="minor"/>
          </rPr>
          <t>======
ID#AAABDq5TrMc
YULIED.PENARANDA    (2023-11-09 13:07:34)
Recursos presupuestales asignados para la vigencia en programación  y/o seguimiento, según la columna en que se reporte</t>
        </r>
      </text>
    </comment>
    <comment ref="D72" authorId="0" shapeId="0" xr:uid="{00000000-0006-0000-0500-000053000000}">
      <text>
        <r>
          <rPr>
            <sz val="11"/>
            <color theme="1"/>
            <rFont val="Calibri"/>
            <family val="2"/>
            <scheme val="minor"/>
          </rPr>
          <t>======
ID#AAABDq5TrhE
YULIED.PENARANDA    (2023-11-09 13:07:34)
Magnitud física asociada a la reservas,  aplica para las meta con tipología suma, las cuales se pueden desagregar por los compromisos contraídos que al cierre de la vigencia fiscal no  se cumplierón.</t>
        </r>
      </text>
    </comment>
    <comment ref="D73" authorId="0" shapeId="0" xr:uid="{00000000-0006-0000-0500-000054000000}">
      <text>
        <r>
          <rPr>
            <sz val="11"/>
            <color theme="1"/>
            <rFont val="Calibri"/>
            <family val="2"/>
            <scheme val="minor"/>
          </rPr>
          <t>======
ID#AAABDq5TrWU
YULIED.PENARANDA    (2023-11-09 13:07:33)
Son compromisos legalmente contraídos que al cierre de la vigencia fiscal no se han atendido por no haberse completado las formalidades necesarias que hagan exigible el pago al terminarse el año.</t>
        </r>
      </text>
    </comment>
    <comment ref="D74" authorId="0" shapeId="0" xr:uid="{00000000-0006-0000-0500-000055000000}">
      <text>
        <r>
          <rPr>
            <sz val="11"/>
            <color theme="1"/>
            <rFont val="Calibri"/>
            <family val="2"/>
            <scheme val="minor"/>
          </rPr>
          <t>======
ID#AAABDq5TrIs
YULIED.PENARANDA    (2023-11-09 13:07:34)
Para las metas de tipología suma (vigencia *reservas). Para las demás tipos de metas se asocia el mismo dato de la vigencia.</t>
        </r>
      </text>
    </comment>
    <comment ref="D75" authorId="0" shapeId="0" xr:uid="{00000000-0006-0000-0500-000056000000}">
      <text>
        <r>
          <rPr>
            <sz val="11"/>
            <color theme="1"/>
            <rFont val="Calibri"/>
            <family val="2"/>
            <scheme val="minor"/>
          </rPr>
          <t>======
ID#AAABDq5TroI
YULIED.PENARANDA    (2023-11-09 13:07:33)
Se suma los recursos presupuestales (vigencia + reservas)</t>
        </r>
      </text>
    </comment>
    <comment ref="D76" authorId="0" shapeId="0" xr:uid="{00000000-0006-0000-0500-000057000000}">
      <text>
        <r>
          <rPr>
            <sz val="11"/>
            <color theme="1"/>
            <rFont val="Calibri"/>
            <family val="2"/>
            <scheme val="minor"/>
          </rPr>
          <t>======
ID#AAABDq5TrQs
YULIED.PENARANDA    (2023-11-09 13:07:34)
Magnitud física de la meta proyecto de inversión, a programar o a realizar seguimiento, según la columna en que se reporte.</t>
        </r>
      </text>
    </comment>
    <comment ref="D77" authorId="0" shapeId="0" xr:uid="{00000000-0006-0000-0500-000058000000}">
      <text>
        <r>
          <rPr>
            <sz val="11"/>
            <color theme="1"/>
            <rFont val="Calibri"/>
            <family val="2"/>
            <scheme val="minor"/>
          </rPr>
          <t>======
ID#AAABDq5Tq34
YULIED.PENARANDA    (2023-11-09 13:07:34)
Recursos presupuestales asignados para la vigencia en programación  y/o seguimiento, según la columna en que se reporte</t>
        </r>
      </text>
    </comment>
    <comment ref="D78" authorId="0" shapeId="0" xr:uid="{00000000-0006-0000-0500-000059000000}">
      <text>
        <r>
          <rPr>
            <sz val="11"/>
            <color theme="1"/>
            <rFont val="Calibri"/>
            <family val="2"/>
            <scheme val="minor"/>
          </rPr>
          <t>======
ID#AAABDq5Tqo8
YULIED.PENARANDA    (2023-11-09 13:07:34)
Magnitud física asociada a la reservas,  aplica para las meta con tipología suma, las cuales se pueden desagregar por los compromisos contraídos que al cierre de la vigencia fiscal no  se cumplierón.</t>
        </r>
      </text>
    </comment>
    <comment ref="D79" authorId="0" shapeId="0" xr:uid="{00000000-0006-0000-0500-00005A000000}">
      <text>
        <r>
          <rPr>
            <sz val="11"/>
            <color theme="1"/>
            <rFont val="Calibri"/>
            <family val="2"/>
            <scheme val="minor"/>
          </rPr>
          <t>======
ID#AAABDq5TqqU
YULIED.PENARANDA    (2023-11-09 13:07:34)
Son compromisos legalmente contraídos que al cierre de la vigencia fiscal no se han atendido por no haberse completado las formalidades necesarias que hagan exigible el pago al terminarse el año.</t>
        </r>
      </text>
    </comment>
    <comment ref="D80" authorId="0" shapeId="0" xr:uid="{00000000-0006-0000-0500-00005B000000}">
      <text>
        <r>
          <rPr>
            <sz val="11"/>
            <color theme="1"/>
            <rFont val="Calibri"/>
            <family val="2"/>
            <scheme val="minor"/>
          </rPr>
          <t>======
ID#AAABDq5TrUk
YULIED.PENARANDA    (2023-11-09 13:07:33)
Para las metas de tipología suma (vigencia *reservas). Para las demás tipos de metas se asocia el mismo dato de la vigencia.</t>
        </r>
      </text>
    </comment>
    <comment ref="D81" authorId="0" shapeId="0" xr:uid="{00000000-0006-0000-0500-00005C000000}">
      <text>
        <r>
          <rPr>
            <sz val="11"/>
            <color theme="1"/>
            <rFont val="Calibri"/>
            <family val="2"/>
            <scheme val="minor"/>
          </rPr>
          <t>======
ID#AAABDq5Trho
YULIED.PENARANDA    (2023-11-09 13:07:33)
Se suma los recursos presupuestales (vigencia + reservas)</t>
        </r>
      </text>
    </comment>
    <comment ref="D82" authorId="0" shapeId="0" xr:uid="{00000000-0006-0000-0500-00005D000000}">
      <text>
        <r>
          <rPr>
            <sz val="11"/>
            <color theme="1"/>
            <rFont val="Calibri"/>
            <family val="2"/>
            <scheme val="minor"/>
          </rPr>
          <t>======
ID#AAABDq5TrgI
YULIED.PENARANDA    (2023-11-09 13:07:33)
Magnitud física de la meta proyecto de inversión, a programar o a realizar seguimiento, según la columna en que se reporte.</t>
        </r>
      </text>
    </comment>
    <comment ref="D83" authorId="0" shapeId="0" xr:uid="{00000000-0006-0000-0500-00005E000000}">
      <text>
        <r>
          <rPr>
            <sz val="11"/>
            <color theme="1"/>
            <rFont val="Calibri"/>
            <family val="2"/>
            <scheme val="minor"/>
          </rPr>
          <t>======
ID#AAABDq5Tri4
YULIED.PENARANDA    (2023-11-09 13:07:34)
Recursos presupuestales asignados para la vigencia en programación  y/o seguimiento, según la columna en que se reporte</t>
        </r>
      </text>
    </comment>
    <comment ref="AE83" authorId="0" shapeId="0" xr:uid="{00000000-0006-0000-0500-00005F000000}">
      <text>
        <r>
          <rPr>
            <sz val="11"/>
            <color theme="1"/>
            <rFont val="Calibri"/>
            <family val="2"/>
            <scheme val="minor"/>
          </rPr>
          <t>======
ID#AAABDq5Trfo
Angela    (2023-11-09 13:07:34)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84" authorId="0" shapeId="0" xr:uid="{00000000-0006-0000-0500-000060000000}">
      <text>
        <r>
          <rPr>
            <sz val="11"/>
            <color theme="1"/>
            <rFont val="Calibri"/>
            <family val="2"/>
            <scheme val="minor"/>
          </rPr>
          <t>======
ID#AAABDq5TrAs
YULIED.PENARANDA    (2023-11-09 13:07:33)
Magnitud física asociada a la reservas,  aplica para las meta con tipología suma, las cuales se pueden desagregar por los compromisos contraídos que al cierre de la vigencia fiscal no  se cumplierón.</t>
        </r>
      </text>
    </comment>
    <comment ref="D85" authorId="0" shapeId="0" xr:uid="{00000000-0006-0000-0500-000061000000}">
      <text>
        <r>
          <rPr>
            <sz val="11"/>
            <color theme="1"/>
            <rFont val="Calibri"/>
            <family val="2"/>
            <scheme val="minor"/>
          </rPr>
          <t>======
ID#AAABDq5TrGs
YULIED.PENARANDA    (2023-11-09 13:07:34)
Son compromisos legalmente contraídos que al cierre de la vigencia fiscal no se han atendido por no haberse completado las formalidades necesarias que hagan exigible el pago al terminarse el año.</t>
        </r>
      </text>
    </comment>
    <comment ref="D86" authorId="0" shapeId="0" xr:uid="{00000000-0006-0000-0500-000062000000}">
      <text>
        <r>
          <rPr>
            <sz val="11"/>
            <color theme="1"/>
            <rFont val="Calibri"/>
            <family val="2"/>
            <scheme val="minor"/>
          </rPr>
          <t>======
ID#AAABDq5TruE
YULIED.PENARANDA    (2023-11-09 13:07:33)
Para las metas de tipología suma (vigencia *reservas). Para las demás tipos de metas se asocia el mismo dato de la vigencia.</t>
        </r>
      </text>
    </comment>
    <comment ref="D87" authorId="0" shapeId="0" xr:uid="{00000000-0006-0000-0500-000063000000}">
      <text>
        <r>
          <rPr>
            <sz val="11"/>
            <color theme="1"/>
            <rFont val="Calibri"/>
            <family val="2"/>
            <scheme val="minor"/>
          </rPr>
          <t>======
ID#AAABDq5TrxA
YULIED.PENARANDA    (2023-11-09 13:07:33)
Se suma los recursos presupuestales (vigencia + reservas)</t>
        </r>
      </text>
    </comment>
    <comment ref="D88" authorId="0" shapeId="0" xr:uid="{00000000-0006-0000-0500-000064000000}">
      <text>
        <r>
          <rPr>
            <sz val="11"/>
            <color theme="1"/>
            <rFont val="Calibri"/>
            <family val="2"/>
            <scheme val="minor"/>
          </rPr>
          <t>======
ID#AAABDq5TqpA
YULIED.PENARANDA    (2023-11-09 13:07:33)
Magnitud física de la meta proyecto de inversión, a programar o a realizar seguimiento, según la columna en que se reporte.</t>
        </r>
      </text>
    </comment>
    <comment ref="D89" authorId="0" shapeId="0" xr:uid="{00000000-0006-0000-0500-000065000000}">
      <text>
        <r>
          <rPr>
            <sz val="11"/>
            <color theme="1"/>
            <rFont val="Calibri"/>
            <family val="2"/>
            <scheme val="minor"/>
          </rPr>
          <t>======
ID#AAABDq5TrWA
YULIED.PENARANDA    (2023-11-09 13:07:34)
Recursos presupuestales asignados para la vigencia en programación  y/o seguimiento, según la columna en que se reporte</t>
        </r>
      </text>
    </comment>
    <comment ref="D90" authorId="0" shapeId="0" xr:uid="{00000000-0006-0000-0500-000066000000}">
      <text>
        <r>
          <rPr>
            <sz val="11"/>
            <color theme="1"/>
            <rFont val="Calibri"/>
            <family val="2"/>
            <scheme val="minor"/>
          </rPr>
          <t>======
ID#AAABDq5Tqok
YULIED.PENARANDA    (2023-11-09 13:07:33)
Magnitud física asociada a la reservas,  aplica para las meta con tipología suma, las cuales se pueden desagregar por los compromisos contraídos que al cierre de la vigencia fiscal no  se cumplierón.</t>
        </r>
      </text>
    </comment>
    <comment ref="D91" authorId="0" shapeId="0" xr:uid="{00000000-0006-0000-0500-000067000000}">
      <text>
        <r>
          <rPr>
            <sz val="11"/>
            <color theme="1"/>
            <rFont val="Calibri"/>
            <family val="2"/>
            <scheme val="minor"/>
          </rPr>
          <t>======
ID#AAABDq5TrAQ
YULIED.PENARANDA    (2023-11-09 13:07:34)
Son compromisos legalmente contraídos que al cierre de la vigencia fiscal no se han atendido por no haberse completado las formalidades necesarias que hagan exigible el pago al terminarse el año.</t>
        </r>
      </text>
    </comment>
    <comment ref="D92" authorId="0" shapeId="0" xr:uid="{00000000-0006-0000-0500-000068000000}">
      <text>
        <r>
          <rPr>
            <sz val="11"/>
            <color theme="1"/>
            <rFont val="Calibri"/>
            <family val="2"/>
            <scheme val="minor"/>
          </rPr>
          <t>======
ID#AAABDq5TrCo
YULIED.PENARANDA    (2023-11-09 13:07:34)
Para las metas de tipología suma (vigencia *reservas). Para las demás tipos de metas se asocia el mismo dato de la vigencia.</t>
        </r>
      </text>
    </comment>
    <comment ref="D93" authorId="0" shapeId="0" xr:uid="{00000000-0006-0000-0500-000069000000}">
      <text>
        <r>
          <rPr>
            <sz val="11"/>
            <color theme="1"/>
            <rFont val="Calibri"/>
            <family val="2"/>
            <scheme val="minor"/>
          </rPr>
          <t>======
ID#AAABDq5Tq_U
YULIED.PENARANDA    (2023-11-09 13:07:33)
Se suma los recursos presupuestales (vigencia + reservas)</t>
        </r>
      </text>
    </comment>
    <comment ref="D94" authorId="0" shapeId="0" xr:uid="{00000000-0006-0000-0500-00006A000000}">
      <text>
        <r>
          <rPr>
            <sz val="11"/>
            <color theme="1"/>
            <rFont val="Calibri"/>
            <family val="2"/>
            <scheme val="minor"/>
          </rPr>
          <t>======
ID#AAABDq5Tre0
YULIED.PENARANDA    (2023-11-09 13:07:34)
Magnitud física de la meta proyecto de inversión, a programar o a realizar seguimiento, según la columna en que se reporte.</t>
        </r>
      </text>
    </comment>
    <comment ref="D95" authorId="0" shapeId="0" xr:uid="{00000000-0006-0000-0500-00006B000000}">
      <text>
        <r>
          <rPr>
            <sz val="11"/>
            <color theme="1"/>
            <rFont val="Calibri"/>
            <family val="2"/>
            <scheme val="minor"/>
          </rPr>
          <t>======
ID#AAABDq5Trrg
YULIED.PENARANDA    (2023-11-09 13:07:34)
Recursos presupuestales asignados para la vigencia en programación  y/o seguimiento, según la columna en que se reporte</t>
        </r>
      </text>
    </comment>
    <comment ref="AE95" authorId="0" shapeId="0" xr:uid="{00000000-0006-0000-0500-00006C000000}">
      <text>
        <r>
          <rPr>
            <sz val="11"/>
            <color theme="1"/>
            <rFont val="Calibri"/>
            <family val="2"/>
            <scheme val="minor"/>
          </rPr>
          <t>======
ID#AAABDq5TrII
Angela    (2023-11-09 13:07:33)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96" authorId="0" shapeId="0" xr:uid="{00000000-0006-0000-0500-00006D000000}">
      <text>
        <r>
          <rPr>
            <sz val="11"/>
            <color theme="1"/>
            <rFont val="Calibri"/>
            <family val="2"/>
            <scheme val="minor"/>
          </rPr>
          <t>======
ID#AAABDq5TrUw
YULIED.PENARANDA    (2023-11-09 13:07:33)
Magnitud física asociada a la reservas,  aplica para las meta con tipología suma, las cuales se pueden desagregar por los compromisos contraídos que al cierre de la vigencia fiscal no  se cumplierón.</t>
        </r>
      </text>
    </comment>
    <comment ref="D97" authorId="0" shapeId="0" xr:uid="{00000000-0006-0000-0500-00006E000000}">
      <text>
        <r>
          <rPr>
            <sz val="11"/>
            <color theme="1"/>
            <rFont val="Calibri"/>
            <family val="2"/>
            <scheme val="minor"/>
          </rPr>
          <t>======
ID#AAABDq5Trf8
YULIED.PENARANDA    (2023-11-09 13:07:34)
Son compromisos legalmente contraídos que al cierre de la vigencia fiscal no se han atendido por no haberse completado las formalidades necesarias que hagan exigible el pago al terminarse el año.</t>
        </r>
      </text>
    </comment>
    <comment ref="D98" authorId="0" shapeId="0" xr:uid="{00000000-0006-0000-0500-00006F000000}">
      <text>
        <r>
          <rPr>
            <sz val="11"/>
            <color theme="1"/>
            <rFont val="Calibri"/>
            <family val="2"/>
            <scheme val="minor"/>
          </rPr>
          <t>======
ID#AAABDq5TrIA
YULIED.PENARANDA    (2023-11-09 13:07:34)
Para las metas de tipología suma (vigencia *reservas). Para las demás tipos de metas se asocia el mismo dato de la vigencia.</t>
        </r>
      </text>
    </comment>
    <comment ref="D99" authorId="0" shapeId="0" xr:uid="{00000000-0006-0000-0500-000070000000}">
      <text>
        <r>
          <rPr>
            <sz val="11"/>
            <color theme="1"/>
            <rFont val="Calibri"/>
            <family val="2"/>
            <scheme val="minor"/>
          </rPr>
          <t>======
ID#AAABDq5TrLg
YULIED.PENARANDA    (2023-11-09 13:07:34)
Se suma los recursos presupuestales (vigencia + reservas)</t>
        </r>
      </text>
    </comment>
    <comment ref="D100" authorId="0" shapeId="0" xr:uid="{00000000-0006-0000-0500-000071000000}">
      <text>
        <r>
          <rPr>
            <sz val="11"/>
            <color theme="1"/>
            <rFont val="Calibri"/>
            <family val="2"/>
            <scheme val="minor"/>
          </rPr>
          <t>======
ID#AAABDq5Tru4
YULIED.PENARANDA    (2023-11-09 13:07:34)
Magnitud física de la meta proyecto de inversión, a programar o a realizar seguimiento, según la columna en que se reporte.</t>
        </r>
      </text>
    </comment>
    <comment ref="D101" authorId="0" shapeId="0" xr:uid="{00000000-0006-0000-0500-000072000000}">
      <text>
        <r>
          <rPr>
            <sz val="11"/>
            <color theme="1"/>
            <rFont val="Calibri"/>
            <family val="2"/>
            <scheme val="minor"/>
          </rPr>
          <t>======
ID#AAABDq5Tq5g
YULIED.PENARANDA    (2023-11-09 13:07:33)
Recursos presupuestales asignados para la vigencia en programación  y/o seguimiento, según la columna en que se reporte</t>
        </r>
      </text>
    </comment>
    <comment ref="D102" authorId="0" shapeId="0" xr:uid="{00000000-0006-0000-0500-000073000000}">
      <text>
        <r>
          <rPr>
            <sz val="11"/>
            <color theme="1"/>
            <rFont val="Calibri"/>
            <family val="2"/>
            <scheme val="minor"/>
          </rPr>
          <t>======
ID#AAABDq5Trig
YULIED.PENARANDA    (2023-11-09 13:07:34)
Magnitud física asociada a la reservas,  aplica para las meta con tipología suma, las cuales se pueden desagregar por los compromisos contraídos que al cierre de la vigencia fiscal no  se cumplierón.</t>
        </r>
      </text>
    </comment>
    <comment ref="D103" authorId="0" shapeId="0" xr:uid="{00000000-0006-0000-0500-000074000000}">
      <text>
        <r>
          <rPr>
            <sz val="11"/>
            <color theme="1"/>
            <rFont val="Calibri"/>
            <family val="2"/>
            <scheme val="minor"/>
          </rPr>
          <t>======
ID#AAABDq5Trtk
YULIED.PENARANDA    (2023-11-09 13:07:34)
Son compromisos legalmente contraídos que al cierre de la vigencia fiscal no se han atendido por no haberse completado las formalidades necesarias que hagan exigible el pago al terminarse el año.</t>
        </r>
      </text>
    </comment>
    <comment ref="D104" authorId="0" shapeId="0" xr:uid="{00000000-0006-0000-0500-000075000000}">
      <text>
        <r>
          <rPr>
            <sz val="11"/>
            <color theme="1"/>
            <rFont val="Calibri"/>
            <family val="2"/>
            <scheme val="minor"/>
          </rPr>
          <t>======
ID#AAABDq5TrRU
YULIED.PENARANDA    (2023-11-09 13:07:34)
Para las metas de tipología suma (vigencia *reservas). Para las demás tipos de metas se asocia el mismo dato de la vigencia.</t>
        </r>
      </text>
    </comment>
    <comment ref="D105" authorId="0" shapeId="0" xr:uid="{00000000-0006-0000-0500-000076000000}">
      <text>
        <r>
          <rPr>
            <sz val="11"/>
            <color theme="1"/>
            <rFont val="Calibri"/>
            <family val="2"/>
            <scheme val="minor"/>
          </rPr>
          <t>======
ID#AAABDq5TreQ
YULIED.PENARANDA    (2023-11-09 13:07:34)
Se suma los recursos presupuestales (vigencia + reservas)</t>
        </r>
      </text>
    </comment>
    <comment ref="D106" authorId="0" shapeId="0" xr:uid="{00000000-0006-0000-0500-000077000000}">
      <text>
        <r>
          <rPr>
            <sz val="11"/>
            <color theme="1"/>
            <rFont val="Calibri"/>
            <family val="2"/>
            <scheme val="minor"/>
          </rPr>
          <t>======
ID#AAABDq5TrNQ
YULIED.PENARANDA    (2023-11-09 13:07:33)
Magnitud física de la meta proyecto de inversión, a programar o a realizar seguimiento, según la columna en que se reporte.</t>
        </r>
      </text>
    </comment>
    <comment ref="D107" authorId="0" shapeId="0" xr:uid="{00000000-0006-0000-0500-000078000000}">
      <text>
        <r>
          <rPr>
            <sz val="11"/>
            <color theme="1"/>
            <rFont val="Calibri"/>
            <family val="2"/>
            <scheme val="minor"/>
          </rPr>
          <t>======
ID#AAABDq5TrWQ
YULIED.PENARANDA    (2023-11-09 13:07:33)
Recursos presupuestales asignados para la vigencia en programación  y/o seguimiento, según la columna en que se reporte</t>
        </r>
      </text>
    </comment>
    <comment ref="AE107" authorId="0" shapeId="0" xr:uid="{00000000-0006-0000-0500-000079000000}">
      <text>
        <r>
          <rPr>
            <sz val="11"/>
            <color theme="1"/>
            <rFont val="Calibri"/>
            <family val="2"/>
            <scheme val="minor"/>
          </rPr>
          <t>======
ID#AAABDq5TrBA
Angela    (2023-11-09 13:07:34)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08" authorId="0" shapeId="0" xr:uid="{00000000-0006-0000-0500-00007A000000}">
      <text>
        <r>
          <rPr>
            <sz val="11"/>
            <color theme="1"/>
            <rFont val="Calibri"/>
            <family val="2"/>
            <scheme val="minor"/>
          </rPr>
          <t>======
ID#AAABDq5TrKA
YULIED.PENARANDA    (2023-11-09 13:07:33)
Magnitud física asociada a la reservas,  aplica para las meta con tipología suma, las cuales se pueden desagregar por los compromisos contraídos que al cierre de la vigencia fiscal no  se cumplierón.</t>
        </r>
      </text>
    </comment>
    <comment ref="D109" authorId="0" shapeId="0" xr:uid="{00000000-0006-0000-0500-00007B000000}">
      <text>
        <r>
          <rPr>
            <sz val="11"/>
            <color theme="1"/>
            <rFont val="Calibri"/>
            <family val="2"/>
            <scheme val="minor"/>
          </rPr>
          <t>======
ID#AAABDq5TrWY
YULIED.PENARANDA    (2023-11-09 13:07:33)
Son compromisos legalmente contraídos que al cierre de la vigencia fiscal no se han atendido por no haberse completado las formalidades necesarias que hagan exigible el pago al terminarse el año.</t>
        </r>
      </text>
    </comment>
    <comment ref="D110" authorId="0" shapeId="0" xr:uid="{00000000-0006-0000-0500-00007C000000}">
      <text>
        <r>
          <rPr>
            <sz val="11"/>
            <color theme="1"/>
            <rFont val="Calibri"/>
            <family val="2"/>
            <scheme val="minor"/>
          </rPr>
          <t>======
ID#AAABDq5TrRs
YULIED.PENARANDA    (2023-11-09 13:07:34)
Para las metas de tipología suma (vigencia *reservas). Para las demás tipos de metas se asocia el mismo dato de la vigencia.</t>
        </r>
      </text>
    </comment>
    <comment ref="D111" authorId="0" shapeId="0" xr:uid="{00000000-0006-0000-0500-00007D000000}">
      <text>
        <r>
          <rPr>
            <sz val="11"/>
            <color theme="1"/>
            <rFont val="Calibri"/>
            <family val="2"/>
            <scheme val="minor"/>
          </rPr>
          <t>======
ID#AAABDq5Trjo
YULIED.PENARANDA    (2023-11-09 13:07:33)
Se suma los recursos presupuestales (vigencia + reservas)</t>
        </r>
      </text>
    </comment>
    <comment ref="D112" authorId="0" shapeId="0" xr:uid="{00000000-0006-0000-0500-00007E000000}">
      <text>
        <r>
          <rPr>
            <sz val="11"/>
            <color theme="1"/>
            <rFont val="Calibri"/>
            <family val="2"/>
            <scheme val="minor"/>
          </rPr>
          <t>======
ID#AAABDq5TrXE
YULIED.PENARANDA    (2023-11-09 13:07:34)
Magnitud física de la meta proyecto de inversión, a programar o a realizar seguimiento, según la columna en que se reporte.</t>
        </r>
      </text>
    </comment>
    <comment ref="D113" authorId="0" shapeId="0" xr:uid="{00000000-0006-0000-0500-00007F000000}">
      <text>
        <r>
          <rPr>
            <sz val="11"/>
            <color theme="1"/>
            <rFont val="Calibri"/>
            <family val="2"/>
            <scheme val="minor"/>
          </rPr>
          <t>======
ID#AAABDq5Tqzc
YULIED.PENARANDA    (2023-11-09 13:07:34)
Recursos presupuestales asignados para la vigencia en programación  y/o seguimiento, según la columna en que se reporte</t>
        </r>
      </text>
    </comment>
    <comment ref="D114" authorId="0" shapeId="0" xr:uid="{00000000-0006-0000-0500-000080000000}">
      <text>
        <r>
          <rPr>
            <sz val="11"/>
            <color theme="1"/>
            <rFont val="Calibri"/>
            <family val="2"/>
            <scheme val="minor"/>
          </rPr>
          <t>======
ID#AAABDq5TrTI
YULIED.PENARANDA    (2023-11-09 13:07:33)
Magnitud física asociada a la reservas,  aplica para las meta con tipología suma, las cuales se pueden desagregar por los compromisos contraídos que al cierre de la vigencia fiscal no  se cumplierón.</t>
        </r>
      </text>
    </comment>
    <comment ref="D115" authorId="0" shapeId="0" xr:uid="{00000000-0006-0000-0500-000081000000}">
      <text>
        <r>
          <rPr>
            <sz val="11"/>
            <color theme="1"/>
            <rFont val="Calibri"/>
            <family val="2"/>
            <scheme val="minor"/>
          </rPr>
          <t>======
ID#AAABDq5Tq00
YULIED.PENARANDA    (2023-11-09 13:07:33)
Son compromisos legalmente contraídos que al cierre de la vigencia fiscal no se han atendido por no haberse completado las formalidades necesarias que hagan exigible el pago al terminarse el año.</t>
        </r>
      </text>
    </comment>
    <comment ref="D116" authorId="0" shapeId="0" xr:uid="{00000000-0006-0000-0500-000082000000}">
      <text>
        <r>
          <rPr>
            <sz val="11"/>
            <color theme="1"/>
            <rFont val="Calibri"/>
            <family val="2"/>
            <scheme val="minor"/>
          </rPr>
          <t>======
ID#AAABDq5Tq5E
YULIED.PENARANDA    (2023-11-09 13:07:34)
Para las metas de tipología suma (vigencia *reservas). Para las demás tipos de metas se asocia el mismo dato de la vigencia.</t>
        </r>
      </text>
    </comment>
    <comment ref="D117" authorId="0" shapeId="0" xr:uid="{00000000-0006-0000-0500-000083000000}">
      <text>
        <r>
          <rPr>
            <sz val="11"/>
            <color theme="1"/>
            <rFont val="Calibri"/>
            <family val="2"/>
            <scheme val="minor"/>
          </rPr>
          <t>======
ID#AAABDq5TqpI
YULIED.PENARANDA    (2023-11-09 13:07:34)
Se suma los recursos presupuestales (vigencia + reservas)</t>
        </r>
      </text>
    </comment>
    <comment ref="D118" authorId="0" shapeId="0" xr:uid="{00000000-0006-0000-0500-000084000000}">
      <text>
        <r>
          <rPr>
            <sz val="11"/>
            <color theme="1"/>
            <rFont val="Calibri"/>
            <family val="2"/>
            <scheme val="minor"/>
          </rPr>
          <t>======
ID#AAABDq5Trxk
YULIED.PENARANDA    (2023-11-09 13:07:34)
Magnitud física de la meta proyecto de inversión, a programar o a realizar seguimiento, según la columna en que se reporte.</t>
        </r>
      </text>
    </comment>
    <comment ref="D119" authorId="0" shapeId="0" xr:uid="{00000000-0006-0000-0500-000085000000}">
      <text>
        <r>
          <rPr>
            <sz val="11"/>
            <color theme="1"/>
            <rFont val="Calibri"/>
            <family val="2"/>
            <scheme val="minor"/>
          </rPr>
          <t>======
ID#AAABDq5TrYg
YULIED.PENARANDA    (2023-11-09 13:07:34)
Recursos presupuestales asignados para la vigencia en programación  y/o seguimiento, según la columna en que se reporte</t>
        </r>
      </text>
    </comment>
    <comment ref="D120" authorId="0" shapeId="0" xr:uid="{00000000-0006-0000-0500-000086000000}">
      <text>
        <r>
          <rPr>
            <sz val="11"/>
            <color theme="1"/>
            <rFont val="Calibri"/>
            <family val="2"/>
            <scheme val="minor"/>
          </rPr>
          <t>======
ID#AAABDq5Trec
YULIED.PENARANDA    (2023-11-09 13:07:34)
Magnitud física asociada a la reservas,  aplica para las meta con tipología suma, las cuales se pueden desagregar por los compromisos contraídos que al cierre de la vigencia fiscal no  se cumplierón.</t>
        </r>
      </text>
    </comment>
    <comment ref="D121" authorId="0" shapeId="0" xr:uid="{00000000-0006-0000-0500-000087000000}">
      <text>
        <r>
          <rPr>
            <sz val="11"/>
            <color theme="1"/>
            <rFont val="Calibri"/>
            <family val="2"/>
            <scheme val="minor"/>
          </rPr>
          <t>======
ID#AAABDq5Trog
YULIED.PENARANDA    (2023-11-09 13:07:34)
Son compromisos legalmente contraídos que al cierre de la vigencia fiscal no se han atendido por no haberse completado las formalidades necesarias que hagan exigible el pago al terminarse el año.</t>
        </r>
      </text>
    </comment>
    <comment ref="D122" authorId="0" shapeId="0" xr:uid="{00000000-0006-0000-0500-000088000000}">
      <text>
        <r>
          <rPr>
            <sz val="11"/>
            <color theme="1"/>
            <rFont val="Calibri"/>
            <family val="2"/>
            <scheme val="minor"/>
          </rPr>
          <t>======
ID#AAABDq5Tqv4
YULIED.PENARANDA    (2023-11-09 13:07:34)
Para las metas de tipología suma (vigencia *reservas). Para las demás tipos de metas se asocia el mismo dato de la vigencia.</t>
        </r>
      </text>
    </comment>
    <comment ref="D123" authorId="0" shapeId="0" xr:uid="{00000000-0006-0000-0500-000089000000}">
      <text>
        <r>
          <rPr>
            <sz val="11"/>
            <color theme="1"/>
            <rFont val="Calibri"/>
            <family val="2"/>
            <scheme val="minor"/>
          </rPr>
          <t>======
ID#AAABDq5Troo
YULIED.PENARANDA    (2023-11-09 13:07:34)
Se suma los recursos presupuestales (vigencia + reservas)</t>
        </r>
      </text>
    </comment>
    <comment ref="D124" authorId="0" shapeId="0" xr:uid="{00000000-0006-0000-0500-00008A000000}">
      <text>
        <r>
          <rPr>
            <sz val="11"/>
            <color theme="1"/>
            <rFont val="Calibri"/>
            <family val="2"/>
            <scheme val="minor"/>
          </rPr>
          <t>======
ID#AAABDq5Trlk
YULIED.PENARANDA    (2023-11-09 13:07:34)
Magnitud física de la meta proyecto de inversión, a programar o a realizar seguimiento, según la columna en que se reporte.</t>
        </r>
      </text>
    </comment>
    <comment ref="D125" authorId="0" shapeId="0" xr:uid="{00000000-0006-0000-0500-00008B000000}">
      <text>
        <r>
          <rPr>
            <sz val="11"/>
            <color theme="1"/>
            <rFont val="Calibri"/>
            <family val="2"/>
            <scheme val="minor"/>
          </rPr>
          <t>======
ID#AAABDq5TryA
YULIED.PENARANDA    (2023-11-09 13:07:33)
Recursos presupuestales asignados para la vigencia en programación  y/o seguimiento, según la columna en que se reporte</t>
        </r>
      </text>
    </comment>
    <comment ref="D126" authorId="0" shapeId="0" xr:uid="{00000000-0006-0000-0500-00008C000000}">
      <text>
        <r>
          <rPr>
            <sz val="11"/>
            <color theme="1"/>
            <rFont val="Calibri"/>
            <family val="2"/>
            <scheme val="minor"/>
          </rPr>
          <t>======
ID#AAABDq5TrEo
YULIED.PENARANDA    (2023-11-09 13:07:34)
Magnitud física asociada a la reservas,  aplica para las meta con tipología suma, las cuales se pueden desagregar por los compromisos contraídos que al cierre de la vigencia fiscal no  se cumplierón.</t>
        </r>
      </text>
    </comment>
    <comment ref="D127" authorId="0" shapeId="0" xr:uid="{00000000-0006-0000-0500-00008D000000}">
      <text>
        <r>
          <rPr>
            <sz val="11"/>
            <color theme="1"/>
            <rFont val="Calibri"/>
            <family val="2"/>
            <scheme val="minor"/>
          </rPr>
          <t>======
ID#AAABDq5Tryg
YULIED.PENARANDA    (2023-11-09 13:07:33)
Son compromisos legalmente contraídos que al cierre de la vigencia fiscal no se han atendido por no haberse completado las formalidades necesarias que hagan exigible el pago al terminarse el año.</t>
        </r>
      </text>
    </comment>
    <comment ref="D128" authorId="0" shapeId="0" xr:uid="{00000000-0006-0000-0500-00008E000000}">
      <text>
        <r>
          <rPr>
            <sz val="11"/>
            <color theme="1"/>
            <rFont val="Calibri"/>
            <family val="2"/>
            <scheme val="minor"/>
          </rPr>
          <t>======
ID#AAABDq5Try8
YULIED.PENARANDA    (2023-11-09 13:07:34)
Para las metas de tipología suma (vigencia *reservas). Para las demás tipos de metas se asocia el mismo dato de la vigencia.</t>
        </r>
      </text>
    </comment>
    <comment ref="D129" authorId="0" shapeId="0" xr:uid="{00000000-0006-0000-0500-00008F000000}">
      <text>
        <r>
          <rPr>
            <sz val="11"/>
            <color theme="1"/>
            <rFont val="Calibri"/>
            <family val="2"/>
            <scheme val="minor"/>
          </rPr>
          <t>======
ID#AAABDq5Tq4k
YULIED.PENARANDA    (2023-11-09 13:07:34)
Se suma los recursos presupuestales (vigencia + reservas)</t>
        </r>
      </text>
    </comment>
    <comment ref="D130" authorId="0" shapeId="0" xr:uid="{00000000-0006-0000-0500-000090000000}">
      <text>
        <r>
          <rPr>
            <sz val="11"/>
            <color theme="1"/>
            <rFont val="Calibri"/>
            <family val="2"/>
            <scheme val="minor"/>
          </rPr>
          <t>======
ID#AAABDq5TqwE
YULIED.PENARANDA    (2023-11-09 13:07:34)
Magnitud física de la meta proyecto de inversión, a programar o a realizar seguimiento, según la columna en que se reporte.</t>
        </r>
      </text>
    </comment>
    <comment ref="D131" authorId="0" shapeId="0" xr:uid="{00000000-0006-0000-0500-000091000000}">
      <text>
        <r>
          <rPr>
            <sz val="11"/>
            <color theme="1"/>
            <rFont val="Calibri"/>
            <family val="2"/>
            <scheme val="minor"/>
          </rPr>
          <t>======
ID#AAABDq5TrV0
YULIED.PENARANDA    (2023-11-09 13:07:34)
Recursos presupuestales asignados para la vigencia en programación  y/o seguimiento, según la columna en que se reporte</t>
        </r>
      </text>
    </comment>
    <comment ref="AE131" authorId="0" shapeId="0" xr:uid="{00000000-0006-0000-0500-000092000000}">
      <text>
        <r>
          <rPr>
            <sz val="11"/>
            <color theme="1"/>
            <rFont val="Calibri"/>
            <family val="2"/>
            <scheme val="minor"/>
          </rPr>
          <t>======
ID#AAABDq5TrfM
Angela    (2023-11-09 13:07:34)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2" authorId="0" shapeId="0" xr:uid="{00000000-0006-0000-0500-000093000000}">
      <text>
        <r>
          <rPr>
            <sz val="11"/>
            <color theme="1"/>
            <rFont val="Calibri"/>
            <family val="2"/>
            <scheme val="minor"/>
          </rPr>
          <t>======
ID#AAABDq5Tq2c
YULIED.PENARANDA    (2023-11-09 13:07:34)
Magnitud física asociada a la reservas,  aplica para las meta con tipología suma, las cuales se pueden desagregar por los compromisos contraídos que al cierre de la vigencia fiscal no  se cumplierón.</t>
        </r>
      </text>
    </comment>
    <comment ref="D133" authorId="0" shapeId="0" xr:uid="{00000000-0006-0000-0500-000094000000}">
      <text>
        <r>
          <rPr>
            <sz val="11"/>
            <color theme="1"/>
            <rFont val="Calibri"/>
            <family val="2"/>
            <scheme val="minor"/>
          </rPr>
          <t>======
ID#AAABDq5Tqzw
YULIED.PENARANDA    (2023-11-09 13:07:34)
Son compromisos legalmente contraídos que al cierre de la vigencia fiscal no se han atendido por no haberse completado las formalidades necesarias que hagan exigible el pago al terminarse el año.</t>
        </r>
      </text>
    </comment>
    <comment ref="D134" authorId="0" shapeId="0" xr:uid="{00000000-0006-0000-0500-000095000000}">
      <text>
        <r>
          <rPr>
            <sz val="11"/>
            <color theme="1"/>
            <rFont val="Calibri"/>
            <family val="2"/>
            <scheme val="minor"/>
          </rPr>
          <t>======
ID#AAABDq5TrFw
YULIED.PENARANDA    (2023-11-09 13:07:33)
Para las metas de tipología suma (vigencia *reservas). Para las demás tipos de metas se asocia el mismo dato de la vigencia.</t>
        </r>
      </text>
    </comment>
    <comment ref="D135" authorId="0" shapeId="0" xr:uid="{00000000-0006-0000-0500-000096000000}">
      <text>
        <r>
          <rPr>
            <sz val="11"/>
            <color theme="1"/>
            <rFont val="Calibri"/>
            <family val="2"/>
            <scheme val="minor"/>
          </rPr>
          <t>======
ID#AAABDq5TrB4
YULIED.PENARANDA    (2023-11-09 13:07:34)
Se suma los recursos presupuestales (vigencia + reservas)</t>
        </r>
      </text>
    </comment>
    <comment ref="D136" authorId="0" shapeId="0" xr:uid="{00000000-0006-0000-0500-000097000000}">
      <text>
        <r>
          <rPr>
            <sz val="11"/>
            <color theme="1"/>
            <rFont val="Calibri"/>
            <family val="2"/>
            <scheme val="minor"/>
          </rPr>
          <t>======
ID#AAABDq5Tqwg
YULIED.PENARANDA    (2023-11-09 13:07:33)
Magnitud física de la meta proyecto de inversión, a programar o a realizar seguimiento, según la columna en que se reporte.</t>
        </r>
      </text>
    </comment>
    <comment ref="D137" authorId="0" shapeId="0" xr:uid="{00000000-0006-0000-0500-000098000000}">
      <text>
        <r>
          <rPr>
            <sz val="11"/>
            <color theme="1"/>
            <rFont val="Calibri"/>
            <family val="2"/>
            <scheme val="minor"/>
          </rPr>
          <t>======
ID#AAABDq5TrOk
YULIED.PENARANDA    (2023-11-09 13:07:34)
Recursos presupuestales asignados para la vigencia en programación  y/o seguimiento, según la columna en que se reporte</t>
        </r>
      </text>
    </comment>
    <comment ref="AE137" authorId="0" shapeId="0" xr:uid="{00000000-0006-0000-0500-000099000000}">
      <text>
        <r>
          <rPr>
            <sz val="11"/>
            <color theme="1"/>
            <rFont val="Calibri"/>
            <family val="2"/>
            <scheme val="minor"/>
          </rPr>
          <t>======
ID#AAABDq5Trzc
Angela    (2023-11-09 13:07:34)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8" authorId="0" shapeId="0" xr:uid="{00000000-0006-0000-0500-00009A000000}">
      <text>
        <r>
          <rPr>
            <sz val="11"/>
            <color theme="1"/>
            <rFont val="Calibri"/>
            <family val="2"/>
            <scheme val="minor"/>
          </rPr>
          <t>======
ID#AAABDq5TrV4
YULIED.PENARANDA    (2023-11-09 13:07:34)
Magnitud física asociada a la reservas,  aplica para las meta con tipología suma, las cuales se pueden desagregar por los compromisos contraídos que al cierre de la vigencia fiscal no  se cumplierón.</t>
        </r>
      </text>
    </comment>
    <comment ref="D139" authorId="0" shapeId="0" xr:uid="{00000000-0006-0000-0500-00009B000000}">
      <text>
        <r>
          <rPr>
            <sz val="11"/>
            <color theme="1"/>
            <rFont val="Calibri"/>
            <family val="2"/>
            <scheme val="minor"/>
          </rPr>
          <t>======
ID#AAABDq5TraM
YULIED.PENARANDA    (2023-11-09 13:07:34)
Son compromisos legalmente contraídos que al cierre de la vigencia fiscal no se han atendido por no haberse completado las formalidades necesarias que hagan exigible el pago al terminarse el año.</t>
        </r>
      </text>
    </comment>
    <comment ref="D140" authorId="0" shapeId="0" xr:uid="{00000000-0006-0000-0500-00009C000000}">
      <text>
        <r>
          <rPr>
            <sz val="11"/>
            <color theme="1"/>
            <rFont val="Calibri"/>
            <family val="2"/>
            <scheme val="minor"/>
          </rPr>
          <t>======
ID#AAABDq5TrPs
YULIED.PENARANDA    (2023-11-09 13:07:34)
Para las metas de tipología suma (vigencia *reservas). Para las demás tipos de metas se asocia el mismo dato de la vigencia.</t>
        </r>
      </text>
    </comment>
    <comment ref="D141" authorId="0" shapeId="0" xr:uid="{00000000-0006-0000-0500-00009D000000}">
      <text>
        <r>
          <rPr>
            <sz val="11"/>
            <color theme="1"/>
            <rFont val="Calibri"/>
            <family val="2"/>
            <scheme val="minor"/>
          </rPr>
          <t>======
ID#AAABDq5Tq3g
YULIED.PENARANDA    (2023-11-09 13:07:34)
Se suma los recursos presupuestales (vigencia + reservas)</t>
        </r>
      </text>
    </comment>
    <comment ref="D142" authorId="0" shapeId="0" xr:uid="{00000000-0006-0000-0500-00009E000000}">
      <text>
        <r>
          <rPr>
            <sz val="11"/>
            <color theme="1"/>
            <rFont val="Calibri"/>
            <family val="2"/>
            <scheme val="minor"/>
          </rPr>
          <t>======
ID#AAABDq5TroE
YULIED.PENARANDA    (2023-11-09 13:07:33)
Magnitud física de la meta proyecto de inversión, a programar o a realizar seguimiento, según la columna en que se reporte.</t>
        </r>
      </text>
    </comment>
    <comment ref="D143" authorId="0" shapeId="0" xr:uid="{00000000-0006-0000-0500-00009F000000}">
      <text>
        <r>
          <rPr>
            <sz val="11"/>
            <color theme="1"/>
            <rFont val="Calibri"/>
            <family val="2"/>
            <scheme val="minor"/>
          </rPr>
          <t>======
ID#AAABDq5TrDs
YULIED.PENARANDA    (2023-11-09 13:07:33)
Recursos presupuestales asignados para la vigencia en programación  y/o seguimiento, según la columna en que se reporte</t>
        </r>
      </text>
    </comment>
    <comment ref="D144" authorId="0" shapeId="0" xr:uid="{00000000-0006-0000-0500-0000A0000000}">
      <text>
        <r>
          <rPr>
            <sz val="11"/>
            <color theme="1"/>
            <rFont val="Calibri"/>
            <family val="2"/>
            <scheme val="minor"/>
          </rPr>
          <t>======
ID#AAABDq5Trag
YULIED.PENARANDA    (2023-11-09 13:07:34)
Magnitud física asociada a la reservas,  aplica para las meta con tipología suma, las cuales se pueden desagregar por los compromisos contraídos que al cierre de la vigencia fiscal no  se cumplierón.</t>
        </r>
      </text>
    </comment>
    <comment ref="D145" authorId="0" shapeId="0" xr:uid="{00000000-0006-0000-0500-0000A1000000}">
      <text>
        <r>
          <rPr>
            <sz val="11"/>
            <color theme="1"/>
            <rFont val="Calibri"/>
            <family val="2"/>
            <scheme val="minor"/>
          </rPr>
          <t>======
ID#AAABDq5TrcU
YULIED.PENARANDA    (2023-11-09 13:07:33)
Son compromisos legalmente contraídos que al cierre de la vigencia fiscal no se han atendido por no haberse completado las formalidades necesarias que hagan exigible el pago al terminarse el año.</t>
        </r>
      </text>
    </comment>
    <comment ref="D146" authorId="0" shapeId="0" xr:uid="{00000000-0006-0000-0500-0000A2000000}">
      <text>
        <r>
          <rPr>
            <sz val="11"/>
            <color theme="1"/>
            <rFont val="Calibri"/>
            <family val="2"/>
            <scheme val="minor"/>
          </rPr>
          <t>======
ID#AAABDq5Tqy8
YULIED.PENARANDA    (2023-11-09 13:07:34)
Para las metas de tipología suma (vigencia *reservas). Para las demás tipos de metas se asocia el mismo dato de la vigencia.</t>
        </r>
      </text>
    </comment>
    <comment ref="D147" authorId="0" shapeId="0" xr:uid="{00000000-0006-0000-0500-0000A3000000}">
      <text>
        <r>
          <rPr>
            <sz val="11"/>
            <color theme="1"/>
            <rFont val="Calibri"/>
            <family val="2"/>
            <scheme val="minor"/>
          </rPr>
          <t>======
ID#AAABDq5TrM4
YULIED.PENARANDA    (2023-11-09 13:07:34)
Se suma los recursos presupuestales (vigencia + reservas)</t>
        </r>
      </text>
    </comment>
    <comment ref="D148" authorId="0" shapeId="0" xr:uid="{00000000-0006-0000-0500-0000A4000000}">
      <text>
        <r>
          <rPr>
            <sz val="11"/>
            <color theme="1"/>
            <rFont val="Calibri"/>
            <family val="2"/>
            <scheme val="minor"/>
          </rPr>
          <t>======
ID#AAABDq5Tq5w
YULIED.PENARANDA    (2023-11-09 13:07:33)
Magnitud física de la meta proyecto de inversión, a programar o a realizar seguimiento, según la columna en que se reporte.</t>
        </r>
      </text>
    </comment>
    <comment ref="D149" authorId="0" shapeId="0" xr:uid="{00000000-0006-0000-0500-0000A5000000}">
      <text>
        <r>
          <rPr>
            <sz val="11"/>
            <color theme="1"/>
            <rFont val="Calibri"/>
            <family val="2"/>
            <scheme val="minor"/>
          </rPr>
          <t>======
ID#AAABDq5Trmg
YULIED.PENARANDA    (2023-11-09 13:07:33)
Recursos presupuestales asignados para la vigencia en programación  y/o seguimiento, según la columna en que se reporte</t>
        </r>
      </text>
    </comment>
    <comment ref="D150" authorId="0" shapeId="0" xr:uid="{00000000-0006-0000-0500-0000A6000000}">
      <text>
        <r>
          <rPr>
            <sz val="11"/>
            <color theme="1"/>
            <rFont val="Calibri"/>
            <family val="2"/>
            <scheme val="minor"/>
          </rPr>
          <t>======
ID#AAABDq5TrGY
YULIED.PENARANDA    (2023-11-09 13:07:33)
Magnitud física asociada a la reservas,  aplica para las meta con tipología suma, las cuales se pueden desagregar por los compromisos contraídos que al cierre de la vigencia fiscal no  se cumplierón.</t>
        </r>
      </text>
    </comment>
    <comment ref="D151" authorId="0" shapeId="0" xr:uid="{00000000-0006-0000-0500-0000A7000000}">
      <text>
        <r>
          <rPr>
            <sz val="11"/>
            <color theme="1"/>
            <rFont val="Calibri"/>
            <family val="2"/>
            <scheme val="minor"/>
          </rPr>
          <t>======
ID#AAABDq5TrKM
YULIED.PENARANDA    (2023-11-09 13:07:34)
Son compromisos legalmente contraídos que al cierre de la vigencia fiscal no se han atendido por no haberse completado las formalidades necesarias que hagan exigible el pago al terminarse el año.</t>
        </r>
      </text>
    </comment>
    <comment ref="D152" authorId="0" shapeId="0" xr:uid="{00000000-0006-0000-0500-0000A8000000}">
      <text>
        <r>
          <rPr>
            <sz val="11"/>
            <color theme="1"/>
            <rFont val="Calibri"/>
            <family val="2"/>
            <scheme val="minor"/>
          </rPr>
          <t>======
ID#AAABDq5TrUE
YULIED.PENARANDA    (2023-11-09 13:07:34)
Para las metas de tipología suma (vigencia *reservas). Para las demás tipos de metas se asocia el mismo dato de la vigencia.</t>
        </r>
      </text>
    </comment>
    <comment ref="D153" authorId="0" shapeId="0" xr:uid="{00000000-0006-0000-0500-0000A9000000}">
      <text>
        <r>
          <rPr>
            <sz val="11"/>
            <color theme="1"/>
            <rFont val="Calibri"/>
            <family val="2"/>
            <scheme val="minor"/>
          </rPr>
          <t>======
ID#AAABDq5Trqc
YULIED.PENARANDA    (2023-11-09 13:07:33)
Se suma los recursos presupuestales (vigencia + reservas)</t>
        </r>
      </text>
    </comment>
    <comment ref="D154" authorId="0" shapeId="0" xr:uid="{00000000-0006-0000-0500-0000AA000000}">
      <text>
        <r>
          <rPr>
            <sz val="11"/>
            <color theme="1"/>
            <rFont val="Calibri"/>
            <family val="2"/>
            <scheme val="minor"/>
          </rPr>
          <t>======
ID#AAABDq5TrJo
YULIED.PENARANDA    (2023-11-09 13:07:34)
Magnitud física de la meta proyecto de inversión, a programar o a realizar seguimiento, según la columna en que se reporte.</t>
        </r>
      </text>
    </comment>
    <comment ref="D155" authorId="0" shapeId="0" xr:uid="{00000000-0006-0000-0500-0000AB000000}">
      <text>
        <r>
          <rPr>
            <sz val="11"/>
            <color theme="1"/>
            <rFont val="Calibri"/>
            <family val="2"/>
            <scheme val="minor"/>
          </rPr>
          <t>======
ID#AAABDq5Tq1E
YULIED.PENARANDA    (2023-11-09 13:07:33)
Recursos presupuestales asignados para la vigencia en programación  y/o seguimiento, según la columna en que se reporte</t>
        </r>
      </text>
    </comment>
    <comment ref="D156" authorId="0" shapeId="0" xr:uid="{00000000-0006-0000-0500-0000AC000000}">
      <text>
        <r>
          <rPr>
            <sz val="11"/>
            <color theme="1"/>
            <rFont val="Calibri"/>
            <family val="2"/>
            <scheme val="minor"/>
          </rPr>
          <t>======
ID#AAABDq5TrxU
YULIED.PENARANDA    (2023-11-09 13:07:33)
Magnitud física asociada a la reservas,  aplica para las meta con tipología suma, las cuales se pueden desagregar por los compromisos contraídos que al cierre de la vigencia fiscal no  se cumplierón.</t>
        </r>
      </text>
    </comment>
    <comment ref="D157" authorId="0" shapeId="0" xr:uid="{00000000-0006-0000-0500-0000AD000000}">
      <text>
        <r>
          <rPr>
            <sz val="11"/>
            <color theme="1"/>
            <rFont val="Calibri"/>
            <family val="2"/>
            <scheme val="minor"/>
          </rPr>
          <t>======
ID#AAABDq5TrFs
YULIED.PENARANDA    (2023-11-09 13:07:34)
Son compromisos legalmente contraídos que al cierre de la vigencia fiscal no se han atendido por no haberse completado las formalidades necesarias que hagan exigible el pago al terminarse el año.</t>
        </r>
      </text>
    </comment>
    <comment ref="D158" authorId="0" shapeId="0" xr:uid="{00000000-0006-0000-0500-0000AE000000}">
      <text>
        <r>
          <rPr>
            <sz val="11"/>
            <color theme="1"/>
            <rFont val="Calibri"/>
            <family val="2"/>
            <scheme val="minor"/>
          </rPr>
          <t>======
ID#AAABDq5Tqoc
YULIED.PENARANDA    (2023-11-09 13:07:33)
Para las metas de tipología suma (vigencia *reservas). Para las demás tipos de metas se asocia el mismo dato de la vigencia.</t>
        </r>
      </text>
    </comment>
    <comment ref="D159" authorId="0" shapeId="0" xr:uid="{00000000-0006-0000-0500-0000AF000000}">
      <text>
        <r>
          <rPr>
            <sz val="11"/>
            <color theme="1"/>
            <rFont val="Calibri"/>
            <family val="2"/>
            <scheme val="minor"/>
          </rPr>
          <t>======
ID#AAABDq5TrD4
YULIED.PENARANDA    (2023-11-09 13:07:34)
Se suma los recursos presupuestales (vigencia + reservas)</t>
        </r>
      </text>
    </comment>
    <comment ref="D160" authorId="0" shapeId="0" xr:uid="{00000000-0006-0000-0500-0000B0000000}">
      <text>
        <r>
          <rPr>
            <sz val="11"/>
            <color theme="1"/>
            <rFont val="Calibri"/>
            <family val="2"/>
            <scheme val="minor"/>
          </rPr>
          <t>======
ID#AAABDq5Tq-M
YULIED.PENARANDA    (2023-11-09 13:07:34)
Magnitud física de la meta proyecto de inversión, a programar o a realizar seguimiento, según la columna en que se reporte.</t>
        </r>
      </text>
    </comment>
    <comment ref="D161" authorId="0" shapeId="0" xr:uid="{00000000-0006-0000-0500-0000B1000000}">
      <text>
        <r>
          <rPr>
            <sz val="11"/>
            <color theme="1"/>
            <rFont val="Calibri"/>
            <family val="2"/>
            <scheme val="minor"/>
          </rPr>
          <t>======
ID#AAABDq5Tqvc
YULIED.PENARANDA    (2023-11-09 13:07:34)
Recursos presupuestales asignados para la vigencia en programación  y/o seguimiento, según la columna en que se reporte</t>
        </r>
      </text>
    </comment>
    <comment ref="D162" authorId="0" shapeId="0" xr:uid="{00000000-0006-0000-0500-0000B2000000}">
      <text>
        <r>
          <rPr>
            <sz val="11"/>
            <color theme="1"/>
            <rFont val="Calibri"/>
            <family val="2"/>
            <scheme val="minor"/>
          </rPr>
          <t>======
ID#AAABDq5Tqw4
YULIED.PENARANDA    (2023-11-09 13:07:34)
Magnitud física asociada a la reservas,  aplica para las meta con tipología suma, las cuales se pueden desagregar por los compromisos contraídos que al cierre de la vigencia fiscal no  se cumplierón.</t>
        </r>
      </text>
    </comment>
    <comment ref="D163" authorId="0" shapeId="0" xr:uid="{00000000-0006-0000-0500-0000B3000000}">
      <text>
        <r>
          <rPr>
            <sz val="11"/>
            <color theme="1"/>
            <rFont val="Calibri"/>
            <family val="2"/>
            <scheme val="minor"/>
          </rPr>
          <t>======
ID#AAABDq5Tryw
YULIED.PENARANDA    (2023-11-09 13:07:33)
Son compromisos legalmente contraídos que al cierre de la vigencia fiscal no se han atendido por no haberse completado las formalidades necesarias que hagan exigible el pago al terminarse el año.</t>
        </r>
      </text>
    </comment>
    <comment ref="D164" authorId="0" shapeId="0" xr:uid="{00000000-0006-0000-0500-0000B4000000}">
      <text>
        <r>
          <rPr>
            <sz val="11"/>
            <color theme="1"/>
            <rFont val="Calibri"/>
            <family val="2"/>
            <scheme val="minor"/>
          </rPr>
          <t>======
ID#AAABDq5Trbw
YULIED.PENARANDA    (2023-11-09 13:07:33)
Para las metas de tipología suma (vigencia *reservas). Para las demás tipos de metas se asocia el mismo dato de la vigencia.</t>
        </r>
      </text>
    </comment>
    <comment ref="D165" authorId="0" shapeId="0" xr:uid="{00000000-0006-0000-0500-0000B5000000}">
      <text>
        <r>
          <rPr>
            <sz val="11"/>
            <color theme="1"/>
            <rFont val="Calibri"/>
            <family val="2"/>
            <scheme val="minor"/>
          </rPr>
          <t>======
ID#AAABDq5Trlo
YULIED.PENARANDA    (2023-11-09 13:07:33)
Se suma los recursos presupuestales (vigencia + reservas)</t>
        </r>
      </text>
    </comment>
    <comment ref="D166" authorId="0" shapeId="0" xr:uid="{00000000-0006-0000-0500-0000B6000000}">
      <text>
        <r>
          <rPr>
            <sz val="11"/>
            <color theme="1"/>
            <rFont val="Calibri"/>
            <family val="2"/>
            <scheme val="minor"/>
          </rPr>
          <t>======
ID#AAABDq5Trt0
YULIED.PENARANDA    (2023-11-09 13:07:33)
Magnitud física de la meta proyecto de inversión, a programar o a realizar seguimiento, según la columna en que se reporte.</t>
        </r>
      </text>
    </comment>
    <comment ref="D167" authorId="0" shapeId="0" xr:uid="{00000000-0006-0000-0500-0000B7000000}">
      <text>
        <r>
          <rPr>
            <sz val="11"/>
            <color theme="1"/>
            <rFont val="Calibri"/>
            <family val="2"/>
            <scheme val="minor"/>
          </rPr>
          <t>======
ID#AAABDq5Tq0I
YULIED.PENARANDA    (2023-11-09 13:07:34)
Recursos presupuestales asignados para la vigencia en programación  y/o seguimiento, según la columna en que se reporte</t>
        </r>
      </text>
    </comment>
    <comment ref="D168" authorId="0" shapeId="0" xr:uid="{00000000-0006-0000-0500-0000B8000000}">
      <text>
        <r>
          <rPr>
            <sz val="11"/>
            <color theme="1"/>
            <rFont val="Calibri"/>
            <family val="2"/>
            <scheme val="minor"/>
          </rPr>
          <t>======
ID#AAABDq5Tqzk
YULIED.PENARANDA    (2023-11-09 13:07:33)
Magnitud física asociada a la reservas,  aplica para las meta con tipología suma, las cuales se pueden desagregar por los compromisos contraídos que al cierre de la vigencia fiscal no  se cumplierón.</t>
        </r>
      </text>
    </comment>
    <comment ref="D169" authorId="0" shapeId="0" xr:uid="{00000000-0006-0000-0500-0000B9000000}">
      <text>
        <r>
          <rPr>
            <sz val="11"/>
            <color theme="1"/>
            <rFont val="Calibri"/>
            <family val="2"/>
            <scheme val="minor"/>
          </rPr>
          <t>======
ID#AAABDq5Trpc
YULIED.PENARANDA    (2023-11-09 13:07:33)
Son compromisos legalmente contraídos que al cierre de la vigencia fiscal no se han atendido por no haberse completado las formalidades necesarias que hagan exigible el pago al terminarse el año.</t>
        </r>
      </text>
    </comment>
    <comment ref="D170" authorId="0" shapeId="0" xr:uid="{00000000-0006-0000-0500-0000BA000000}">
      <text>
        <r>
          <rPr>
            <sz val="11"/>
            <color theme="1"/>
            <rFont val="Calibri"/>
            <family val="2"/>
            <scheme val="minor"/>
          </rPr>
          <t>======
ID#AAABDq5Tq6E
YULIED.PENARANDA    (2023-11-09 13:07:34)
Para las metas de tipología suma (vigencia *reservas). Para las demás tipos de metas se asocia el mismo dato de la vigencia.</t>
        </r>
      </text>
    </comment>
    <comment ref="D171" authorId="0" shapeId="0" xr:uid="{00000000-0006-0000-0500-0000BB000000}">
      <text>
        <r>
          <rPr>
            <sz val="11"/>
            <color theme="1"/>
            <rFont val="Calibri"/>
            <family val="2"/>
            <scheme val="minor"/>
          </rPr>
          <t>======
ID#AAABDq5Trwk
YULIED.PENARANDA    (2023-11-09 13:07:33)
Se suma los recursos presupuestales (vigencia + reservas)</t>
        </r>
      </text>
    </comment>
    <comment ref="D172" authorId="0" shapeId="0" xr:uid="{00000000-0006-0000-0500-0000BC000000}">
      <text>
        <r>
          <rPr>
            <sz val="11"/>
            <color theme="1"/>
            <rFont val="Calibri"/>
            <family val="2"/>
            <scheme val="minor"/>
          </rPr>
          <t>======
ID#AAABDq5TrQE
YULIED.PENARANDA    (2023-11-09 13:07:33)
Magnitud física de la meta proyecto de inversión, a programar o a realizar seguimiento, según la columna en que se reporte.</t>
        </r>
      </text>
    </comment>
    <comment ref="D173" authorId="0" shapeId="0" xr:uid="{00000000-0006-0000-0500-0000BD000000}">
      <text>
        <r>
          <rPr>
            <sz val="11"/>
            <color theme="1"/>
            <rFont val="Calibri"/>
            <family val="2"/>
            <scheme val="minor"/>
          </rPr>
          <t>======
ID#AAABDq5TrSk
YULIED.PENARANDA    (2023-11-09 13:07:34)
Recursos presupuestales asignados para la vigencia en programación  y/o seguimiento, según la columna en que se reporte</t>
        </r>
      </text>
    </comment>
    <comment ref="AE173" authorId="0" shapeId="0" xr:uid="{00000000-0006-0000-0500-0000BE000000}">
      <text>
        <r>
          <rPr>
            <sz val="11"/>
            <color theme="1"/>
            <rFont val="Calibri"/>
            <family val="2"/>
            <scheme val="minor"/>
          </rPr>
          <t>======
ID#AAABDq5Tra4
Angela    (2023-11-09 13:07:34)
Para el mes de diciembre el valor de cada proyecto con el seguimiento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74" authorId="0" shapeId="0" xr:uid="{00000000-0006-0000-0500-0000BF000000}">
      <text>
        <r>
          <rPr>
            <sz val="11"/>
            <color theme="1"/>
            <rFont val="Calibri"/>
            <family val="2"/>
            <scheme val="minor"/>
          </rPr>
          <t>======
ID#AAABDq5Tryc
YULIED.PENARANDA    (2023-11-09 13:07:33)
Magnitud física asociada a la reservas,  aplica para las meta con tipología suma, las cuales se pueden desagregar por los compromisos contraídos que al cierre de la vigencia fiscal no  se cumplierón.</t>
        </r>
      </text>
    </comment>
    <comment ref="D175" authorId="0" shapeId="0" xr:uid="{00000000-0006-0000-0500-0000C0000000}">
      <text>
        <r>
          <rPr>
            <sz val="11"/>
            <color theme="1"/>
            <rFont val="Calibri"/>
            <family val="2"/>
            <scheme val="minor"/>
          </rPr>
          <t>======
ID#AAABDq5TrpQ
YULIED.PENARANDA    (2023-11-09 13:07:34)
Son compromisos legalmente contraídos que al cierre de la vigencia fiscal no se han atendido por no haberse completado las formalidades necesarias que hagan exigible el pago al terminarse el año.</t>
        </r>
      </text>
    </comment>
    <comment ref="D176" authorId="0" shapeId="0" xr:uid="{00000000-0006-0000-0500-0000C1000000}">
      <text>
        <r>
          <rPr>
            <sz val="11"/>
            <color theme="1"/>
            <rFont val="Calibri"/>
            <family val="2"/>
            <scheme val="minor"/>
          </rPr>
          <t>======
ID#AAABDq5TrqY
YULIED.PENARANDA    (2023-11-09 13:07:34)
Para las metas de tipología suma (vigencia *reservas). Para las demás tipos de metas se asocia el mismo dato de la vigencia.</t>
        </r>
      </text>
    </comment>
    <comment ref="D177" authorId="0" shapeId="0" xr:uid="{00000000-0006-0000-0500-0000C2000000}">
      <text>
        <r>
          <rPr>
            <sz val="11"/>
            <color theme="1"/>
            <rFont val="Calibri"/>
            <family val="2"/>
            <scheme val="minor"/>
          </rPr>
          <t>======
ID#AAABDq5Tq8o
YULIED.PENARANDA    (2023-11-09 13:07:33)
Se suma los recursos presupuestales (vigencia + reservas)</t>
        </r>
      </text>
    </comment>
    <comment ref="D178" authorId="0" shapeId="0" xr:uid="{00000000-0006-0000-0500-0000C3000000}">
      <text>
        <r>
          <rPr>
            <sz val="11"/>
            <color theme="1"/>
            <rFont val="Calibri"/>
            <family val="2"/>
            <scheme val="minor"/>
          </rPr>
          <t>======
ID#AAABDq5Tq9A
YULIED.PENARANDA    (2023-11-09 13:07:33)
Magnitud física de la meta proyecto de inversión, a programar o a realizar seguimiento, según la columna en que se reporte.</t>
        </r>
      </text>
    </comment>
    <comment ref="D179" authorId="0" shapeId="0" xr:uid="{00000000-0006-0000-0500-0000C4000000}">
      <text>
        <r>
          <rPr>
            <sz val="11"/>
            <color theme="1"/>
            <rFont val="Calibri"/>
            <family val="2"/>
            <scheme val="minor"/>
          </rPr>
          <t>======
ID#AAABDq5Tqx8
YULIED.PENARANDA    (2023-11-09 13:07:34)
Recursos presupuestales asignados para la vigencia en programación  y/o seguimiento, según la columna en que se reporte</t>
        </r>
      </text>
    </comment>
    <comment ref="D180" authorId="0" shapeId="0" xr:uid="{00000000-0006-0000-0500-0000C5000000}">
      <text>
        <r>
          <rPr>
            <sz val="11"/>
            <color theme="1"/>
            <rFont val="Calibri"/>
            <family val="2"/>
            <scheme val="minor"/>
          </rPr>
          <t>======
ID#AAABDq5Tqx0
YULIED.PENARANDA    (2023-11-09 13:07:34)
Magnitud física asociada a la reservas,  aplica para las meta con tipología suma, las cuales se pueden desagregar por los compromisos contraídos que al cierre de la vigencia fiscal no  se cumplierón.</t>
        </r>
      </text>
    </comment>
    <comment ref="D181" authorId="0" shapeId="0" xr:uid="{00000000-0006-0000-0500-0000C6000000}">
      <text>
        <r>
          <rPr>
            <sz val="11"/>
            <color theme="1"/>
            <rFont val="Calibri"/>
            <family val="2"/>
            <scheme val="minor"/>
          </rPr>
          <t>======
ID#AAABDq5TrRM
YULIED.PENARANDA    (2023-11-09 13:07:34)
Son compromisos legalmente contraídos que al cierre de la vigencia fiscal no se han atendido por no haberse completado las formalidades necesarias que hagan exigible el pago al terminarse el año.</t>
        </r>
      </text>
    </comment>
    <comment ref="D182" authorId="0" shapeId="0" xr:uid="{00000000-0006-0000-0500-0000C7000000}">
      <text>
        <r>
          <rPr>
            <sz val="11"/>
            <color theme="1"/>
            <rFont val="Calibri"/>
            <family val="2"/>
            <scheme val="minor"/>
          </rPr>
          <t>======
ID#AAABDq5TrCY
YULIED.PENARANDA    (2023-11-09 13:07:34)
Para las metas de tipología suma (vigencia *reservas). Para las demás tipos de metas se asocia el mismo dato de la vigencia.</t>
        </r>
      </text>
    </comment>
    <comment ref="D183" authorId="0" shapeId="0" xr:uid="{00000000-0006-0000-0500-0000C8000000}">
      <text>
        <r>
          <rPr>
            <sz val="11"/>
            <color theme="1"/>
            <rFont val="Calibri"/>
            <family val="2"/>
            <scheme val="minor"/>
          </rPr>
          <t>======
ID#AAABDq5Tq1M
YULIED.PENARANDA    (2023-11-09 13:07:33)
Se suma los recursos presupuestales (vigencia + reservas)</t>
        </r>
      </text>
    </comment>
    <comment ref="D184" authorId="0" shapeId="0" xr:uid="{00000000-0006-0000-0500-0000C9000000}">
      <text>
        <r>
          <rPr>
            <sz val="11"/>
            <color theme="1"/>
            <rFont val="Calibri"/>
            <family val="2"/>
            <scheme val="minor"/>
          </rPr>
          <t>======
ID#AAABDq5Trw4
YULIED.PENARANDA    (2023-11-09 13:07:33)
Magnitud física de la meta proyecto de inversión, a programar o a realizar seguimiento, según la columna en que se reporte.</t>
        </r>
      </text>
    </comment>
    <comment ref="D185" authorId="0" shapeId="0" xr:uid="{00000000-0006-0000-0500-0000CA000000}">
      <text>
        <r>
          <rPr>
            <sz val="11"/>
            <color theme="1"/>
            <rFont val="Calibri"/>
            <family val="2"/>
            <scheme val="minor"/>
          </rPr>
          <t>======
ID#AAABDq5Tq4I
YULIED.PENARANDA    (2023-11-09 13:07:34)
Recursos presupuestales asignados para la vigencia en programación  y/o seguimiento, según la columna en que se reporte</t>
        </r>
      </text>
    </comment>
    <comment ref="D186" authorId="0" shapeId="0" xr:uid="{00000000-0006-0000-0500-0000CB000000}">
      <text>
        <r>
          <rPr>
            <sz val="11"/>
            <color theme="1"/>
            <rFont val="Calibri"/>
            <family val="2"/>
            <scheme val="minor"/>
          </rPr>
          <t>======
ID#AAABDq5TrEI
YULIED.PENARANDA    (2023-11-09 13:07:33)
Magnitud física asociada a la reservas,  aplica para las meta con tipología suma, las cuales se pueden desagregar por los compromisos contraídos que al cierre de la vigencia fiscal no  se cumplierón.</t>
        </r>
      </text>
    </comment>
    <comment ref="D187" authorId="0" shapeId="0" xr:uid="{00000000-0006-0000-0500-0000CC000000}">
      <text>
        <r>
          <rPr>
            <sz val="11"/>
            <color theme="1"/>
            <rFont val="Calibri"/>
            <family val="2"/>
            <scheme val="minor"/>
          </rPr>
          <t>======
ID#AAABDq5TrUo
YULIED.PENARANDA    (2023-11-09 13:07:34)
Son compromisos legalmente contraídos que al cierre de la vigencia fiscal no se han atendido por no haberse completado las formalidades necesarias que hagan exigible el pago al terminarse el año.</t>
        </r>
      </text>
    </comment>
    <comment ref="D188" authorId="0" shapeId="0" xr:uid="{00000000-0006-0000-0500-0000CD000000}">
      <text>
        <r>
          <rPr>
            <sz val="11"/>
            <color theme="1"/>
            <rFont val="Calibri"/>
            <family val="2"/>
            <scheme val="minor"/>
          </rPr>
          <t>======
ID#AAABDq5Trek
YULIED.PENARANDA    (2023-11-09 13:07:34)
Para las metas de tipología suma (vigencia *reservas). Para las demás tipos de metas se asocia el mismo dato de la vigencia.</t>
        </r>
      </text>
    </comment>
    <comment ref="D189" authorId="0" shapeId="0" xr:uid="{00000000-0006-0000-0500-0000CE000000}">
      <text>
        <r>
          <rPr>
            <sz val="11"/>
            <color theme="1"/>
            <rFont val="Calibri"/>
            <family val="2"/>
            <scheme val="minor"/>
          </rPr>
          <t>======
ID#AAABDq5TrLA
YULIED.PENARANDA    (2023-11-09 13:07:33)
Se suma los recursos presupuestales (vigencia + reservas)</t>
        </r>
      </text>
    </comment>
    <comment ref="D190" authorId="0" shapeId="0" xr:uid="{00000000-0006-0000-0500-0000CF000000}">
      <text>
        <r>
          <rPr>
            <sz val="11"/>
            <color theme="1"/>
            <rFont val="Calibri"/>
            <family val="2"/>
            <scheme val="minor"/>
          </rPr>
          <t>======
ID#AAABDq5Trw0
YULIED.PENARANDA    (2023-11-09 13:07:34)
Magnitud física de la meta proyecto de inversión, a programar o a realizar seguimiento, según la columna en que se reporte.</t>
        </r>
      </text>
    </comment>
    <comment ref="D191" authorId="0" shapeId="0" xr:uid="{00000000-0006-0000-0500-0000D0000000}">
      <text>
        <r>
          <rPr>
            <sz val="11"/>
            <color theme="1"/>
            <rFont val="Calibri"/>
            <family val="2"/>
            <scheme val="minor"/>
          </rPr>
          <t>======
ID#AAABDq5TrpE
YULIED.PENARANDA    (2023-11-09 13:07:33)
Recursos presupuestales asignados para la vigencia en programación  y/o seguimiento, según la columna en que se reporte</t>
        </r>
      </text>
    </comment>
    <comment ref="D192" authorId="0" shapeId="0" xr:uid="{00000000-0006-0000-0500-0000D1000000}">
      <text>
        <r>
          <rPr>
            <sz val="11"/>
            <color theme="1"/>
            <rFont val="Calibri"/>
            <family val="2"/>
            <scheme val="minor"/>
          </rPr>
          <t>======
ID#AAABDq5Tq0w
YULIED.PENARANDA    (2023-11-09 13:07:33)
Magnitud física asociada a la reservas,  aplica para las meta con tipología suma, las cuales se pueden desagregar por los compromisos contraídos que al cierre de la vigencia fiscal no  se cumplierón.</t>
        </r>
      </text>
    </comment>
    <comment ref="D193" authorId="0" shapeId="0" xr:uid="{00000000-0006-0000-0500-0000D2000000}">
      <text>
        <r>
          <rPr>
            <sz val="11"/>
            <color theme="1"/>
            <rFont val="Calibri"/>
            <family val="2"/>
            <scheme val="minor"/>
          </rPr>
          <t>======
ID#AAABDq5Tq80
YULIED.PENARANDA    (2023-11-09 13:07:33)
Son compromisos legalmente contraídos que al cierre de la vigencia fiscal no se han atendido por no haberse completado las formalidades necesarias que hagan exigible el pago al terminarse el año.</t>
        </r>
      </text>
    </comment>
    <comment ref="D194" authorId="0" shapeId="0" xr:uid="{00000000-0006-0000-0500-0000D3000000}">
      <text>
        <r>
          <rPr>
            <sz val="11"/>
            <color theme="1"/>
            <rFont val="Calibri"/>
            <family val="2"/>
            <scheme val="minor"/>
          </rPr>
          <t>======
ID#AAABDq5Tq2s
YULIED.PENARANDA    (2023-11-09 13:07:33)
Para las metas de tipología suma (vigencia *reservas). Para las demás tipos de metas se asocia el mismo dato de la vigencia.</t>
        </r>
      </text>
    </comment>
    <comment ref="D195" authorId="0" shapeId="0" xr:uid="{00000000-0006-0000-0500-0000D4000000}">
      <text>
        <r>
          <rPr>
            <sz val="11"/>
            <color theme="1"/>
            <rFont val="Calibri"/>
            <family val="2"/>
            <scheme val="minor"/>
          </rPr>
          <t>======
ID#AAABDq5TrBw
YULIED.PENARANDA    (2023-11-09 13:07:34)
Se suma los recursos presupuestales (vigencia + reservas)</t>
        </r>
      </text>
    </comment>
    <comment ref="D196" authorId="0" shapeId="0" xr:uid="{00000000-0006-0000-0500-0000D5000000}">
      <text>
        <r>
          <rPr>
            <sz val="11"/>
            <color theme="1"/>
            <rFont val="Calibri"/>
            <family val="2"/>
            <scheme val="minor"/>
          </rPr>
          <t>======
ID#AAABDq5TrUc
YULIED.PENARANDA    (2023-11-09 13:07:33)
Magnitud física de la meta proyecto de inversión, a programar o a realizar seguimiento, según la columna en que se reporte.</t>
        </r>
      </text>
    </comment>
    <comment ref="D197" authorId="0" shapeId="0" xr:uid="{00000000-0006-0000-0500-0000D6000000}">
      <text>
        <r>
          <rPr>
            <sz val="11"/>
            <color theme="1"/>
            <rFont val="Calibri"/>
            <family val="2"/>
            <scheme val="minor"/>
          </rPr>
          <t>======
ID#AAABDq5TrTY
YULIED.PENARANDA    (2023-11-09 13:07:34)
Recursos presupuestales asignados para la vigencia en programación  y/o seguimiento, según la columna en que se reporte</t>
        </r>
      </text>
    </comment>
    <comment ref="D198" authorId="0" shapeId="0" xr:uid="{00000000-0006-0000-0500-0000D7000000}">
      <text>
        <r>
          <rPr>
            <sz val="11"/>
            <color theme="1"/>
            <rFont val="Calibri"/>
            <family val="2"/>
            <scheme val="minor"/>
          </rPr>
          <t>======
ID#AAABDq5Trvo
YULIED.PENARANDA    (2023-11-09 13:07:33)
Magnitud física asociada a la reservas,  aplica para las meta con tipología suma, las cuales se pueden desagregar por los compromisos contraídos que al cierre de la vigencia fiscal no  se cumplierón.</t>
        </r>
      </text>
    </comment>
    <comment ref="D199" authorId="0" shapeId="0" xr:uid="{00000000-0006-0000-0500-0000D8000000}">
      <text>
        <r>
          <rPr>
            <sz val="11"/>
            <color theme="1"/>
            <rFont val="Calibri"/>
            <family val="2"/>
            <scheme val="minor"/>
          </rPr>
          <t>======
ID#AAABDq5Trs0
YULIED.PENARANDA    (2023-11-09 13:07:33)
Son compromisos legalmente contraídos que al cierre de la vigencia fiscal no se han atendido por no haberse completado las formalidades necesarias que hagan exigible el pago al terminarse el año.</t>
        </r>
      </text>
    </comment>
    <comment ref="D200" authorId="0" shapeId="0" xr:uid="{00000000-0006-0000-0500-0000D9000000}">
      <text>
        <r>
          <rPr>
            <sz val="11"/>
            <color theme="1"/>
            <rFont val="Calibri"/>
            <family val="2"/>
            <scheme val="minor"/>
          </rPr>
          <t>======
ID#AAABDq5TrSM
YULIED.PENARANDA    (2023-11-09 13:07:34)
Para las metas de tipología suma (vigencia *reservas). Para las demás tipos de metas se asocia el mismo dato de la vigencia.</t>
        </r>
      </text>
    </comment>
    <comment ref="D201" authorId="0" shapeId="0" xr:uid="{00000000-0006-0000-0500-0000DA000000}">
      <text>
        <r>
          <rPr>
            <sz val="11"/>
            <color theme="1"/>
            <rFont val="Calibri"/>
            <family val="2"/>
            <scheme val="minor"/>
          </rPr>
          <t>======
ID#AAABDq5TrAg
YULIED.PENARANDA    (2023-11-09 13:07:33)
Se suma los recursos presupuestales (vigencia + reservas)</t>
        </r>
      </text>
    </comment>
    <comment ref="D202" authorId="0" shapeId="0" xr:uid="{00000000-0006-0000-0500-0000DB000000}">
      <text>
        <r>
          <rPr>
            <sz val="11"/>
            <color theme="1"/>
            <rFont val="Calibri"/>
            <family val="2"/>
            <scheme val="minor"/>
          </rPr>
          <t>======
ID#AAABDq5TrZ4
YULIED.PENARANDA    (2023-11-09 13:07:34)
Magnitud física de la meta proyecto de inversión, a programar o a realizar seguimiento, según la columna en que se reporte.</t>
        </r>
      </text>
    </comment>
    <comment ref="D203" authorId="0" shapeId="0" xr:uid="{00000000-0006-0000-0500-0000DC000000}">
      <text>
        <r>
          <rPr>
            <sz val="11"/>
            <color theme="1"/>
            <rFont val="Calibri"/>
            <family val="2"/>
            <scheme val="minor"/>
          </rPr>
          <t>======
ID#AAABDq5Tqxs
YULIED.PENARANDA    (2023-11-09 13:07:33)
Recursos presupuestales asignados para la vigencia en programación  y/o seguimiento, según la columna en que se reporte</t>
        </r>
      </text>
    </comment>
    <comment ref="D204" authorId="0" shapeId="0" xr:uid="{00000000-0006-0000-0500-0000DD000000}">
      <text>
        <r>
          <rPr>
            <sz val="11"/>
            <color theme="1"/>
            <rFont val="Calibri"/>
            <family val="2"/>
            <scheme val="minor"/>
          </rPr>
          <t>======
ID#AAABDq5TrJg
YULIED.PENARANDA    (2023-11-09 13:07:34)
Magnitud física asociada a la reservas,  aplica para las meta con tipología suma, las cuales se pueden desagregar por los compromisos contraídos que al cierre de la vigencia fiscal no  se cumplierón.</t>
        </r>
      </text>
    </comment>
    <comment ref="D205" authorId="0" shapeId="0" xr:uid="{00000000-0006-0000-0500-0000DE000000}">
      <text>
        <r>
          <rPr>
            <sz val="11"/>
            <color theme="1"/>
            <rFont val="Calibri"/>
            <family val="2"/>
            <scheme val="minor"/>
          </rPr>
          <t>======
ID#AAABDq5Treg
YULIED.PENARANDA    (2023-11-09 13:07:34)
Son compromisos legalmente contraídos que al cierre de la vigencia fiscal no se han atendido por no haberse completado las formalidades necesarias que hagan exigible el pago al terminarse el año.</t>
        </r>
      </text>
    </comment>
    <comment ref="D206" authorId="0" shapeId="0" xr:uid="{00000000-0006-0000-0500-0000DF000000}">
      <text>
        <r>
          <rPr>
            <sz val="11"/>
            <color theme="1"/>
            <rFont val="Calibri"/>
            <family val="2"/>
            <scheme val="minor"/>
          </rPr>
          <t>======
ID#AAABDq5Trz0
YULIED.PENARANDA    (2023-11-09 13:07:33)
Para las metas de tipología suma (vigencia *reservas). Para las demás tipos de metas se asocia el mismo dato de la vigencia.</t>
        </r>
      </text>
    </comment>
    <comment ref="D207" authorId="0" shapeId="0" xr:uid="{00000000-0006-0000-0500-0000E0000000}">
      <text>
        <r>
          <rPr>
            <sz val="11"/>
            <color theme="1"/>
            <rFont val="Calibri"/>
            <family val="2"/>
            <scheme val="minor"/>
          </rPr>
          <t>======
ID#AAABDq5TrdA
YULIED.PENARANDA    (2023-11-09 13:07:34)
Se suma los recursos presupuestales (vigencia + reservas)</t>
        </r>
      </text>
    </comment>
    <comment ref="D208" authorId="0" shapeId="0" xr:uid="{00000000-0006-0000-0500-0000E1000000}">
      <text>
        <r>
          <rPr>
            <sz val="11"/>
            <color theme="1"/>
            <rFont val="Calibri"/>
            <family val="2"/>
            <scheme val="minor"/>
          </rPr>
          <t>======
ID#AAABDq5Trpg
YULIED.PENARANDA    (2023-11-09 13:07:34)
Magnitud física de la meta proyecto de inversión, a programar o a realizar seguimiento, según la columna en que se reporte.</t>
        </r>
      </text>
    </comment>
    <comment ref="D209" authorId="0" shapeId="0" xr:uid="{00000000-0006-0000-0500-0000E2000000}">
      <text>
        <r>
          <rPr>
            <sz val="11"/>
            <color theme="1"/>
            <rFont val="Calibri"/>
            <family val="2"/>
            <scheme val="minor"/>
          </rPr>
          <t>======
ID#AAABDq5TrkU
YULIED.PENARANDA    (2023-11-09 13:07:34)
Recursos presupuestales asignados para la vigencia en programación  y/o seguimiento, según la columna en que se reporte</t>
        </r>
      </text>
    </comment>
    <comment ref="D210" authorId="0" shapeId="0" xr:uid="{00000000-0006-0000-0500-0000E3000000}">
      <text>
        <r>
          <rPr>
            <sz val="11"/>
            <color theme="1"/>
            <rFont val="Calibri"/>
            <family val="2"/>
            <scheme val="minor"/>
          </rPr>
          <t>======
ID#AAABDq5Tq6g
YULIED.PENARANDA    (2023-11-09 13:07:33)
Magnitud física asociada a la reservas,  aplica para las meta con tipología suma, las cuales se pueden desagregar por los compromisos contraídos que al cierre de la vigencia fiscal no  se cumplierón.</t>
        </r>
      </text>
    </comment>
    <comment ref="D211" authorId="0" shapeId="0" xr:uid="{00000000-0006-0000-0500-0000E4000000}">
      <text>
        <r>
          <rPr>
            <sz val="11"/>
            <color theme="1"/>
            <rFont val="Calibri"/>
            <family val="2"/>
            <scheme val="minor"/>
          </rPr>
          <t>======
ID#AAABDq5TrNo
YULIED.PENARANDA    (2023-11-09 13:07:34)
Son compromisos legalmente contraídos que al cierre de la vigencia fiscal no se han atendido por no haberse completado las formalidades necesarias que hagan exigible el pago al terminarse el año.</t>
        </r>
      </text>
    </comment>
    <comment ref="D212" authorId="0" shapeId="0" xr:uid="{00000000-0006-0000-0500-0000E5000000}">
      <text>
        <r>
          <rPr>
            <sz val="11"/>
            <color theme="1"/>
            <rFont val="Calibri"/>
            <family val="2"/>
            <scheme val="minor"/>
          </rPr>
          <t>======
ID#AAABDq5TrD8
YULIED.PENARANDA    (2023-11-09 13:07:34)
Para las metas de tipología suma (vigencia *reservas). Para las demás tipos de metas se asocia el mismo dato de la vigencia.</t>
        </r>
      </text>
    </comment>
    <comment ref="D213" authorId="0" shapeId="0" xr:uid="{00000000-0006-0000-0500-0000E6000000}">
      <text>
        <r>
          <rPr>
            <sz val="11"/>
            <color theme="1"/>
            <rFont val="Calibri"/>
            <family val="2"/>
            <scheme val="minor"/>
          </rPr>
          <t>======
ID#AAABDq5Tq_c
YULIED.PENARANDA    (2023-11-09 13:07:34)
Se suma los recursos presupuestales (vigencia + reservas)</t>
        </r>
      </text>
    </comment>
    <comment ref="D214" authorId="0" shapeId="0" xr:uid="{00000000-0006-0000-0500-0000E7000000}">
      <text>
        <r>
          <rPr>
            <sz val="11"/>
            <color theme="1"/>
            <rFont val="Calibri"/>
            <family val="2"/>
            <scheme val="minor"/>
          </rPr>
          <t>======
ID#AAABDq5TrrI
YULIED.PENARANDA    (2023-11-09 13:07:33)
Magnitud física de la meta proyecto de inversión, a programar o a realizar seguimiento, según la columna en que se reporte.</t>
        </r>
      </text>
    </comment>
    <comment ref="D215" authorId="0" shapeId="0" xr:uid="{00000000-0006-0000-0500-0000E8000000}">
      <text>
        <r>
          <rPr>
            <sz val="11"/>
            <color theme="1"/>
            <rFont val="Calibri"/>
            <family val="2"/>
            <scheme val="minor"/>
          </rPr>
          <t>======
ID#AAABDq5TrXM
YULIED.PENARANDA    (2023-11-09 13:07:33)
Recursos presupuestales asignados para la vigencia en programación  y/o seguimiento, según la columna en que se reporte</t>
        </r>
      </text>
    </comment>
    <comment ref="D216" authorId="0" shapeId="0" xr:uid="{00000000-0006-0000-0500-0000E9000000}">
      <text>
        <r>
          <rPr>
            <sz val="11"/>
            <color theme="1"/>
            <rFont val="Calibri"/>
            <family val="2"/>
            <scheme val="minor"/>
          </rPr>
          <t>======
ID#AAABDq5Trns
YULIED.PENARANDA    (2023-11-09 13:07:34)
Magnitud física asociada a la reservas,  aplica para las meta con tipología suma, las cuales se pueden desagregar por los compromisos contraídos que al cierre de la vigencia fiscal no  se cumplierón.</t>
        </r>
      </text>
    </comment>
    <comment ref="D217" authorId="0" shapeId="0" xr:uid="{00000000-0006-0000-0500-0000EA000000}">
      <text>
        <r>
          <rPr>
            <sz val="11"/>
            <color theme="1"/>
            <rFont val="Calibri"/>
            <family val="2"/>
            <scheme val="minor"/>
          </rPr>
          <t>======
ID#AAABDq5Tq04
YULIED.PENARANDA    (2023-11-09 13:07:34)
Son compromisos legalmente contraídos que al cierre de la vigencia fiscal no se han atendido por no haberse completado las formalidades necesarias que hagan exigible el pago al terminarse el año.</t>
        </r>
      </text>
    </comment>
    <comment ref="D218" authorId="0" shapeId="0" xr:uid="{00000000-0006-0000-0500-0000EB000000}">
      <text>
        <r>
          <rPr>
            <sz val="11"/>
            <color theme="1"/>
            <rFont val="Calibri"/>
            <family val="2"/>
            <scheme val="minor"/>
          </rPr>
          <t>======
ID#AAABDq5TrpM
YULIED.PENARANDA    (2023-11-09 13:07:34)
Para las metas de tipología suma (vigencia *reservas). Para las demás tipos de metas se asocia el mismo dato de la vigencia.</t>
        </r>
      </text>
    </comment>
    <comment ref="D219" authorId="0" shapeId="0" xr:uid="{00000000-0006-0000-0500-0000EC000000}">
      <text>
        <r>
          <rPr>
            <sz val="11"/>
            <color theme="1"/>
            <rFont val="Calibri"/>
            <family val="2"/>
            <scheme val="minor"/>
          </rPr>
          <t>======
ID#AAABDq5TrVg
YULIED.PENARANDA    (2023-11-09 13:07:34)
Se suma los recursos presupuestales (vigencia + reservas)</t>
        </r>
      </text>
    </comment>
    <comment ref="D220" authorId="0" shapeId="0" xr:uid="{00000000-0006-0000-0500-0000ED000000}">
      <text>
        <r>
          <rPr>
            <sz val="11"/>
            <color theme="1"/>
            <rFont val="Calibri"/>
            <family val="2"/>
            <scheme val="minor"/>
          </rPr>
          <t>======
ID#AAABDq5Trbc
YULIED.PENARANDA    (2023-11-09 13:07:34)
Magnitud física de la meta proyecto de inversión, a programar o a realizar seguimiento, según la columna en que se reporte.</t>
        </r>
      </text>
    </comment>
    <comment ref="D221" authorId="0" shapeId="0" xr:uid="{00000000-0006-0000-0500-0000EE000000}">
      <text>
        <r>
          <rPr>
            <sz val="11"/>
            <color theme="1"/>
            <rFont val="Calibri"/>
            <family val="2"/>
            <scheme val="minor"/>
          </rPr>
          <t>======
ID#AAABDq5TrE4
YULIED.PENARANDA    (2023-11-09 13:07:33)
Recursos presupuestales asignados para la vigencia en programación  y/o seguimiento, según la columna en que se reporte</t>
        </r>
      </text>
    </comment>
    <comment ref="D222" authorId="0" shapeId="0" xr:uid="{00000000-0006-0000-0500-0000EF000000}">
      <text>
        <r>
          <rPr>
            <sz val="11"/>
            <color theme="1"/>
            <rFont val="Calibri"/>
            <family val="2"/>
            <scheme val="minor"/>
          </rPr>
          <t>======
ID#AAABDq5TrLY
YULIED.PENARANDA    (2023-11-09 13:07:33)
Magnitud física asociada a la reservas,  aplica para las meta con tipología suma, las cuales se pueden desagregar por los compromisos contraídos que al cierre de la vigencia fiscal no  se cumplierón.</t>
        </r>
      </text>
    </comment>
    <comment ref="D223" authorId="0" shapeId="0" xr:uid="{00000000-0006-0000-0500-0000F0000000}">
      <text>
        <r>
          <rPr>
            <sz val="11"/>
            <color theme="1"/>
            <rFont val="Calibri"/>
            <family val="2"/>
            <scheme val="minor"/>
          </rPr>
          <t>======
ID#AAABDq5TrWI
YULIED.PENARANDA    (2023-11-09 13:07:34)
Son compromisos legalmente contraídos que al cierre de la vigencia fiscal no se han atendido por no haberse completado las formalidades necesarias que hagan exigible el pago al terminarse el año.</t>
        </r>
      </text>
    </comment>
    <comment ref="D224" authorId="0" shapeId="0" xr:uid="{00000000-0006-0000-0500-0000F1000000}">
      <text>
        <r>
          <rPr>
            <sz val="11"/>
            <color theme="1"/>
            <rFont val="Calibri"/>
            <family val="2"/>
            <scheme val="minor"/>
          </rPr>
          <t>======
ID#AAABDq5TrUs
YULIED.PENARANDA    (2023-11-09 13:07:34)
Para las metas de tipología suma (vigencia *reservas). Para las demás tipos de metas se asocia el mismo dato de la vigencia.</t>
        </r>
      </text>
    </comment>
    <comment ref="D225" authorId="0" shapeId="0" xr:uid="{00000000-0006-0000-0500-0000F2000000}">
      <text>
        <r>
          <rPr>
            <sz val="11"/>
            <color theme="1"/>
            <rFont val="Calibri"/>
            <family val="2"/>
            <scheme val="minor"/>
          </rPr>
          <t>======
ID#AAABDq5Tq3k
YULIED.PENARANDA    (2023-11-09 13:07:33)
Se suma los recursos presupuestales (vigencia + reservas)</t>
        </r>
      </text>
    </comment>
    <comment ref="D226" authorId="0" shapeId="0" xr:uid="{00000000-0006-0000-0500-0000F3000000}">
      <text>
        <r>
          <rPr>
            <sz val="11"/>
            <color theme="1"/>
            <rFont val="Calibri"/>
            <family val="2"/>
            <scheme val="minor"/>
          </rPr>
          <t>======
ID#AAABDq5TqpQ
YULIED.PENARANDA    (2023-11-09 13:07:33)
Magnitud física de la meta proyecto de inversión, a programar o a realizar seguimiento, según la columna en que se reporte.</t>
        </r>
      </text>
    </comment>
    <comment ref="D227" authorId="0" shapeId="0" xr:uid="{00000000-0006-0000-0500-0000F4000000}">
      <text>
        <r>
          <rPr>
            <sz val="11"/>
            <color theme="1"/>
            <rFont val="Calibri"/>
            <family val="2"/>
            <scheme val="minor"/>
          </rPr>
          <t>======
ID#AAABDq5TrOE
YULIED.PENARANDA    (2023-11-09 13:07:34)
Recursos presupuestales asignados para la vigencia en programación  y/o seguimiento, según la columna en que se reporte</t>
        </r>
      </text>
    </comment>
    <comment ref="D228" authorId="0" shapeId="0" xr:uid="{00000000-0006-0000-0500-0000F5000000}">
      <text>
        <r>
          <rPr>
            <sz val="11"/>
            <color theme="1"/>
            <rFont val="Calibri"/>
            <family val="2"/>
            <scheme val="minor"/>
          </rPr>
          <t>======
ID#AAABDq5Trcc
YULIED.PENARANDA    (2023-11-09 13:07:33)
Magnitud física asociada a la reservas,  aplica para las meta con tipología suma, las cuales se pueden desagregar por los compromisos contraídos que al cierre de la vigencia fiscal no  se cumplierón.</t>
        </r>
      </text>
    </comment>
    <comment ref="D229" authorId="0" shapeId="0" xr:uid="{00000000-0006-0000-0500-0000F6000000}">
      <text>
        <r>
          <rPr>
            <sz val="11"/>
            <color theme="1"/>
            <rFont val="Calibri"/>
            <family val="2"/>
            <scheme val="minor"/>
          </rPr>
          <t>======
ID#AAABDq5Tqxc
YULIED.PENARANDA    (2023-11-09 13:07:33)
Son compromisos legalmente contraídos que al cierre de la vigencia fiscal no se han atendido por no haberse completado las formalidades necesarias que hagan exigible el pago al terminarse el año.</t>
        </r>
      </text>
    </comment>
    <comment ref="D230" authorId="0" shapeId="0" xr:uid="{00000000-0006-0000-0500-0000F7000000}">
      <text>
        <r>
          <rPr>
            <sz val="11"/>
            <color theme="1"/>
            <rFont val="Calibri"/>
            <family val="2"/>
            <scheme val="minor"/>
          </rPr>
          <t>======
ID#AAABDq5Tq9Q
YULIED.PENARANDA    (2023-11-09 13:07:33)
Para las metas de tipología suma (vigencia *reservas). Para las demás tipos de metas se asocia el mismo dato de la vigencia.</t>
        </r>
      </text>
    </comment>
    <comment ref="D231" authorId="0" shapeId="0" xr:uid="{00000000-0006-0000-0500-0000F8000000}">
      <text>
        <r>
          <rPr>
            <sz val="11"/>
            <color theme="1"/>
            <rFont val="Calibri"/>
            <family val="2"/>
            <scheme val="minor"/>
          </rPr>
          <t>======
ID#AAABDq5TrnQ
YULIED.PENARANDA    (2023-11-09 13:07:34)
Se suma los recursos presupuestales (vigencia + reservas)</t>
        </r>
      </text>
    </comment>
    <comment ref="D232" authorId="0" shapeId="0" xr:uid="{00000000-0006-0000-0500-0000F9000000}">
      <text>
        <r>
          <rPr>
            <sz val="11"/>
            <color theme="1"/>
            <rFont val="Calibri"/>
            <family val="2"/>
            <scheme val="minor"/>
          </rPr>
          <t>======
ID#AAABDq5Trds
YULIED.PENARANDA    (2023-11-09 13:07:33)
Magnitud física de la meta proyecto de inversión, a programar o a realizar seguimiento, según la columna en que se reporte.</t>
        </r>
      </text>
    </comment>
    <comment ref="D233" authorId="0" shapeId="0" xr:uid="{00000000-0006-0000-0500-0000FA000000}">
      <text>
        <r>
          <rPr>
            <sz val="11"/>
            <color theme="1"/>
            <rFont val="Calibri"/>
            <family val="2"/>
            <scheme val="minor"/>
          </rPr>
          <t>======
ID#AAABDq5Tq90
YULIED.PENARANDA    (2023-11-09 13:07:34)
Recursos presupuestales asignados para la vigencia en programación  y/o seguimiento, según la columna en que se reporte</t>
        </r>
      </text>
    </comment>
    <comment ref="D234" authorId="0" shapeId="0" xr:uid="{00000000-0006-0000-0500-0000FB000000}">
      <text>
        <r>
          <rPr>
            <sz val="11"/>
            <color theme="1"/>
            <rFont val="Calibri"/>
            <family val="2"/>
            <scheme val="minor"/>
          </rPr>
          <t>======
ID#AAABDq5Tq48
YULIED.PENARANDA    (2023-11-09 13:07:34)
Magnitud física asociada a la reservas,  aplica para las meta con tipología suma, las cuales se pueden desagregar por los compromisos contraídos que al cierre de la vigencia fiscal no  se cumplierón.</t>
        </r>
      </text>
    </comment>
    <comment ref="D235" authorId="0" shapeId="0" xr:uid="{00000000-0006-0000-0500-0000FC000000}">
      <text>
        <r>
          <rPr>
            <sz val="11"/>
            <color theme="1"/>
            <rFont val="Calibri"/>
            <family val="2"/>
            <scheme val="minor"/>
          </rPr>
          <t>======
ID#AAABDq5TrVM
YULIED.PENARANDA    (2023-11-09 13:07:34)
Son compromisos legalmente contraídos que al cierre de la vigencia fiscal no se han atendido por no haberse completado las formalidades necesarias que hagan exigible el pago al terminarse el año.</t>
        </r>
      </text>
    </comment>
    <comment ref="D236" authorId="0" shapeId="0" xr:uid="{00000000-0006-0000-0500-0000FD000000}">
      <text>
        <r>
          <rPr>
            <sz val="11"/>
            <color theme="1"/>
            <rFont val="Calibri"/>
            <family val="2"/>
            <scheme val="minor"/>
          </rPr>
          <t>======
ID#AAABDq5TrFg
YULIED.PENARANDA    (2023-11-09 13:07:34)
Para las metas de tipología suma (vigencia *reservas). Para las demás tipos de metas se asocia el mismo dato de la vigencia.</t>
        </r>
      </text>
    </comment>
    <comment ref="D237" authorId="0" shapeId="0" xr:uid="{00000000-0006-0000-0500-0000FE000000}">
      <text>
        <r>
          <rPr>
            <sz val="11"/>
            <color theme="1"/>
            <rFont val="Calibri"/>
            <family val="2"/>
            <scheme val="minor"/>
          </rPr>
          <t>======
ID#AAABDq5TrIQ
YULIED.PENARANDA    (2023-11-09 13:07:34)
Se suma los recursos presupuestales (vigencia + reservas)</t>
        </r>
      </text>
    </comment>
    <comment ref="D238" authorId="0" shapeId="0" xr:uid="{00000000-0006-0000-0500-0000FF000000}">
      <text>
        <r>
          <rPr>
            <sz val="11"/>
            <color theme="1"/>
            <rFont val="Calibri"/>
            <family val="2"/>
            <scheme val="minor"/>
          </rPr>
          <t>======
ID#AAABDq5Trao
YULIED.PENARANDA    (2023-11-09 13:07:33)
Magnitud física de la meta proyecto de inversión, a programar o a realizar seguimiento, según la columna en que se reporte.</t>
        </r>
      </text>
    </comment>
    <comment ref="D239" authorId="0" shapeId="0" xr:uid="{00000000-0006-0000-0500-000000010000}">
      <text>
        <r>
          <rPr>
            <sz val="11"/>
            <color theme="1"/>
            <rFont val="Calibri"/>
            <family val="2"/>
            <scheme val="minor"/>
          </rPr>
          <t>======
ID#AAABDq5Tq4Q
YULIED.PENARANDA    (2023-11-09 13:07:34)
Recursos presupuestales asignados para la vigencia en programación  y/o seguimiento, según la columna en que se reporte</t>
        </r>
      </text>
    </comment>
    <comment ref="D240" authorId="0" shapeId="0" xr:uid="{00000000-0006-0000-0500-000001010000}">
      <text>
        <r>
          <rPr>
            <sz val="11"/>
            <color theme="1"/>
            <rFont val="Calibri"/>
            <family val="2"/>
            <scheme val="minor"/>
          </rPr>
          <t>======
ID#AAABDq5Tq0U
YULIED.PENARANDA    (2023-11-09 13:07:33)
Magnitud física asociada a la reservas,  aplica para las meta con tipología suma, las cuales se pueden desagregar por los compromisos contraídos que al cierre de la vigencia fiscal no  se cumplierón.</t>
        </r>
      </text>
    </comment>
    <comment ref="D241" authorId="0" shapeId="0" xr:uid="{00000000-0006-0000-0500-000002010000}">
      <text>
        <r>
          <rPr>
            <sz val="11"/>
            <color theme="1"/>
            <rFont val="Calibri"/>
            <family val="2"/>
            <scheme val="minor"/>
          </rPr>
          <t>======
ID#AAABDq5Tq-o
YULIED.PENARANDA    (2023-11-09 13:07:33)
Son compromisos legalmente contraídos que al cierre de la vigencia fiscal no se han atendido por no haberse completado las formalidades necesarias que hagan exigible el pago al terminarse el año.</t>
        </r>
      </text>
    </comment>
    <comment ref="D242" authorId="0" shapeId="0" xr:uid="{00000000-0006-0000-0500-000003010000}">
      <text>
        <r>
          <rPr>
            <sz val="11"/>
            <color theme="1"/>
            <rFont val="Calibri"/>
            <family val="2"/>
            <scheme val="minor"/>
          </rPr>
          <t>======
ID#AAABDq5Trys
YULIED.PENARANDA    (2023-11-09 13:07:34)
Para las metas de tipología suma (vigencia *reservas). Para las demás tipos de metas se asocia el mismo dato de la vigencia.</t>
        </r>
      </text>
    </comment>
    <comment ref="D243" authorId="0" shapeId="0" xr:uid="{00000000-0006-0000-0500-000004010000}">
      <text>
        <r>
          <rPr>
            <sz val="11"/>
            <color theme="1"/>
            <rFont val="Calibri"/>
            <family val="2"/>
            <scheme val="minor"/>
          </rPr>
          <t>======
ID#AAABDq5Tq7c
YULIED.PENARANDA    (2023-11-09 13:07:34)
Se suma los recursos presupuestales (vigencia + reservas)</t>
        </r>
      </text>
    </comment>
    <comment ref="D244" authorId="0" shapeId="0" xr:uid="{00000000-0006-0000-0500-000005010000}">
      <text>
        <r>
          <rPr>
            <sz val="11"/>
            <color theme="1"/>
            <rFont val="Calibri"/>
            <family val="2"/>
            <scheme val="minor"/>
          </rPr>
          <t>======
ID#AAABDq5Tryk
YULIED.PENARANDA    (2023-11-09 13:07:34)
Magnitud física de la meta proyecto de inversión, a programar o a realizar seguimiento, según la columna en que se reporte.</t>
        </r>
      </text>
    </comment>
    <comment ref="D245" authorId="0" shapeId="0" xr:uid="{00000000-0006-0000-0500-000006010000}">
      <text>
        <r>
          <rPr>
            <sz val="11"/>
            <color theme="1"/>
            <rFont val="Calibri"/>
            <family val="2"/>
            <scheme val="minor"/>
          </rPr>
          <t>======
ID#AAABDq5TreM
YULIED.PENARANDA    (2023-11-09 13:07:34)
Recursos presupuestales asignados para la vigencia en programación  y/o seguimiento, según la columna en que se reporte</t>
        </r>
      </text>
    </comment>
    <comment ref="D246" authorId="0" shapeId="0" xr:uid="{00000000-0006-0000-0500-000007010000}">
      <text>
        <r>
          <rPr>
            <sz val="11"/>
            <color theme="1"/>
            <rFont val="Calibri"/>
            <family val="2"/>
            <scheme val="minor"/>
          </rPr>
          <t>======
ID#AAABDq5TrBc
YULIED.PENARANDA    (2023-11-09 13:07:34)
Magnitud física asociada a la reservas,  aplica para las meta con tipología suma, las cuales se pueden desagregar por los compromisos contraídos que al cierre de la vigencia fiscal no  se cumplierón.</t>
        </r>
      </text>
    </comment>
    <comment ref="D247" authorId="0" shapeId="0" xr:uid="{00000000-0006-0000-0500-000008010000}">
      <text>
        <r>
          <rPr>
            <sz val="11"/>
            <color theme="1"/>
            <rFont val="Calibri"/>
            <family val="2"/>
            <scheme val="minor"/>
          </rPr>
          <t>======
ID#AAABDq5TrbE
YULIED.PENARANDA    (2023-11-09 13:07:34)
Son compromisos legalmente contraídos que al cierre de la vigencia fiscal no se han atendido por no haberse completado las formalidades necesarias que hagan exigible el pago al terminarse el año.</t>
        </r>
      </text>
    </comment>
    <comment ref="D248" authorId="0" shapeId="0" xr:uid="{00000000-0006-0000-0500-000009010000}">
      <text>
        <r>
          <rPr>
            <sz val="11"/>
            <color theme="1"/>
            <rFont val="Calibri"/>
            <family val="2"/>
            <scheme val="minor"/>
          </rPr>
          <t>======
ID#AAABDq5Tq9k
YULIED.PENARANDA    (2023-11-09 13:07:33)
Para las metas de tipología suma (vigencia *reservas). Para las demás tipos de metas se asocia el mismo dato de la vigencia.</t>
        </r>
      </text>
    </comment>
    <comment ref="D249" authorId="0" shapeId="0" xr:uid="{00000000-0006-0000-0500-00000A010000}">
      <text>
        <r>
          <rPr>
            <sz val="11"/>
            <color theme="1"/>
            <rFont val="Calibri"/>
            <family val="2"/>
            <scheme val="minor"/>
          </rPr>
          <t>======
ID#AAABDq5TrDY
YULIED.PENARANDA    (2023-11-09 13:07:34)
Se suma los recursos presupuestales (vigencia + reservas)</t>
        </r>
      </text>
    </comment>
    <comment ref="D250" authorId="0" shapeId="0" xr:uid="{00000000-0006-0000-0500-00000B010000}">
      <text>
        <r>
          <rPr>
            <sz val="11"/>
            <color theme="1"/>
            <rFont val="Calibri"/>
            <family val="2"/>
            <scheme val="minor"/>
          </rPr>
          <t>======
ID#AAABDq5TrRc
YULIED.PENARANDA    (2023-11-09 13:07:34)
Magnitud física de la meta proyecto de inversión, a programar o a realizar seguimiento, según la columna en que se reporte.</t>
        </r>
      </text>
    </comment>
    <comment ref="D251" authorId="0" shapeId="0" xr:uid="{00000000-0006-0000-0500-00000C010000}">
      <text>
        <r>
          <rPr>
            <sz val="11"/>
            <color theme="1"/>
            <rFont val="Calibri"/>
            <family val="2"/>
            <scheme val="minor"/>
          </rPr>
          <t>======
ID#AAABDq5TrhQ
YULIED.PENARANDA    (2023-11-09 13:07:33)
Recursos presupuestales asignados para la vigencia en programación  y/o seguimiento, según la columna en que se reporte</t>
        </r>
      </text>
    </comment>
    <comment ref="D252" authorId="0" shapeId="0" xr:uid="{00000000-0006-0000-0500-00000D010000}">
      <text>
        <r>
          <rPr>
            <sz val="11"/>
            <color theme="1"/>
            <rFont val="Calibri"/>
            <family val="2"/>
            <scheme val="minor"/>
          </rPr>
          <t>======
ID#AAABDq5Trg8
YULIED.PENARANDA    (2023-11-09 13:07:33)
Magnitud física asociada a la reservas,  aplica para las meta con tipología suma, las cuales se pueden desagregar por los compromisos contraídos que al cierre de la vigencia fiscal no  se cumplierón.</t>
        </r>
      </text>
    </comment>
    <comment ref="D253" authorId="0" shapeId="0" xr:uid="{00000000-0006-0000-0500-00000E010000}">
      <text>
        <r>
          <rPr>
            <sz val="11"/>
            <color theme="1"/>
            <rFont val="Calibri"/>
            <family val="2"/>
            <scheme val="minor"/>
          </rPr>
          <t>======
ID#AAABDq5TruI
YULIED.PENARANDA    (2023-11-09 13:07:34)
Son compromisos legalmente contraídos que al cierre de la vigencia fiscal no se han atendido por no haberse completado las formalidades necesarias que hagan exigible el pago al terminarse el año.</t>
        </r>
      </text>
    </comment>
    <comment ref="D254" authorId="0" shapeId="0" xr:uid="{00000000-0006-0000-0500-00000F010000}">
      <text>
        <r>
          <rPr>
            <sz val="11"/>
            <color theme="1"/>
            <rFont val="Calibri"/>
            <family val="2"/>
            <scheme val="minor"/>
          </rPr>
          <t>======
ID#AAABDq5Trp4
YULIED.PENARANDA    (2023-11-09 13:07:34)
Para las metas de tipología suma (vigencia *reservas). Para las demás tipos de metas se asocia el mismo dato de la vigencia.</t>
        </r>
      </text>
    </comment>
    <comment ref="D255" authorId="0" shapeId="0" xr:uid="{00000000-0006-0000-0500-000010010000}">
      <text>
        <r>
          <rPr>
            <sz val="11"/>
            <color theme="1"/>
            <rFont val="Calibri"/>
            <family val="2"/>
            <scheme val="minor"/>
          </rPr>
          <t>======
ID#AAABDq5TrxM
YULIED.PENARANDA    (2023-11-09 13:07:34)
Se suma los recursos presupuestales (vigencia + reservas)</t>
        </r>
      </text>
    </comment>
    <comment ref="D256" authorId="0" shapeId="0" xr:uid="{00000000-0006-0000-0500-000011010000}">
      <text>
        <r>
          <rPr>
            <sz val="11"/>
            <color theme="1"/>
            <rFont val="Calibri"/>
            <family val="2"/>
            <scheme val="minor"/>
          </rPr>
          <t>======
ID#AAABDq5Tq0g
YULIED.PENARANDA    (2023-11-09 13:07:33)
Magnitud física de la meta proyecto de inversión, a programar o a realizar seguimiento, según la columna en que se reporte.</t>
        </r>
      </text>
    </comment>
    <comment ref="D257" authorId="0" shapeId="0" xr:uid="{00000000-0006-0000-0500-000012010000}">
      <text>
        <r>
          <rPr>
            <sz val="11"/>
            <color theme="1"/>
            <rFont val="Calibri"/>
            <family val="2"/>
            <scheme val="minor"/>
          </rPr>
          <t>======
ID#AAABDq5TrwM
YULIED.PENARANDA    (2023-11-09 13:07:34)
Recursos presupuestales asignados para la vigencia en programación  y/o seguimiento, según la columna en que se reporte</t>
        </r>
      </text>
    </comment>
    <comment ref="D258" authorId="0" shapeId="0" xr:uid="{00000000-0006-0000-0500-000013010000}">
      <text>
        <r>
          <rPr>
            <sz val="11"/>
            <color theme="1"/>
            <rFont val="Calibri"/>
            <family val="2"/>
            <scheme val="minor"/>
          </rPr>
          <t>======
ID#AAABDq5TrK4
YULIED.PENARANDA    (2023-11-09 13:07:34)
Magnitud física asociada a la reservas,  aplica para las meta con tipología suma, las cuales se pueden desagregar por los compromisos contraídos que al cierre de la vigencia fiscal no  se cumplierón.</t>
        </r>
      </text>
    </comment>
    <comment ref="D259" authorId="0" shapeId="0" xr:uid="{00000000-0006-0000-0500-000014010000}">
      <text>
        <r>
          <rPr>
            <sz val="11"/>
            <color theme="1"/>
            <rFont val="Calibri"/>
            <family val="2"/>
            <scheme val="minor"/>
          </rPr>
          <t>======
ID#AAABDq5Tq4g
YULIED.PENARANDA    (2023-11-09 13:07:33)
Son compromisos legalmente contraídos que al cierre de la vigencia fiscal no se han atendido por no haberse completado las formalidades necesarias que hagan exigible el pago al terminarse el año.</t>
        </r>
      </text>
    </comment>
    <comment ref="D260" authorId="0" shapeId="0" xr:uid="{00000000-0006-0000-0500-000015010000}">
      <text>
        <r>
          <rPr>
            <sz val="11"/>
            <color theme="1"/>
            <rFont val="Calibri"/>
            <family val="2"/>
            <scheme val="minor"/>
          </rPr>
          <t>======
ID#AAABDq5TqwI
YULIED.PENARANDA    (2023-11-09 13:07:33)
Para las metas de tipología suma (vigencia *reservas). Para las demás tipos de metas se asocia el mismo dato de la vigencia.</t>
        </r>
      </text>
    </comment>
    <comment ref="D261" authorId="0" shapeId="0" xr:uid="{00000000-0006-0000-0500-000016010000}">
      <text>
        <r>
          <rPr>
            <sz val="11"/>
            <color theme="1"/>
            <rFont val="Calibri"/>
            <family val="2"/>
            <scheme val="minor"/>
          </rPr>
          <t>======
ID#AAABDq5TrrU
YULIED.PENARANDA    (2023-11-09 13:07:34)
Se suma los recursos presupuestales (vigencia + reservas)</t>
        </r>
      </text>
    </comment>
    <comment ref="D262" authorId="0" shapeId="0" xr:uid="{00000000-0006-0000-0500-000017010000}">
      <text>
        <r>
          <rPr>
            <sz val="11"/>
            <color theme="1"/>
            <rFont val="Calibri"/>
            <family val="2"/>
            <scheme val="minor"/>
          </rPr>
          <t>======
ID#AAABDq5Tq-s
YULIED.PENARANDA    (2023-11-09 13:07:34)
Magnitud física de la meta proyecto de inversión, a programar o a realizar seguimiento, según la columna en que se reporte.</t>
        </r>
      </text>
    </comment>
    <comment ref="D263" authorId="0" shapeId="0" xr:uid="{00000000-0006-0000-0500-000018010000}">
      <text>
        <r>
          <rPr>
            <sz val="11"/>
            <color theme="1"/>
            <rFont val="Calibri"/>
            <family val="2"/>
            <scheme val="minor"/>
          </rPr>
          <t>======
ID#AAABDq5TrSg
YULIED.PENARANDA    (2023-11-09 13:07:34)
Recursos presupuestales asignados para la vigencia en programación  y/o seguimiento, según la columna en que se reporte</t>
        </r>
      </text>
    </comment>
    <comment ref="D264" authorId="0" shapeId="0" xr:uid="{00000000-0006-0000-0500-000019010000}">
      <text>
        <r>
          <rPr>
            <sz val="11"/>
            <color theme="1"/>
            <rFont val="Calibri"/>
            <family val="2"/>
            <scheme val="minor"/>
          </rPr>
          <t>======
ID#AAABDq5TrPU
YULIED.PENARANDA    (2023-11-09 13:07:33)
Magnitud física asociada a la reservas,  aplica para las meta con tipología suma, las cuales se pueden desagregar por los compromisos contraídos que al cierre de la vigencia fiscal no  se cumplierón.</t>
        </r>
      </text>
    </comment>
    <comment ref="D265" authorId="0" shapeId="0" xr:uid="{00000000-0006-0000-0500-00001A010000}">
      <text>
        <r>
          <rPr>
            <sz val="11"/>
            <color theme="1"/>
            <rFont val="Calibri"/>
            <family val="2"/>
            <scheme val="minor"/>
          </rPr>
          <t>======
ID#AAABDq5TrcM
YULIED.PENARANDA    (2023-11-09 13:07:34)
Son compromisos legalmente contraídos que al cierre de la vigencia fiscal no se han atendido por no haberse completado las formalidades necesarias que hagan exigible el pago al terminarse el año.</t>
        </r>
      </text>
    </comment>
    <comment ref="D266" authorId="0" shapeId="0" xr:uid="{00000000-0006-0000-0500-00001B010000}">
      <text>
        <r>
          <rPr>
            <sz val="11"/>
            <color theme="1"/>
            <rFont val="Calibri"/>
            <family val="2"/>
            <scheme val="minor"/>
          </rPr>
          <t>======
ID#AAABDq5Trq4
YULIED.PENARANDA    (2023-11-09 13:07:34)
Para las metas de tipología suma (vigencia *reservas). Para las demás tipos de metas se asocia el mismo dato de la vigencia.</t>
        </r>
      </text>
    </comment>
    <comment ref="D267" authorId="0" shapeId="0" xr:uid="{00000000-0006-0000-0500-00001C010000}">
      <text>
        <r>
          <rPr>
            <sz val="11"/>
            <color theme="1"/>
            <rFont val="Calibri"/>
            <family val="2"/>
            <scheme val="minor"/>
          </rPr>
          <t>======
ID#AAABDq5TrEw
YULIED.PENARANDA    (2023-11-09 13:07:34)
Se suma los recursos presupuestales (vigencia + reservas)</t>
        </r>
      </text>
    </comment>
    <comment ref="D268" authorId="0" shapeId="0" xr:uid="{00000000-0006-0000-0500-00001D010000}">
      <text>
        <r>
          <rPr>
            <sz val="11"/>
            <color theme="1"/>
            <rFont val="Calibri"/>
            <family val="2"/>
            <scheme val="minor"/>
          </rPr>
          <t>======
ID#AAABDq5TrHI
YULIED.PENARANDA    (2023-11-09 13:07:34)
Magnitud física de la meta proyecto de inversión, a programar o a realizar seguimiento, según la columna en que se reporte.</t>
        </r>
      </text>
    </comment>
    <comment ref="D269" authorId="0" shapeId="0" xr:uid="{00000000-0006-0000-0500-00001E010000}">
      <text>
        <r>
          <rPr>
            <sz val="11"/>
            <color theme="1"/>
            <rFont val="Calibri"/>
            <family val="2"/>
            <scheme val="minor"/>
          </rPr>
          <t>======
ID#AAABDq5TrgA
YULIED.PENARANDA    (2023-11-09 13:07:34)
Recursos presupuestales asignados para la vigencia en programación  y/o seguimiento, según la columna en que se reporte</t>
        </r>
      </text>
    </comment>
    <comment ref="D270" authorId="0" shapeId="0" xr:uid="{00000000-0006-0000-0500-00001F010000}">
      <text>
        <r>
          <rPr>
            <sz val="11"/>
            <color theme="1"/>
            <rFont val="Calibri"/>
            <family val="2"/>
            <scheme val="minor"/>
          </rPr>
          <t>======
ID#AAABDq5TrzA
YULIED.PENARANDA    (2023-11-09 13:07:34)
Magnitud física asociada a la reservas,  aplica para las meta con tipología suma, las cuales se pueden desagregar por los compromisos contraídos que al cierre de la vigencia fiscal no  se cumplierón.</t>
        </r>
      </text>
    </comment>
    <comment ref="D271" authorId="0" shapeId="0" xr:uid="{00000000-0006-0000-0500-000020010000}">
      <text>
        <r>
          <rPr>
            <sz val="11"/>
            <color theme="1"/>
            <rFont val="Calibri"/>
            <family val="2"/>
            <scheme val="minor"/>
          </rPr>
          <t>======
ID#AAABDq5TqyE
YULIED.PENARANDA    (2023-11-09 13:07:33)
Son compromisos legalmente contraídos que al cierre de la vigencia fiscal no se han atendido por no haberse completado las formalidades necesarias que hagan exigible el pago al terminarse el año.</t>
        </r>
      </text>
    </comment>
    <comment ref="D272" authorId="0" shapeId="0" xr:uid="{00000000-0006-0000-0500-000021010000}">
      <text>
        <r>
          <rPr>
            <sz val="11"/>
            <color theme="1"/>
            <rFont val="Calibri"/>
            <family val="2"/>
            <scheme val="minor"/>
          </rPr>
          <t>======
ID#AAABDq5TrMU
YULIED.PENARANDA    (2023-11-09 13:07:34)
Para las metas de tipología suma (vigencia *reservas). Para las demás tipos de metas se asocia el mismo dato de la vigencia.</t>
        </r>
      </text>
    </comment>
    <comment ref="D273" authorId="0" shapeId="0" xr:uid="{00000000-0006-0000-0500-000022010000}">
      <text>
        <r>
          <rPr>
            <sz val="11"/>
            <color theme="1"/>
            <rFont val="Calibri"/>
            <family val="2"/>
            <scheme val="minor"/>
          </rPr>
          <t>======
ID#AAABDq5TryE
YULIED.PENARANDA    (2023-11-09 13:07:34)
Se suma los recursos presupuestales (vigencia + reservas)</t>
        </r>
      </text>
    </comment>
    <comment ref="D274" authorId="0" shapeId="0" xr:uid="{00000000-0006-0000-0500-000023010000}">
      <text>
        <r>
          <rPr>
            <sz val="11"/>
            <color theme="1"/>
            <rFont val="Calibri"/>
            <family val="2"/>
            <scheme val="minor"/>
          </rPr>
          <t>======
ID#AAABDq5Tq58
YULIED.PENARANDA    (2023-11-09 13:07:34)
Magnitud física de la meta proyecto de inversión, a programar o a realizar seguimiento, según la columna en que se reporte.</t>
        </r>
      </text>
    </comment>
    <comment ref="D275" authorId="0" shapeId="0" xr:uid="{00000000-0006-0000-0500-000024010000}">
      <text>
        <r>
          <rPr>
            <sz val="11"/>
            <color theme="1"/>
            <rFont val="Calibri"/>
            <family val="2"/>
            <scheme val="minor"/>
          </rPr>
          <t>======
ID#AAABDq5Tq20
YULIED.PENARANDA    (2023-11-09 13:07:34)
Recursos presupuestales asignados para la vigencia en programación  y/o seguimiento, según la columna en que se reporte</t>
        </r>
      </text>
    </comment>
    <comment ref="D276" authorId="0" shapeId="0" xr:uid="{00000000-0006-0000-0500-000025010000}">
      <text>
        <r>
          <rPr>
            <sz val="11"/>
            <color theme="1"/>
            <rFont val="Calibri"/>
            <family val="2"/>
            <scheme val="minor"/>
          </rPr>
          <t>======
ID#AAABDq5Trhs
YULIED.PENARANDA    (2023-11-09 13:07:34)
Magnitud física asociada a la reservas,  aplica para las meta con tipología suma, las cuales se pueden desagregar por los compromisos contraídos que al cierre de la vigencia fiscal no  se cumplierón.</t>
        </r>
      </text>
    </comment>
    <comment ref="D277" authorId="0" shapeId="0" xr:uid="{00000000-0006-0000-0500-000026010000}">
      <text>
        <r>
          <rPr>
            <sz val="11"/>
            <color theme="1"/>
            <rFont val="Calibri"/>
            <family val="2"/>
            <scheme val="minor"/>
          </rPr>
          <t>======
ID#AAABDq5Trzo
YULIED.PENARANDA    (2023-11-09 13:07:33)
Son compromisos legalmente contraídos que al cierre de la vigencia fiscal no se han atendido por no haberse completado las formalidades necesarias que hagan exigible el pago al terminarse el año.</t>
        </r>
      </text>
    </comment>
    <comment ref="D278" authorId="0" shapeId="0" xr:uid="{00000000-0006-0000-0500-000027010000}">
      <text>
        <r>
          <rPr>
            <sz val="11"/>
            <color theme="1"/>
            <rFont val="Calibri"/>
            <family val="2"/>
            <scheme val="minor"/>
          </rPr>
          <t>======
ID#AAABDq5TrfQ
YULIED.PENARANDA    (2023-11-09 13:07:34)
Para las metas de tipología suma (vigencia *reservas). Para las demás tipos de metas se asocia el mismo dato de la vigencia.</t>
        </r>
      </text>
    </comment>
    <comment ref="D279" authorId="0" shapeId="0" xr:uid="{00000000-0006-0000-0500-000028010000}">
      <text>
        <r>
          <rPr>
            <sz val="11"/>
            <color theme="1"/>
            <rFont val="Calibri"/>
            <family val="2"/>
            <scheme val="minor"/>
          </rPr>
          <t>======
ID#AAABDq5TroM
YULIED.PENARANDA    (2023-11-09 13:07:34)
Se suma los recursos presupuestales (vigencia + reservas)</t>
        </r>
      </text>
    </comment>
    <comment ref="D280" authorId="0" shapeId="0" xr:uid="{00000000-0006-0000-0500-000029010000}">
      <text>
        <r>
          <rPr>
            <sz val="11"/>
            <color theme="1"/>
            <rFont val="Calibri"/>
            <family val="2"/>
            <scheme val="minor"/>
          </rPr>
          <t>======
ID#AAABDq5Trng
YULIED.PENARANDA    (2023-11-09 13:07:33)
Magnitud física de la meta proyecto de inversión, a programar o a realizar seguimiento, según la columna en que se reporte.</t>
        </r>
      </text>
    </comment>
    <comment ref="D281" authorId="0" shapeId="0" xr:uid="{00000000-0006-0000-0500-00002A010000}">
      <text>
        <r>
          <rPr>
            <sz val="11"/>
            <color theme="1"/>
            <rFont val="Calibri"/>
            <family val="2"/>
            <scheme val="minor"/>
          </rPr>
          <t>======
ID#AAABDq5Tq6k
YULIED.PENARANDA    (2023-11-09 13:07:33)
Recursos presupuestales asignados para la vigencia en programación  y/o seguimiento, según la columna en que se reporte</t>
        </r>
      </text>
    </comment>
    <comment ref="D282" authorId="0" shapeId="0" xr:uid="{00000000-0006-0000-0500-00002B010000}">
      <text>
        <r>
          <rPr>
            <sz val="11"/>
            <color theme="1"/>
            <rFont val="Calibri"/>
            <family val="2"/>
            <scheme val="minor"/>
          </rPr>
          <t>======
ID#AAABDq5TrIE
YULIED.PENARANDA    (2023-11-09 13:07:34)
Magnitud física asociada a la reservas,  aplica para las meta con tipología suma, las cuales se pueden desagregar por los compromisos contraídos que al cierre de la vigencia fiscal no  se cumplierón.</t>
        </r>
      </text>
    </comment>
    <comment ref="D283" authorId="0" shapeId="0" xr:uid="{00000000-0006-0000-0500-00002C010000}">
      <text>
        <r>
          <rPr>
            <sz val="11"/>
            <color theme="1"/>
            <rFont val="Calibri"/>
            <family val="2"/>
            <scheme val="minor"/>
          </rPr>
          <t>======
ID#AAABDq5Trso
YULIED.PENARANDA    (2023-11-09 13:07:34)
Son compromisos legalmente contraídos que al cierre de la vigencia fiscal no se han atendido por no haberse completado las formalidades necesarias que hagan exigible el pago al terminarse el año.</t>
        </r>
      </text>
    </comment>
    <comment ref="D284" authorId="0" shapeId="0" xr:uid="{00000000-0006-0000-0500-00002D010000}">
      <text>
        <r>
          <rPr>
            <sz val="11"/>
            <color theme="1"/>
            <rFont val="Calibri"/>
            <family val="2"/>
            <scheme val="minor"/>
          </rPr>
          <t>======
ID#AAABDq5Tq_k
YULIED.PENARANDA    (2023-11-09 13:07:34)
Para las metas de tipología suma (vigencia *reservas). Para las demás tipos de metas se asocia el mismo dato de la vigencia.</t>
        </r>
      </text>
    </comment>
    <comment ref="D285" authorId="0" shapeId="0" xr:uid="{00000000-0006-0000-0500-00002E010000}">
      <text>
        <r>
          <rPr>
            <sz val="11"/>
            <color theme="1"/>
            <rFont val="Calibri"/>
            <family val="2"/>
            <scheme val="minor"/>
          </rPr>
          <t>======
ID#AAABDq5TrXY
YULIED.PENARANDA    (2023-11-09 13:07:34)
Se suma los recursos presupuestales (vigencia + reservas)</t>
        </r>
      </text>
    </comment>
    <comment ref="D286" authorId="0" shapeId="0" xr:uid="{00000000-0006-0000-0500-00002F010000}">
      <text>
        <r>
          <rPr>
            <sz val="11"/>
            <color theme="1"/>
            <rFont val="Calibri"/>
            <family val="2"/>
            <scheme val="minor"/>
          </rPr>
          <t>======
ID#AAABDq5Tq3o
YULIED.PENARANDA    (2023-11-09 13:07:33)
Magnitud física de la meta proyecto de inversión, a programar o a realizar seguimiento, según la columna en que se reporte.</t>
        </r>
      </text>
    </comment>
    <comment ref="D287" authorId="0" shapeId="0" xr:uid="{00000000-0006-0000-0500-000030010000}">
      <text>
        <r>
          <rPr>
            <sz val="11"/>
            <color theme="1"/>
            <rFont val="Calibri"/>
            <family val="2"/>
            <scheme val="minor"/>
          </rPr>
          <t>======
ID#AAABDq5TrWw
YULIED.PENARANDA    (2023-11-09 13:07:34)
Recursos presupuestales asignados para la vigencia en programación  y/o seguimiento, según la columna en que se reporte</t>
        </r>
      </text>
    </comment>
    <comment ref="D288" authorId="0" shapeId="0" xr:uid="{00000000-0006-0000-0500-000031010000}">
      <text>
        <r>
          <rPr>
            <sz val="11"/>
            <color theme="1"/>
            <rFont val="Calibri"/>
            <family val="2"/>
            <scheme val="minor"/>
          </rPr>
          <t>======
ID#AAABDq5TrZg
YULIED.PENARANDA    (2023-11-09 13:07:33)
Magnitud física asociada a la reservas,  aplica para las meta con tipología suma, las cuales se pueden desagregar por los compromisos contraídos que al cierre de la vigencia fiscal no  se cumplierón.</t>
        </r>
      </text>
    </comment>
    <comment ref="D289" authorId="0" shapeId="0" xr:uid="{00000000-0006-0000-0500-000032010000}">
      <text>
        <r>
          <rPr>
            <sz val="11"/>
            <color theme="1"/>
            <rFont val="Calibri"/>
            <family val="2"/>
            <scheme val="minor"/>
          </rPr>
          <t>======
ID#AAABDq5TrEY
YULIED.PENARANDA    (2023-11-09 13:07:34)
Son compromisos legalmente contraídos que al cierre de la vigencia fiscal no se han atendido por no haberse completado las formalidades necesarias que hagan exigible el pago al terminarse el año.</t>
        </r>
      </text>
    </comment>
    <comment ref="D290" authorId="0" shapeId="0" xr:uid="{00000000-0006-0000-0500-000033010000}">
      <text>
        <r>
          <rPr>
            <sz val="11"/>
            <color theme="1"/>
            <rFont val="Calibri"/>
            <family val="2"/>
            <scheme val="minor"/>
          </rPr>
          <t>======
ID#AAABDq5TrRg
YULIED.PENARANDA    (2023-11-09 13:07:34)
Para las metas de tipología suma (vigencia *reservas). Para las demás tipos de metas se asocia el mismo dato de la vigencia.</t>
        </r>
      </text>
    </comment>
    <comment ref="D291" authorId="0" shapeId="0" xr:uid="{00000000-0006-0000-0500-000034010000}">
      <text>
        <r>
          <rPr>
            <sz val="11"/>
            <color theme="1"/>
            <rFont val="Calibri"/>
            <family val="2"/>
            <scheme val="minor"/>
          </rPr>
          <t>======
ID#AAABDq5Tqyk
YULIED.PENARANDA    (2023-11-09 13:07:34)
Se suma los recursos presupuestales (vigencia + reservas)</t>
        </r>
      </text>
    </comment>
    <comment ref="D292" authorId="0" shapeId="0" xr:uid="{00000000-0006-0000-0500-000035010000}">
      <text>
        <r>
          <rPr>
            <sz val="11"/>
            <color theme="1"/>
            <rFont val="Calibri"/>
            <family val="2"/>
            <scheme val="minor"/>
          </rPr>
          <t>======
ID#AAABDq5Trhg
YULIED.PENARANDA    (2023-11-09 13:07:34)
Magnitud física de la meta proyecto de inversión, a programar o a realizar seguimiento, según la columna en que se reporte.</t>
        </r>
      </text>
    </comment>
    <comment ref="D293" authorId="0" shapeId="0" xr:uid="{00000000-0006-0000-0500-000036010000}">
      <text>
        <r>
          <rPr>
            <sz val="11"/>
            <color theme="1"/>
            <rFont val="Calibri"/>
            <family val="2"/>
            <scheme val="minor"/>
          </rPr>
          <t>======
ID#AAABDq5TrY4
YULIED.PENARANDA    (2023-11-09 13:07:34)
Recursos presupuestales asignados para la vigencia en programación  y/o seguimiento, según la columna en que se reporte</t>
        </r>
      </text>
    </comment>
    <comment ref="D294" authorId="0" shapeId="0" xr:uid="{00000000-0006-0000-0500-000037010000}">
      <text>
        <r>
          <rPr>
            <sz val="11"/>
            <color theme="1"/>
            <rFont val="Calibri"/>
            <family val="2"/>
            <scheme val="minor"/>
          </rPr>
          <t>======
ID#AAABDq5TrmA
YULIED.PENARANDA    (2023-11-09 13:07:34)
Magnitud física asociada a la reservas,  aplica para las meta con tipología suma, las cuales se pueden desagregar por los compromisos contraídos que al cierre de la vigencia fiscal no  se cumplierón.</t>
        </r>
      </text>
    </comment>
    <comment ref="D295" authorId="0" shapeId="0" xr:uid="{00000000-0006-0000-0500-000038010000}">
      <text>
        <r>
          <rPr>
            <sz val="11"/>
            <color theme="1"/>
            <rFont val="Calibri"/>
            <family val="2"/>
            <scheme val="minor"/>
          </rPr>
          <t>======
ID#AAABDq5TrNY
YULIED.PENARANDA    (2023-11-09 13:07:34)
Son compromisos legalmente contraídos que al cierre de la vigencia fiscal no se han atendido por no haberse completado las formalidades necesarias que hagan exigible el pago al terminarse el año.</t>
        </r>
      </text>
    </comment>
    <comment ref="D296" authorId="0" shapeId="0" xr:uid="{00000000-0006-0000-0500-000039010000}">
      <text>
        <r>
          <rPr>
            <sz val="11"/>
            <color theme="1"/>
            <rFont val="Calibri"/>
            <family val="2"/>
            <scheme val="minor"/>
          </rPr>
          <t>======
ID#AAABDq5Trd8
YULIED.PENARANDA    (2023-11-09 13:07:34)
Para las metas de tipología suma (vigencia *reservas). Para las demás tipos de metas se asocia el mismo dato de la vigencia.</t>
        </r>
      </text>
    </comment>
    <comment ref="D297" authorId="0" shapeId="0" xr:uid="{00000000-0006-0000-0500-00003A010000}">
      <text>
        <r>
          <rPr>
            <sz val="11"/>
            <color theme="1"/>
            <rFont val="Calibri"/>
            <family val="2"/>
            <scheme val="minor"/>
          </rPr>
          <t>======
ID#AAABDq5Trbo
YULIED.PENARANDA    (2023-11-09 13:07:34)
Se suma los recursos presupuestales (vigencia + reservas)</t>
        </r>
      </text>
    </comment>
    <comment ref="D298" authorId="0" shapeId="0" xr:uid="{00000000-0006-0000-0500-00003B010000}">
      <text>
        <r>
          <rPr>
            <sz val="11"/>
            <color theme="1"/>
            <rFont val="Calibri"/>
            <family val="2"/>
            <scheme val="minor"/>
          </rPr>
          <t>======
ID#AAABDq5TrdI
YULIED.PENARANDA    (2023-11-09 13:07:33)
Magnitud física de la meta proyecto de inversión, a programar o a realizar seguimiento, según la columna en que se reporte.</t>
        </r>
      </text>
    </comment>
    <comment ref="D299" authorId="0" shapeId="0" xr:uid="{00000000-0006-0000-0500-00003C010000}">
      <text>
        <r>
          <rPr>
            <sz val="11"/>
            <color theme="1"/>
            <rFont val="Calibri"/>
            <family val="2"/>
            <scheme val="minor"/>
          </rPr>
          <t>======
ID#AAABDq5TrHQ
YULIED.PENARANDA    (2023-11-09 13:07:33)
Recursos presupuestales asignados para la vigencia en programación  y/o seguimiento, según la columna en que se reporte</t>
        </r>
      </text>
    </comment>
    <comment ref="D300" authorId="0" shapeId="0" xr:uid="{00000000-0006-0000-0500-00003D010000}">
      <text>
        <r>
          <rPr>
            <sz val="11"/>
            <color theme="1"/>
            <rFont val="Calibri"/>
            <family val="2"/>
            <scheme val="minor"/>
          </rPr>
          <t>======
ID#AAABDq5TrH8
YULIED.PENARANDA    (2023-11-09 13:07:33)
Magnitud física asociada a la reservas,  aplica para las meta con tipología suma, las cuales se pueden desagregar por los compromisos contraídos que al cierre de la vigencia fiscal no  se cumplierón.</t>
        </r>
      </text>
    </comment>
    <comment ref="D301" authorId="0" shapeId="0" xr:uid="{00000000-0006-0000-0500-00003E010000}">
      <text>
        <r>
          <rPr>
            <sz val="11"/>
            <color theme="1"/>
            <rFont val="Calibri"/>
            <family val="2"/>
            <scheme val="minor"/>
          </rPr>
          <t>======
ID#AAABDq5TriI
YULIED.PENARANDA    (2023-11-09 13:07:34)
Son compromisos legalmente contraídos que al cierre de la vigencia fiscal no se han atendido por no haberse completado las formalidades necesarias que hagan exigible el pago al terminarse el año.</t>
        </r>
      </text>
    </comment>
    <comment ref="D302" authorId="0" shapeId="0" xr:uid="{00000000-0006-0000-0500-00003F010000}">
      <text>
        <r>
          <rPr>
            <sz val="11"/>
            <color theme="1"/>
            <rFont val="Calibri"/>
            <family val="2"/>
            <scheme val="minor"/>
          </rPr>
          <t>======
ID#AAABDq5Tqpc
YULIED.PENARANDA    (2023-11-09 13:07:34)
Para las metas de tipología suma (vigencia *reservas). Para las demás tipos de metas se asocia el mismo dato de la vigencia.</t>
        </r>
      </text>
    </comment>
    <comment ref="D303" authorId="0" shapeId="0" xr:uid="{00000000-0006-0000-0500-000040010000}">
      <text>
        <r>
          <rPr>
            <sz val="11"/>
            <color theme="1"/>
            <rFont val="Calibri"/>
            <family val="2"/>
            <scheme val="minor"/>
          </rPr>
          <t>======
ID#AAABDq5Tq40
YULIED.PENARANDA    (2023-11-09 13:07:34)
Se suma los recursos presupuestales (vigencia + reservas)</t>
        </r>
      </text>
    </comment>
    <comment ref="D304" authorId="0" shapeId="0" xr:uid="{00000000-0006-0000-0500-000041010000}">
      <text>
        <r>
          <rPr>
            <sz val="11"/>
            <color theme="1"/>
            <rFont val="Calibri"/>
            <family val="2"/>
            <scheme val="minor"/>
          </rPr>
          <t>======
ID#AAABDq5Tq8A
YULIED.PENARANDA    (2023-11-09 13:07:33)
Magnitud física de la meta proyecto de inversión, a programar o a realizar seguimiento, según la columna en que se reporte.</t>
        </r>
      </text>
    </comment>
    <comment ref="D305" authorId="0" shapeId="0" xr:uid="{00000000-0006-0000-0500-000042010000}">
      <text>
        <r>
          <rPr>
            <sz val="11"/>
            <color theme="1"/>
            <rFont val="Calibri"/>
            <family val="2"/>
            <scheme val="minor"/>
          </rPr>
          <t>======
ID#AAABDq5TrtM
YULIED.PENARANDA    (2023-11-09 13:07:33)
Recursos presupuestales asignados para la vigencia en programación  y/o seguimiento, según la columna en que se reporte</t>
        </r>
      </text>
    </comment>
    <comment ref="D306" authorId="0" shapeId="0" xr:uid="{00000000-0006-0000-0500-000043010000}">
      <text>
        <r>
          <rPr>
            <sz val="11"/>
            <color theme="1"/>
            <rFont val="Calibri"/>
            <family val="2"/>
            <scheme val="minor"/>
          </rPr>
          <t>======
ID#AAABDq5TrXg
YULIED.PENARANDA    (2023-11-09 13:07:33)
Magnitud física asociada a la reservas,  aplica para las meta con tipología suma, las cuales se pueden desagregar por los compromisos contraídos que al cierre de la vigencia fiscal no  se cumplierón.</t>
        </r>
      </text>
    </comment>
    <comment ref="D307" authorId="0" shapeId="0" xr:uid="{00000000-0006-0000-0500-000044010000}">
      <text>
        <r>
          <rPr>
            <sz val="11"/>
            <color theme="1"/>
            <rFont val="Calibri"/>
            <family val="2"/>
            <scheme val="minor"/>
          </rPr>
          <t>======
ID#AAABDq5TrU0
YULIED.PENARANDA    (2023-11-09 13:07:34)
Son compromisos legalmente contraídos que al cierre de la vigencia fiscal no se han atendido por no haberse completado las formalidades necesarias que hagan exigible el pago al terminarse el año.</t>
        </r>
      </text>
    </comment>
    <comment ref="D308" authorId="0" shapeId="0" xr:uid="{00000000-0006-0000-0500-000045010000}">
      <text>
        <r>
          <rPr>
            <sz val="11"/>
            <color theme="1"/>
            <rFont val="Calibri"/>
            <family val="2"/>
            <scheme val="minor"/>
          </rPr>
          <t>======
ID#AAABDq5Tq28
YULIED.PENARANDA    (2023-11-09 13:07:34)
Para las metas de tipología suma (vigencia *reservas). Para las demás tipos de metas se asocia el mismo dato de la vigencia.</t>
        </r>
      </text>
    </comment>
    <comment ref="D309" authorId="0" shapeId="0" xr:uid="{00000000-0006-0000-0500-000046010000}">
      <text>
        <r>
          <rPr>
            <sz val="11"/>
            <color theme="1"/>
            <rFont val="Calibri"/>
            <family val="2"/>
            <scheme val="minor"/>
          </rPr>
          <t>======
ID#AAABDq5Tq7I
YULIED.PENARANDA    (2023-11-09 13:07:34)
Se suma los recursos presupuestales (vigencia + reservas)</t>
        </r>
      </text>
    </comment>
    <comment ref="D310" authorId="0" shapeId="0" xr:uid="{00000000-0006-0000-0500-000047010000}">
      <text>
        <r>
          <rPr>
            <sz val="11"/>
            <color theme="1"/>
            <rFont val="Calibri"/>
            <family val="2"/>
            <scheme val="minor"/>
          </rPr>
          <t>======
ID#AAABDq5Tris
YULIED.PENARANDA    (2023-11-09 13:07:34)
Magnitud física de la meta proyecto de inversión, a programar o a realizar seguimiento, según la columna en que se reporte.</t>
        </r>
      </text>
    </comment>
    <comment ref="D311" authorId="0" shapeId="0" xr:uid="{00000000-0006-0000-0500-000048010000}">
      <text>
        <r>
          <rPr>
            <sz val="11"/>
            <color theme="1"/>
            <rFont val="Calibri"/>
            <family val="2"/>
            <scheme val="minor"/>
          </rPr>
          <t>======
ID#AAABDq5TrSY
YULIED.PENARANDA    (2023-11-09 13:07:33)
Recursos presupuestales asignados para la vigencia en programación  y/o seguimiento, según la columna en que se reporte</t>
        </r>
      </text>
    </comment>
    <comment ref="AE311" authorId="0" shapeId="0" xr:uid="{00000000-0006-0000-0500-000049010000}">
      <text>
        <r>
          <rPr>
            <sz val="11"/>
            <color theme="1"/>
            <rFont val="Calibri"/>
            <family val="2"/>
            <scheme val="minor"/>
          </rPr>
          <t>======
ID#AAABDq5TrzI
Angela    (2023-11-09 13:07:33)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2" authorId="0" shapeId="0" xr:uid="{00000000-0006-0000-0500-00004A010000}">
      <text>
        <r>
          <rPr>
            <sz val="11"/>
            <color theme="1"/>
            <rFont val="Calibri"/>
            <family val="2"/>
            <scheme val="minor"/>
          </rPr>
          <t>======
ID#AAABDq5Tq0A
YULIED.PENARANDA    (2023-11-09 13:07:34)
Magnitud física asociada a la reservas,  aplica para las meta con tipología suma, las cuales se pueden desagregar por los compromisos contraídos que al cierre de la vigencia fiscal no  se cumplierón.</t>
        </r>
      </text>
    </comment>
    <comment ref="D313" authorId="0" shapeId="0" xr:uid="{00000000-0006-0000-0500-00004B010000}">
      <text>
        <r>
          <rPr>
            <sz val="11"/>
            <color theme="1"/>
            <rFont val="Calibri"/>
            <family val="2"/>
            <scheme val="minor"/>
          </rPr>
          <t>======
ID#AAABDq5TrcA
YULIED.PENARANDA    (2023-11-09 13:07:33)
Son compromisos legalmente contraídos que al cierre de la vigencia fiscal no se han atendido por no haberse completado las formalidades necesarias que hagan exigible el pago al terminarse el año.</t>
        </r>
      </text>
    </comment>
    <comment ref="D314" authorId="0" shapeId="0" xr:uid="{00000000-0006-0000-0500-00004C010000}">
      <text>
        <r>
          <rPr>
            <sz val="11"/>
            <color theme="1"/>
            <rFont val="Calibri"/>
            <family val="2"/>
            <scheme val="minor"/>
          </rPr>
          <t>======
ID#AAABDq5TrKc
YULIED.PENARANDA    (2023-11-09 13:07:34)
Para las metas de tipología suma (vigencia *reservas). Para las demás tipos de metas se asocia el mismo dato de la vigencia.</t>
        </r>
      </text>
    </comment>
    <comment ref="D315" authorId="0" shapeId="0" xr:uid="{00000000-0006-0000-0500-00004D010000}">
      <text>
        <r>
          <rPr>
            <sz val="11"/>
            <color theme="1"/>
            <rFont val="Calibri"/>
            <family val="2"/>
            <scheme val="minor"/>
          </rPr>
          <t>======
ID#AAABDq5TrSE
YULIED.PENARANDA    (2023-11-09 13:07:33)
Se suma los recursos presupuestales (vigencia + reservas)</t>
        </r>
      </text>
    </comment>
    <comment ref="D316" authorId="0" shapeId="0" xr:uid="{00000000-0006-0000-0500-00004E010000}">
      <text>
        <r>
          <rPr>
            <sz val="11"/>
            <color theme="1"/>
            <rFont val="Calibri"/>
            <family val="2"/>
            <scheme val="minor"/>
          </rPr>
          <t>======
ID#AAABDq5Tq0k
YULIED.PENARANDA    (2023-11-09 13:07:33)
Magnitud física de la meta proyecto de inversión, a programar o a realizar seguimiento, según la columna en que se reporte.</t>
        </r>
      </text>
    </comment>
    <comment ref="D317" authorId="0" shapeId="0" xr:uid="{00000000-0006-0000-0500-00004F010000}">
      <text>
        <r>
          <rPr>
            <sz val="11"/>
            <color theme="1"/>
            <rFont val="Calibri"/>
            <family val="2"/>
            <scheme val="minor"/>
          </rPr>
          <t>======
ID#AAABDq5TriQ
YULIED.PENARANDA    (2023-11-09 13:07:34)
Recursos presupuestales asignados para la vigencia en programación  y/o seguimiento, según la columna en que se reporte</t>
        </r>
      </text>
    </comment>
    <comment ref="AE317" authorId="0" shapeId="0" xr:uid="{00000000-0006-0000-0500-000050010000}">
      <text>
        <r>
          <rPr>
            <sz val="11"/>
            <color theme="1"/>
            <rFont val="Calibri"/>
            <family val="2"/>
            <scheme val="minor"/>
          </rPr>
          <t>======
ID#AAABDq5Trbg
Angela    (2023-11-09 13:07:33)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8" authorId="0" shapeId="0" xr:uid="{00000000-0006-0000-0500-000051010000}">
      <text>
        <r>
          <rPr>
            <sz val="11"/>
            <color theme="1"/>
            <rFont val="Calibri"/>
            <family val="2"/>
            <scheme val="minor"/>
          </rPr>
          <t>======
ID#AAABDq5TrPg
YULIED.PENARANDA    (2023-11-09 13:07:33)
Magnitud física asociada a la reservas,  aplica para las meta con tipología suma, las cuales se pueden desagregar por los compromisos contraídos que al cierre de la vigencia fiscal no  se cumplierón.</t>
        </r>
      </text>
    </comment>
    <comment ref="D319" authorId="0" shapeId="0" xr:uid="{00000000-0006-0000-0500-000052010000}">
      <text>
        <r>
          <rPr>
            <sz val="11"/>
            <color theme="1"/>
            <rFont val="Calibri"/>
            <family val="2"/>
            <scheme val="minor"/>
          </rPr>
          <t>======
ID#AAABDq5Tq08
YULIED.PENARANDA    (2023-11-09 13:07:33)
Son compromisos legalmente contraídos que al cierre de la vigencia fiscal no se han atendido por no haberse completado las formalidades necesarias que hagan exigible el pago al terminarse el año.</t>
        </r>
      </text>
    </comment>
    <comment ref="D320" authorId="0" shapeId="0" xr:uid="{00000000-0006-0000-0500-000053010000}">
      <text>
        <r>
          <rPr>
            <sz val="11"/>
            <color theme="1"/>
            <rFont val="Calibri"/>
            <family val="2"/>
            <scheme val="minor"/>
          </rPr>
          <t>======
ID#AAABDq5Tq8Q
YULIED.PENARANDA    (2023-11-09 13:07:33)
Para las metas de tipología suma (vigencia *reservas). Para las demás tipos de metas se asocia el mismo dato de la vigencia.</t>
        </r>
      </text>
    </comment>
    <comment ref="D321" authorId="0" shapeId="0" xr:uid="{00000000-0006-0000-0500-000054010000}">
      <text>
        <r>
          <rPr>
            <sz val="11"/>
            <color theme="1"/>
            <rFont val="Calibri"/>
            <family val="2"/>
            <scheme val="minor"/>
          </rPr>
          <t>======
ID#AAABDq5TrFQ
YULIED.PENARANDA    (2023-11-09 13:07:34)
Se suma los recursos presupuestales (vigencia + reservas)</t>
        </r>
      </text>
    </comment>
    <comment ref="D322" authorId="0" shapeId="0" xr:uid="{00000000-0006-0000-0500-000055010000}">
      <text>
        <r>
          <rPr>
            <sz val="11"/>
            <color theme="1"/>
            <rFont val="Calibri"/>
            <family val="2"/>
            <scheme val="minor"/>
          </rPr>
          <t>======
ID#AAABDq5TrDg
YULIED.PENARANDA    (2023-11-09 13:07:33)
Magnitud física de la meta proyecto de inversión, a programar o a realizar seguimiento, según la columna en que se reporte.</t>
        </r>
      </text>
    </comment>
    <comment ref="D323" authorId="0" shapeId="0" xr:uid="{00000000-0006-0000-0500-000056010000}">
      <text>
        <r>
          <rPr>
            <sz val="11"/>
            <color theme="1"/>
            <rFont val="Calibri"/>
            <family val="2"/>
            <scheme val="minor"/>
          </rPr>
          <t>======
ID#AAABDq5TrBU
YULIED.PENARANDA    (2023-11-09 13:07:34)
Recursos presupuestales asignados para la vigencia en programación  y/o seguimiento, según la columna en que se reporte</t>
        </r>
      </text>
    </comment>
    <comment ref="AE323" authorId="0" shapeId="0" xr:uid="{00000000-0006-0000-0500-000057010000}">
      <text>
        <r>
          <rPr>
            <sz val="11"/>
            <color theme="1"/>
            <rFont val="Calibri"/>
            <family val="2"/>
            <scheme val="minor"/>
          </rPr>
          <t>======
ID#AAABDq5Tq98
Angela    (2023-11-09 13:07:34)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24" authorId="0" shapeId="0" xr:uid="{00000000-0006-0000-0500-000058010000}">
      <text>
        <r>
          <rPr>
            <sz val="11"/>
            <color theme="1"/>
            <rFont val="Calibri"/>
            <family val="2"/>
            <scheme val="minor"/>
          </rPr>
          <t>======
ID#AAABDq5Trc4
YULIED.PENARANDA    (2023-11-09 13:07:34)
Magnitud física asociada a la reservas,  aplica para las meta con tipología suma, las cuales se pueden desagregar por los compromisos contraídos que al cierre de la vigencia fiscal no  se cumplierón.</t>
        </r>
      </text>
    </comment>
    <comment ref="D325" authorId="0" shapeId="0" xr:uid="{00000000-0006-0000-0500-000059010000}">
      <text>
        <r>
          <rPr>
            <sz val="11"/>
            <color theme="1"/>
            <rFont val="Calibri"/>
            <family val="2"/>
            <scheme val="minor"/>
          </rPr>
          <t>======
ID#AAABDq5TrJY
YULIED.PENARANDA    (2023-11-09 13:07:33)
Son compromisos legalmente contraídos que al cierre de la vigencia fiscal no se han atendido por no haberse completado las formalidades necesarias que hagan exigible el pago al terminarse el año.</t>
        </r>
      </text>
    </comment>
    <comment ref="D326" authorId="0" shapeId="0" xr:uid="{00000000-0006-0000-0500-00005A010000}">
      <text>
        <r>
          <rPr>
            <sz val="11"/>
            <color theme="1"/>
            <rFont val="Calibri"/>
            <family val="2"/>
            <scheme val="minor"/>
          </rPr>
          <t>======
ID#AAABDq5Trhw
YULIED.PENARANDA    (2023-11-09 13:07:33)
Para las metas de tipología suma (vigencia *reservas). Para las demás tipos de metas se asocia el mismo dato de la vigencia.</t>
        </r>
      </text>
    </comment>
    <comment ref="D327" authorId="0" shapeId="0" xr:uid="{00000000-0006-0000-0500-00005B010000}">
      <text>
        <r>
          <rPr>
            <sz val="11"/>
            <color theme="1"/>
            <rFont val="Calibri"/>
            <family val="2"/>
            <scheme val="minor"/>
          </rPr>
          <t>======
ID#AAABDq5TrQg
YULIED.PENARANDA    (2023-11-09 13:07:34)
Se suma los recursos presupuestales (vigencia + reservas)</t>
        </r>
      </text>
    </comment>
    <comment ref="D328" authorId="0" shapeId="0" xr:uid="{00000000-0006-0000-0500-00005C010000}">
      <text>
        <r>
          <rPr>
            <sz val="11"/>
            <color theme="1"/>
            <rFont val="Calibri"/>
            <family val="2"/>
            <scheme val="minor"/>
          </rPr>
          <t>======
ID#AAABDq5Trak
YULIED.PENARANDA    (2023-11-09 13:07:33)
Magnitud física de la meta proyecto de inversión, a programar o a realizar seguimiento, según la columna en que se reporte.</t>
        </r>
      </text>
    </comment>
    <comment ref="D329" authorId="0" shapeId="0" xr:uid="{00000000-0006-0000-0500-00005D010000}">
      <text>
        <r>
          <rPr>
            <sz val="11"/>
            <color theme="1"/>
            <rFont val="Calibri"/>
            <family val="2"/>
            <scheme val="minor"/>
          </rPr>
          <t>======
ID#AAABDq5Tq6U
YULIED.PENARANDA    (2023-11-09 13:07:34)
Recursos presupuestales asignados para la vigencia en programación  y/o seguimiento, según la columna en que se reporte</t>
        </r>
      </text>
    </comment>
    <comment ref="AE329" authorId="0" shapeId="0" xr:uid="{00000000-0006-0000-0500-00005E010000}">
      <text>
        <r>
          <rPr>
            <sz val="11"/>
            <color theme="1"/>
            <rFont val="Calibri"/>
            <family val="2"/>
            <scheme val="minor"/>
          </rPr>
          <t>======
ID#AAABDq5Tq4o
Angela    (2023-11-09 13:07:34)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30" authorId="0" shapeId="0" xr:uid="{00000000-0006-0000-0500-00005F010000}">
      <text>
        <r>
          <rPr>
            <sz val="11"/>
            <color theme="1"/>
            <rFont val="Calibri"/>
            <family val="2"/>
            <scheme val="minor"/>
          </rPr>
          <t>======
ID#AAABDq5TrOg
YULIED.PENARANDA    (2023-11-09 13:07:34)
Magnitud física asociada a la reservas,  aplica para las meta con tipología suma, las cuales se pueden desagregar por los compromisos contraídos que al cierre de la vigencia fiscal no  se cumplierón.</t>
        </r>
      </text>
    </comment>
    <comment ref="D331" authorId="0" shapeId="0" xr:uid="{00000000-0006-0000-0500-000060010000}">
      <text>
        <r>
          <rPr>
            <sz val="11"/>
            <color theme="1"/>
            <rFont val="Calibri"/>
            <family val="2"/>
            <scheme val="minor"/>
          </rPr>
          <t>======
ID#AAABDq5TrrE
YULIED.PENARANDA    (2023-11-09 13:07:33)
Son compromisos legalmente contraídos que al cierre de la vigencia fiscal no se han atendido por no haberse completado las formalidades necesarias que hagan exigible el pago al terminarse el año.</t>
        </r>
      </text>
    </comment>
    <comment ref="D332" authorId="0" shapeId="0" xr:uid="{00000000-0006-0000-0500-000061010000}">
      <text>
        <r>
          <rPr>
            <sz val="11"/>
            <color theme="1"/>
            <rFont val="Calibri"/>
            <family val="2"/>
            <scheme val="minor"/>
          </rPr>
          <t>======
ID#AAABDq5TrgY
YULIED.PENARANDA    (2023-11-09 13:07:34)
Para las metas de tipología suma (vigencia *reservas). Para las demás tipos de metas se asocia el mismo dato de la vigencia.</t>
        </r>
      </text>
    </comment>
    <comment ref="D333" authorId="0" shapeId="0" xr:uid="{00000000-0006-0000-0500-000062010000}">
      <text>
        <r>
          <rPr>
            <sz val="11"/>
            <color theme="1"/>
            <rFont val="Calibri"/>
            <family val="2"/>
            <scheme val="minor"/>
          </rPr>
          <t>======
ID#AAABDq5Tro0
YULIED.PENARANDA    (2023-11-09 13:07:34)
Se suma los recursos presupuestales (vigencia + reservas)</t>
        </r>
      </text>
    </comment>
    <comment ref="D334" authorId="0" shapeId="0" xr:uid="{00000000-0006-0000-0500-000063010000}">
      <text>
        <r>
          <rPr>
            <sz val="11"/>
            <color theme="1"/>
            <rFont val="Calibri"/>
            <family val="2"/>
            <scheme val="minor"/>
          </rPr>
          <t>======
ID#AAABDq5TrRw
YULIED.PENARANDA    (2023-11-09 13:07:34)
Magnitud física de la meta proyecto de inversión, a programar o a realizar seguimiento, según la columna en que se reporte.</t>
        </r>
      </text>
    </comment>
    <comment ref="D335" authorId="0" shapeId="0" xr:uid="{00000000-0006-0000-0500-000064010000}">
      <text>
        <r>
          <rPr>
            <sz val="11"/>
            <color theme="1"/>
            <rFont val="Calibri"/>
            <family val="2"/>
            <scheme val="minor"/>
          </rPr>
          <t>======
ID#AAABDq5Tq1U
YULIED.PENARANDA    (2023-11-09 13:07:33)
Recursos presupuestales asignados para la vigencia en programación  y/o seguimiento, según la columna en que se reporte</t>
        </r>
      </text>
    </comment>
    <comment ref="D336" authorId="0" shapeId="0" xr:uid="{00000000-0006-0000-0500-000065010000}">
      <text>
        <r>
          <rPr>
            <sz val="11"/>
            <color theme="1"/>
            <rFont val="Calibri"/>
            <family val="2"/>
            <scheme val="minor"/>
          </rPr>
          <t>======
ID#AAABDq5TrAY
YULIED.PENARANDA    (2023-11-09 13:07:33)
Magnitud física asociada a la reservas,  aplica para las meta con tipología suma, las cuales se pueden desagregar por los compromisos contraídos que al cierre de la vigencia fiscal no  se cumplierón.</t>
        </r>
      </text>
    </comment>
    <comment ref="D337" authorId="0" shapeId="0" xr:uid="{00000000-0006-0000-0500-000066010000}">
      <text>
        <r>
          <rPr>
            <sz val="11"/>
            <color theme="1"/>
            <rFont val="Calibri"/>
            <family val="2"/>
            <scheme val="minor"/>
          </rPr>
          <t>======
ID#AAABDq5Tq0E
YULIED.PENARANDA    (2023-11-09 13:07:34)
Son compromisos legalmente contraídos que al cierre de la vigencia fiscal no se han atendido por no haberse completado las formalidades necesarias que hagan exigible el pago al terminarse el año.</t>
        </r>
      </text>
    </comment>
    <comment ref="D338" authorId="0" shapeId="0" xr:uid="{00000000-0006-0000-0500-000067010000}">
      <text>
        <r>
          <rPr>
            <sz val="11"/>
            <color theme="1"/>
            <rFont val="Calibri"/>
            <family val="2"/>
            <scheme val="minor"/>
          </rPr>
          <t>======
ID#AAABDq5TrmI
YULIED.PENARANDA    (2023-11-09 13:07:34)
Para las metas de tipología suma (vigencia *reservas). Para las demás tipos de metas se asocia el mismo dato de la vigencia.</t>
        </r>
      </text>
    </comment>
    <comment ref="D339" authorId="0" shapeId="0" xr:uid="{00000000-0006-0000-0500-000068010000}">
      <text>
        <r>
          <rPr>
            <sz val="11"/>
            <color theme="1"/>
            <rFont val="Calibri"/>
            <family val="2"/>
            <scheme val="minor"/>
          </rPr>
          <t>======
ID#AAABDq5Tq64
YULIED.PENARANDA    (2023-11-09 13:07:33)
Se suma los recursos presupuestales (vigencia + reservas)</t>
        </r>
      </text>
    </comment>
    <comment ref="D340" authorId="0" shapeId="0" xr:uid="{00000000-0006-0000-0500-000069010000}">
      <text>
        <r>
          <rPr>
            <sz val="11"/>
            <color theme="1"/>
            <rFont val="Calibri"/>
            <family val="2"/>
            <scheme val="minor"/>
          </rPr>
          <t>======
ID#AAABDq5TrZQ
YULIED.PENARANDA    (2023-11-09 13:07:34)
Magnitud física de la meta proyecto de inversión, a programar o a realizar seguimiento, según la columna en que se reporte.</t>
        </r>
      </text>
    </comment>
    <comment ref="D341" authorId="0" shapeId="0" xr:uid="{00000000-0006-0000-0500-00006A010000}">
      <text>
        <r>
          <rPr>
            <sz val="11"/>
            <color theme="1"/>
            <rFont val="Calibri"/>
            <family val="2"/>
            <scheme val="minor"/>
          </rPr>
          <t>======
ID#AAABDq5Tq_I
YULIED.PENARANDA    (2023-11-09 13:07:34)
Recursos presupuestales asignados para la vigencia en programación  y/o seguimiento, según la columna en que se reporte</t>
        </r>
      </text>
    </comment>
    <comment ref="D342" authorId="0" shapeId="0" xr:uid="{00000000-0006-0000-0500-00006B010000}">
      <text>
        <r>
          <rPr>
            <sz val="11"/>
            <color theme="1"/>
            <rFont val="Calibri"/>
            <family val="2"/>
            <scheme val="minor"/>
          </rPr>
          <t>======
ID#AAABDq5Trwo
YULIED.PENARANDA    (2023-11-09 13:07:34)
Magnitud física asociada a la reservas,  aplica para las meta con tipología suma, las cuales se pueden desagregar por los compromisos contraídos que al cierre de la vigencia fiscal no  se cumplierón.</t>
        </r>
      </text>
    </comment>
    <comment ref="D343" authorId="0" shapeId="0" xr:uid="{00000000-0006-0000-0500-00006C010000}">
      <text>
        <r>
          <rPr>
            <sz val="11"/>
            <color theme="1"/>
            <rFont val="Calibri"/>
            <family val="2"/>
            <scheme val="minor"/>
          </rPr>
          <t>======
ID#AAABDq5TrEc
YULIED.PENARANDA    (2023-11-09 13:07:34)
Son compromisos legalmente contraídos que al cierre de la vigencia fiscal no se han atendido por no haberse completado las formalidades necesarias que hagan exigible el pago al terminarse el año.</t>
        </r>
      </text>
    </comment>
    <comment ref="D344" authorId="0" shapeId="0" xr:uid="{00000000-0006-0000-0500-00006D010000}">
      <text>
        <r>
          <rPr>
            <sz val="11"/>
            <color theme="1"/>
            <rFont val="Calibri"/>
            <family val="2"/>
            <scheme val="minor"/>
          </rPr>
          <t>======
ID#AAABDq5Tq70
YULIED.PENARANDA    (2023-11-09 13:07:33)
Para las metas de tipología suma (vigencia *reservas). Para las demás tipos de metas se asocia el mismo dato de la vigencia.</t>
        </r>
      </text>
    </comment>
    <comment ref="D345" authorId="0" shapeId="0" xr:uid="{00000000-0006-0000-0500-00006E010000}">
      <text>
        <r>
          <rPr>
            <sz val="11"/>
            <color theme="1"/>
            <rFont val="Calibri"/>
            <family val="2"/>
            <scheme val="minor"/>
          </rPr>
          <t>======
ID#AAABDq5TrYI
YULIED.PENARANDA    (2023-11-09 13:07:33)
Se suma los recursos presupuestales (vigencia + reservas)</t>
        </r>
      </text>
    </comment>
    <comment ref="D346" authorId="0" shapeId="0" xr:uid="{00000000-0006-0000-0500-00006F010000}">
      <text>
        <r>
          <rPr>
            <sz val="11"/>
            <color theme="1"/>
            <rFont val="Calibri"/>
            <family val="2"/>
            <scheme val="minor"/>
          </rPr>
          <t>======
ID#AAABDq5TrxE
YULIED.PENARANDA    (2023-11-09 13:07:34)
Magnitud física de la meta proyecto de inversión, a programar o a realizar seguimiento, según la columna en que se reporte.</t>
        </r>
      </text>
    </comment>
    <comment ref="D347" authorId="0" shapeId="0" xr:uid="{00000000-0006-0000-0500-000070010000}">
      <text>
        <r>
          <rPr>
            <sz val="11"/>
            <color theme="1"/>
            <rFont val="Calibri"/>
            <family val="2"/>
            <scheme val="minor"/>
          </rPr>
          <t>======
ID#AAABDq5TrN0
YULIED.PENARANDA    (2023-11-09 13:07:34)
Recursos presupuestales asignados para la vigencia en programación  y/o seguimiento, según la columna en que se reporte</t>
        </r>
      </text>
    </comment>
    <comment ref="D348" authorId="0" shapeId="0" xr:uid="{00000000-0006-0000-0500-000071010000}">
      <text>
        <r>
          <rPr>
            <sz val="11"/>
            <color theme="1"/>
            <rFont val="Calibri"/>
            <family val="2"/>
            <scheme val="minor"/>
          </rPr>
          <t>======
ID#AAABDq5TrfI
YULIED.PENARANDA    (2023-11-09 13:07:34)
Magnitud física asociada a la reservas,  aplica para las meta con tipología suma, las cuales se pueden desagregar por los compromisos contraídos que al cierre de la vigencia fiscal no  se cumplierón.</t>
        </r>
      </text>
    </comment>
    <comment ref="D349" authorId="0" shapeId="0" xr:uid="{00000000-0006-0000-0500-000072010000}">
      <text>
        <r>
          <rPr>
            <sz val="11"/>
            <color theme="1"/>
            <rFont val="Calibri"/>
            <family val="2"/>
            <scheme val="minor"/>
          </rPr>
          <t>======
ID#AAABDq5TrM0
YULIED.PENARANDA    (2023-11-09 13:07:33)
Son compromisos legalmente contraídos que al cierre de la vigencia fiscal no se han atendido por no haberse completado las formalidades necesarias que hagan exigible el pago al terminarse el año.</t>
        </r>
      </text>
    </comment>
    <comment ref="D350" authorId="0" shapeId="0" xr:uid="{00000000-0006-0000-0500-000073010000}">
      <text>
        <r>
          <rPr>
            <sz val="11"/>
            <color theme="1"/>
            <rFont val="Calibri"/>
            <family val="2"/>
            <scheme val="minor"/>
          </rPr>
          <t>======
ID#AAABDq5TrI0
YULIED.PENARANDA    (2023-11-09 13:07:34)
Para las metas de tipología suma (vigencia *reservas). Para las demás tipos de metas se asocia el mismo dato de la vigencia.</t>
        </r>
      </text>
    </comment>
    <comment ref="D351" authorId="0" shapeId="0" xr:uid="{00000000-0006-0000-0500-000074010000}">
      <text>
        <r>
          <rPr>
            <sz val="11"/>
            <color theme="1"/>
            <rFont val="Calibri"/>
            <family val="2"/>
            <scheme val="minor"/>
          </rPr>
          <t>======
ID#AAABDq5TrWE
YULIED.PENARANDA    (2023-11-09 13:07:34)
Se suma los recursos presupuestales (vigencia + reservas)</t>
        </r>
      </text>
    </comment>
    <comment ref="D352" authorId="0" shapeId="0" xr:uid="{00000000-0006-0000-0500-000075010000}">
      <text>
        <r>
          <rPr>
            <sz val="11"/>
            <color theme="1"/>
            <rFont val="Calibri"/>
            <family val="2"/>
            <scheme val="minor"/>
          </rPr>
          <t>======
ID#AAABDq5TrLk
YULIED.PENARANDA    (2023-11-09 13:07:34)
Magnitud física de la meta proyecto de inversión, a programar o a realizar seguimiento, según la columna en que se reporte.</t>
        </r>
      </text>
    </comment>
    <comment ref="D353" authorId="0" shapeId="0" xr:uid="{00000000-0006-0000-0500-000076010000}">
      <text>
        <r>
          <rPr>
            <sz val="11"/>
            <color theme="1"/>
            <rFont val="Calibri"/>
            <family val="2"/>
            <scheme val="minor"/>
          </rPr>
          <t>======
ID#AAABDq5TrjI
YULIED.PENARANDA    (2023-11-09 13:07:33)
Recursos presupuestales asignados para la vigencia en programación  y/o seguimiento, según la columna en que se reporte</t>
        </r>
      </text>
    </comment>
    <comment ref="D354" authorId="0" shapeId="0" xr:uid="{00000000-0006-0000-0500-000077010000}">
      <text>
        <r>
          <rPr>
            <sz val="11"/>
            <color theme="1"/>
            <rFont val="Calibri"/>
            <family val="2"/>
            <scheme val="minor"/>
          </rPr>
          <t>======
ID#AAABDq5TrBo
YULIED.PENARANDA    (2023-11-09 13:07:34)
Magnitud física asociada a la reservas,  aplica para las meta con tipología suma, las cuales se pueden desagregar por los compromisos contraídos que al cierre de la vigencia fiscal no  se cumplierón.</t>
        </r>
      </text>
    </comment>
    <comment ref="D355" authorId="0" shapeId="0" xr:uid="{00000000-0006-0000-0500-000078010000}">
      <text>
        <r>
          <rPr>
            <sz val="11"/>
            <color theme="1"/>
            <rFont val="Calibri"/>
            <family val="2"/>
            <scheme val="minor"/>
          </rPr>
          <t>======
ID#AAABDq5Tric
YULIED.PENARANDA    (2023-11-09 13:07:33)
Son compromisos legalmente contraídos que al cierre de la vigencia fiscal no se han atendido por no haberse completado las formalidades necesarias que hagan exigible el pago al terminarse el año.</t>
        </r>
      </text>
    </comment>
    <comment ref="D356" authorId="0" shapeId="0" xr:uid="{00000000-0006-0000-0500-000079010000}">
      <text>
        <r>
          <rPr>
            <sz val="11"/>
            <color theme="1"/>
            <rFont val="Calibri"/>
            <family val="2"/>
            <scheme val="minor"/>
          </rPr>
          <t>======
ID#AAABDq5TrPI
YULIED.PENARANDA    (2023-11-09 13:07:34)
Para las metas de tipología suma (vigencia *reservas). Para las demás tipos de metas se asocia el mismo dato de la vigencia.</t>
        </r>
      </text>
    </comment>
    <comment ref="D357" authorId="0" shapeId="0" xr:uid="{00000000-0006-0000-0500-00007A010000}">
      <text>
        <r>
          <rPr>
            <sz val="11"/>
            <color theme="1"/>
            <rFont val="Calibri"/>
            <family val="2"/>
            <scheme val="minor"/>
          </rPr>
          <t>======
ID#AAABDq5TrCI
YULIED.PENARANDA    (2023-11-09 13:07:33)
Se suma los recursos presupuestales (vigencia + reservas)</t>
        </r>
      </text>
    </comment>
    <comment ref="D358" authorId="0" shapeId="0" xr:uid="{00000000-0006-0000-0500-00007B010000}">
      <text>
        <r>
          <rPr>
            <sz val="11"/>
            <color theme="1"/>
            <rFont val="Calibri"/>
            <family val="2"/>
            <scheme val="minor"/>
          </rPr>
          <t>======
ID#AAABDq5Tq1g
YULIED.PENARANDA    (2023-11-09 13:07:33)
Magnitud física de la meta proyecto de inversión, a programar o a realizar seguimiento, según la columna en que se reporte.</t>
        </r>
      </text>
    </comment>
    <comment ref="D359" authorId="0" shapeId="0" xr:uid="{00000000-0006-0000-0500-00007C010000}">
      <text>
        <r>
          <rPr>
            <sz val="11"/>
            <color theme="1"/>
            <rFont val="Calibri"/>
            <family val="2"/>
            <scheme val="minor"/>
          </rPr>
          <t>======
ID#AAABDq5TrdE
YULIED.PENARANDA    (2023-11-09 13:07:34)
Recursos presupuestales asignados para la vigencia en programación  y/o seguimiento, según la columna en que se reporte</t>
        </r>
      </text>
    </comment>
    <comment ref="D360" authorId="0" shapeId="0" xr:uid="{00000000-0006-0000-0500-00007D010000}">
      <text>
        <r>
          <rPr>
            <sz val="11"/>
            <color theme="1"/>
            <rFont val="Calibri"/>
            <family val="2"/>
            <scheme val="minor"/>
          </rPr>
          <t>======
ID#AAABDq5Tqxo
YULIED.PENARANDA    (2023-11-09 13:07:33)
Magnitud física asociada a la reservas,  aplica para las meta con tipología suma, las cuales se pueden desagregar por los compromisos contraídos que al cierre de la vigencia fiscal no  se cumplierón.</t>
        </r>
      </text>
    </comment>
    <comment ref="D361" authorId="0" shapeId="0" xr:uid="{00000000-0006-0000-0500-00007E010000}">
      <text>
        <r>
          <rPr>
            <sz val="11"/>
            <color theme="1"/>
            <rFont val="Calibri"/>
            <family val="2"/>
            <scheme val="minor"/>
          </rPr>
          <t>======
ID#AAABDq5TqzE
YULIED.PENARANDA    (2023-11-09 13:07:33)
Son compromisos legalmente contraídos que al cierre de la vigencia fiscal no se han atendido por no haberse completado las formalidades necesarias que hagan exigible el pago al terminarse el año.</t>
        </r>
      </text>
    </comment>
    <comment ref="D362" authorId="0" shapeId="0" xr:uid="{00000000-0006-0000-0500-00007F010000}">
      <text>
        <r>
          <rPr>
            <sz val="11"/>
            <color theme="1"/>
            <rFont val="Calibri"/>
            <family val="2"/>
            <scheme val="minor"/>
          </rPr>
          <t>======
ID#AAABDq5Trtw
YULIED.PENARANDA    (2023-11-09 13:07:33)
Para las metas de tipología suma (vigencia *reservas). Para las demás tipos de metas se asocia el mismo dato de la vigencia.</t>
        </r>
      </text>
    </comment>
    <comment ref="D363" authorId="0" shapeId="0" xr:uid="{00000000-0006-0000-0500-000080010000}">
      <text>
        <r>
          <rPr>
            <sz val="11"/>
            <color theme="1"/>
            <rFont val="Calibri"/>
            <family val="2"/>
            <scheme val="minor"/>
          </rPr>
          <t>======
ID#AAABDq5Tq6s
YULIED.PENARANDA    (2023-11-09 13:07:34)
Se suma los recursos presupuestales (vigencia + reservas)</t>
        </r>
      </text>
    </comment>
    <comment ref="D364" authorId="0" shapeId="0" xr:uid="{00000000-0006-0000-0500-000081010000}">
      <text>
        <r>
          <rPr>
            <sz val="11"/>
            <color theme="1"/>
            <rFont val="Calibri"/>
            <family val="2"/>
            <scheme val="minor"/>
          </rPr>
          <t>======
ID#AAABDq5TrJE
YULIED.PENARANDA    (2023-11-09 13:07:34)
Magnitud física de la meta proyecto de inversión, a programar o a realizar seguimiento, según la columna en que se reporte.</t>
        </r>
      </text>
    </comment>
    <comment ref="D365" authorId="0" shapeId="0" xr:uid="{00000000-0006-0000-0500-000082010000}">
      <text>
        <r>
          <rPr>
            <sz val="11"/>
            <color theme="1"/>
            <rFont val="Calibri"/>
            <family val="2"/>
            <scheme val="minor"/>
          </rPr>
          <t>======
ID#AAABDq5TrV8
YULIED.PENARANDA    (2023-11-09 13:07:34)
Recursos presupuestales asignados para la vigencia en programación  y/o seguimiento, según la columna en que se reporte</t>
        </r>
      </text>
    </comment>
    <comment ref="D366" authorId="0" shapeId="0" xr:uid="{00000000-0006-0000-0500-000083010000}">
      <text>
        <r>
          <rPr>
            <sz val="11"/>
            <color theme="1"/>
            <rFont val="Calibri"/>
            <family val="2"/>
            <scheme val="minor"/>
          </rPr>
          <t>======
ID#AAABDq5Tq-Y
YULIED.PENARANDA    (2023-11-09 13:07:34)
Magnitud física asociada a la reservas,  aplica para las meta con tipología suma, las cuales se pueden desagregar por los compromisos contraídos que al cierre de la vigencia fiscal no  se cumplierón.</t>
        </r>
      </text>
    </comment>
    <comment ref="D367" authorId="0" shapeId="0" xr:uid="{00000000-0006-0000-0500-000084010000}">
      <text>
        <r>
          <rPr>
            <sz val="11"/>
            <color theme="1"/>
            <rFont val="Calibri"/>
            <family val="2"/>
            <scheme val="minor"/>
          </rPr>
          <t>======
ID#AAABDq5TrhU
YULIED.PENARANDA    (2023-11-09 13:07:33)
Son compromisos legalmente contraídos que al cierre de la vigencia fiscal no se han atendido por no haberse completado las formalidades necesarias que hagan exigible el pago al terminarse el año.</t>
        </r>
      </text>
    </comment>
    <comment ref="D368" authorId="0" shapeId="0" xr:uid="{00000000-0006-0000-0500-000085010000}">
      <text>
        <r>
          <rPr>
            <sz val="11"/>
            <color theme="1"/>
            <rFont val="Calibri"/>
            <family val="2"/>
            <scheme val="minor"/>
          </rPr>
          <t>======
ID#AAABDq5TrXo
YULIED.PENARANDA    (2023-11-09 13:07:33)
Para las metas de tipología suma (vigencia *reservas). Para las demás tipos de metas se asocia el mismo dato de la vigencia.</t>
        </r>
      </text>
    </comment>
    <comment ref="D369" authorId="0" shapeId="0" xr:uid="{00000000-0006-0000-0500-000086010000}">
      <text>
        <r>
          <rPr>
            <sz val="11"/>
            <color theme="1"/>
            <rFont val="Calibri"/>
            <family val="2"/>
            <scheme val="minor"/>
          </rPr>
          <t>======
ID#AAABDq5Tq3Y
YULIED.PENARANDA    (2023-11-09 13:07:33)
Se suma los recursos presupuestales (vigencia + reservas)</t>
        </r>
      </text>
    </comment>
    <comment ref="D370" authorId="0" shapeId="0" xr:uid="{00000000-0006-0000-0500-000087010000}">
      <text>
        <r>
          <rPr>
            <sz val="11"/>
            <color theme="1"/>
            <rFont val="Calibri"/>
            <family val="2"/>
            <scheme val="minor"/>
          </rPr>
          <t>======
ID#AAABDq5Tq-I
YULIED.PENARANDA    (2023-11-09 13:07:33)
Magnitud física de la meta proyecto de inversión, a programar o a realizar seguimiento, según la columna en que se reporte.</t>
        </r>
      </text>
    </comment>
    <comment ref="D371" authorId="0" shapeId="0" xr:uid="{00000000-0006-0000-0500-000088010000}">
      <text>
        <r>
          <rPr>
            <sz val="11"/>
            <color theme="1"/>
            <rFont val="Calibri"/>
            <family val="2"/>
            <scheme val="minor"/>
          </rPr>
          <t>======
ID#AAABDq5Tq1c
YULIED.PENARANDA    (2023-11-09 13:07:34)
Recursos presupuestales asignados para la vigencia en programación  y/o seguimiento, según la columna en que se reporte</t>
        </r>
      </text>
    </comment>
    <comment ref="D372" authorId="0" shapeId="0" xr:uid="{00000000-0006-0000-0500-000089010000}">
      <text>
        <r>
          <rPr>
            <sz val="11"/>
            <color theme="1"/>
            <rFont val="Calibri"/>
            <family val="2"/>
            <scheme val="minor"/>
          </rPr>
          <t>======
ID#AAABDq5Tros
YULIED.PENARANDA    (2023-11-09 13:07:34)
Magnitud física asociada a la reservas,  aplica para las meta con tipología suma, las cuales se pueden desagregar por los compromisos contraídos que al cierre de la vigencia fiscal no  se cumplierón.</t>
        </r>
      </text>
    </comment>
    <comment ref="D373" authorId="0" shapeId="0" xr:uid="{00000000-0006-0000-0500-00008A010000}">
      <text>
        <r>
          <rPr>
            <sz val="11"/>
            <color theme="1"/>
            <rFont val="Calibri"/>
            <family val="2"/>
            <scheme val="minor"/>
          </rPr>
          <t>======
ID#AAABDq5TrIg
YULIED.PENARANDA    (2023-11-09 13:07:34)
Son compromisos legalmente contraídos que al cierre de la vigencia fiscal no se han atendido por no haberse completado las formalidades necesarias que hagan exigible el pago al terminarse el año.</t>
        </r>
      </text>
    </comment>
    <comment ref="D374" authorId="0" shapeId="0" xr:uid="{00000000-0006-0000-0500-00008B010000}">
      <text>
        <r>
          <rPr>
            <sz val="11"/>
            <color theme="1"/>
            <rFont val="Calibri"/>
            <family val="2"/>
            <scheme val="minor"/>
          </rPr>
          <t>======
ID#AAABDq5TrIU
YULIED.PENARANDA    (2023-11-09 13:07:33)
Para las metas de tipología suma (vigencia *reservas). Para las demás tipos de metas se asocia el mismo dato de la vigencia.</t>
        </r>
      </text>
    </comment>
    <comment ref="D375" authorId="0" shapeId="0" xr:uid="{00000000-0006-0000-0500-00008C010000}">
      <text>
        <r>
          <rPr>
            <sz val="11"/>
            <color theme="1"/>
            <rFont val="Calibri"/>
            <family val="2"/>
            <scheme val="minor"/>
          </rPr>
          <t>======
ID#AAABDq5Tq44
YULIED.PENARANDA    (2023-11-09 13:07:34)
Se suma los recursos presupuestales (vigencia + reservas)</t>
        </r>
      </text>
    </comment>
    <comment ref="D376" authorId="0" shapeId="0" xr:uid="{00000000-0006-0000-0500-00008D010000}">
      <text>
        <r>
          <rPr>
            <sz val="11"/>
            <color theme="1"/>
            <rFont val="Calibri"/>
            <family val="2"/>
            <scheme val="minor"/>
          </rPr>
          <t>======
ID#AAABDq5Tri0
YULIED.PENARANDA    (2023-11-09 13:07:34)
Magnitud física de la meta proyecto de inversión, a programar o a realizar seguimiento, según la columna en que se reporte.</t>
        </r>
      </text>
    </comment>
    <comment ref="D377" authorId="0" shapeId="0" xr:uid="{00000000-0006-0000-0500-00008E010000}">
      <text>
        <r>
          <rPr>
            <sz val="11"/>
            <color theme="1"/>
            <rFont val="Calibri"/>
            <family val="2"/>
            <scheme val="minor"/>
          </rPr>
          <t>======
ID#AAABDq5TrwQ
YULIED.PENARANDA    (2023-11-09 13:07:34)
Recursos presupuestales asignados para la vigencia en programación  y/o seguimiento, según la columna en que se reporte</t>
        </r>
      </text>
    </comment>
    <comment ref="D378" authorId="0" shapeId="0" xr:uid="{00000000-0006-0000-0500-00008F010000}">
      <text>
        <r>
          <rPr>
            <sz val="11"/>
            <color theme="1"/>
            <rFont val="Calibri"/>
            <family val="2"/>
            <scheme val="minor"/>
          </rPr>
          <t>======
ID#AAABDq5TrlM
YULIED.PENARANDA    (2023-11-09 13:07:34)
Magnitud física asociada a la reservas,  aplica para las meta con tipología suma, las cuales se pueden desagregar por los compromisos contraídos que al cierre de la vigencia fiscal no  se cumplierón.</t>
        </r>
      </text>
    </comment>
    <comment ref="D379" authorId="0" shapeId="0" xr:uid="{00000000-0006-0000-0500-000090010000}">
      <text>
        <r>
          <rPr>
            <sz val="11"/>
            <color theme="1"/>
            <rFont val="Calibri"/>
            <family val="2"/>
            <scheme val="minor"/>
          </rPr>
          <t>======
ID#AAABDq5TrZU
YULIED.PENARANDA    (2023-11-09 13:07:33)
Son compromisos legalmente contraídos que al cierre de la vigencia fiscal no se han atendido por no haberse completado las formalidades necesarias que hagan exigible el pago al terminarse el año.</t>
        </r>
      </text>
    </comment>
    <comment ref="D380" authorId="0" shapeId="0" xr:uid="{00000000-0006-0000-0500-000091010000}">
      <text>
        <r>
          <rPr>
            <sz val="11"/>
            <color theme="1"/>
            <rFont val="Calibri"/>
            <family val="2"/>
            <scheme val="minor"/>
          </rPr>
          <t>======
ID#AAABDq5TrbI
YULIED.PENARANDA    (2023-11-09 13:07:34)
Para las metas de tipología suma (vigencia *reservas). Para las demás tipos de metas se asocia el mismo dato de la vigencia.</t>
        </r>
      </text>
    </comment>
    <comment ref="D381" authorId="0" shapeId="0" xr:uid="{00000000-0006-0000-0500-000092010000}">
      <text>
        <r>
          <rPr>
            <sz val="11"/>
            <color theme="1"/>
            <rFont val="Calibri"/>
            <family val="2"/>
            <scheme val="minor"/>
          </rPr>
          <t>======
ID#AAABDq5TqxI
YULIED.PENARANDA    (2023-11-09 13:07:33)
Se suma los recursos presupuestales (vigencia + reservas)</t>
        </r>
      </text>
    </comment>
    <comment ref="D382" authorId="0" shapeId="0" xr:uid="{00000000-0006-0000-0500-000093010000}">
      <text>
        <r>
          <rPr>
            <sz val="11"/>
            <color theme="1"/>
            <rFont val="Calibri"/>
            <family val="2"/>
            <scheme val="minor"/>
          </rPr>
          <t>======
ID#AAABDq5TrS0
YULIED.PENARANDA    (2023-11-09 13:07:33)
Magnitud física de la meta proyecto de inversión, a programar o a realizar seguimiento, según la columna en que se reporte.</t>
        </r>
      </text>
    </comment>
    <comment ref="D383" authorId="0" shapeId="0" xr:uid="{00000000-0006-0000-0500-000094010000}">
      <text>
        <r>
          <rPr>
            <sz val="11"/>
            <color theme="1"/>
            <rFont val="Calibri"/>
            <family val="2"/>
            <scheme val="minor"/>
          </rPr>
          <t>======
ID#AAABDq5TrKY
YULIED.PENARANDA    (2023-11-09 13:07:34)
Recursos presupuestales asignados para la vigencia en programación  y/o seguimiento, según la columna en que se reporte</t>
        </r>
      </text>
    </comment>
    <comment ref="D384" authorId="0" shapeId="0" xr:uid="{00000000-0006-0000-0500-000095010000}">
      <text>
        <r>
          <rPr>
            <sz val="11"/>
            <color theme="1"/>
            <rFont val="Calibri"/>
            <family val="2"/>
            <scheme val="minor"/>
          </rPr>
          <t>======
ID#AAABDq5Trfk
YULIED.PENARANDA    (2023-11-09 13:07:33)
Magnitud física asociada a la reservas,  aplica para las meta con tipología suma, las cuales se pueden desagregar por los compromisos contraídos que al cierre de la vigencia fiscal no  se cumplierón.</t>
        </r>
      </text>
    </comment>
    <comment ref="D385" authorId="0" shapeId="0" xr:uid="{00000000-0006-0000-0500-000096010000}">
      <text>
        <r>
          <rPr>
            <sz val="11"/>
            <color theme="1"/>
            <rFont val="Calibri"/>
            <family val="2"/>
            <scheme val="minor"/>
          </rPr>
          <t>======
ID#AAABDq5Tqvs
YULIED.PENARANDA    (2023-11-09 13:07:34)
Son compromisos legalmente contraídos que al cierre de la vigencia fiscal no se han atendido por no haberse completado las formalidades necesarias que hagan exigible el pago al terminarse el año.</t>
        </r>
      </text>
    </comment>
    <comment ref="D386" authorId="0" shapeId="0" xr:uid="{00000000-0006-0000-0500-000097010000}">
      <text>
        <r>
          <rPr>
            <sz val="11"/>
            <color theme="1"/>
            <rFont val="Calibri"/>
            <family val="2"/>
            <scheme val="minor"/>
          </rPr>
          <t>======
ID#AAABDq5TrsQ
YULIED.PENARANDA    (2023-11-09 13:07:33)
Para las metas de tipología suma (vigencia *reservas). Para las demás tipos de metas se asocia el mismo dato de la vigencia.</t>
        </r>
      </text>
    </comment>
    <comment ref="D387" authorId="0" shapeId="0" xr:uid="{00000000-0006-0000-0500-000098010000}">
      <text>
        <r>
          <rPr>
            <sz val="11"/>
            <color theme="1"/>
            <rFont val="Calibri"/>
            <family val="2"/>
            <scheme val="minor"/>
          </rPr>
          <t>======
ID#AAABDq5Trm4
YULIED.PENARANDA    (2023-11-09 13:07:34)
Se suma los recursos presupuestales (vigencia + reservas)</t>
        </r>
      </text>
    </comment>
    <comment ref="D388" authorId="0" shapeId="0" xr:uid="{00000000-0006-0000-0500-000099010000}">
      <text>
        <r>
          <rPr>
            <sz val="11"/>
            <color theme="1"/>
            <rFont val="Calibri"/>
            <family val="2"/>
            <scheme val="minor"/>
          </rPr>
          <t>======
ID#AAABDq5TqqQ
YULIED.PENARANDA    (2023-11-09 13:07:34)
Magnitud física de la meta proyecto de inversión, a programar o a realizar seguimiento, según la columna en que se reporte.</t>
        </r>
      </text>
    </comment>
    <comment ref="D389" authorId="0" shapeId="0" xr:uid="{00000000-0006-0000-0500-00009A010000}">
      <text>
        <r>
          <rPr>
            <sz val="11"/>
            <color theme="1"/>
            <rFont val="Calibri"/>
            <family val="2"/>
            <scheme val="minor"/>
          </rPr>
          <t>======
ID#AAABDq5Tq_E
YULIED.PENARANDA    (2023-11-09 13:07:34)
Recursos presupuestales asignados para la vigencia en programación  y/o seguimiento, según la columna en que se reporte</t>
        </r>
      </text>
    </comment>
    <comment ref="D390" authorId="0" shapeId="0" xr:uid="{00000000-0006-0000-0500-00009B010000}">
      <text>
        <r>
          <rPr>
            <sz val="11"/>
            <color theme="1"/>
            <rFont val="Calibri"/>
            <family val="2"/>
            <scheme val="minor"/>
          </rPr>
          <t>======
ID#AAABDq5Trb4
YULIED.PENARANDA    (2023-11-09 13:07:34)
Magnitud física asociada a la reservas,  aplica para las meta con tipología suma, las cuales se pueden desagregar por los compromisos contraídos que al cierre de la vigencia fiscal no  se cumplierón.</t>
        </r>
      </text>
    </comment>
    <comment ref="D391" authorId="0" shapeId="0" xr:uid="{00000000-0006-0000-0500-00009C010000}">
      <text>
        <r>
          <rPr>
            <sz val="11"/>
            <color theme="1"/>
            <rFont val="Calibri"/>
            <family val="2"/>
            <scheme val="minor"/>
          </rPr>
          <t>======
ID#AAABDq5Tq6Y
YULIED.PENARANDA    (2023-11-09 13:07:34)
Son compromisos legalmente contraídos que al cierre de la vigencia fiscal no se han atendido por no haberse completado las formalidades necesarias que hagan exigible el pago al terminarse el año.</t>
        </r>
      </text>
    </comment>
    <comment ref="D392" authorId="0" shapeId="0" xr:uid="{00000000-0006-0000-0500-00009D010000}">
      <text>
        <r>
          <rPr>
            <sz val="11"/>
            <color theme="1"/>
            <rFont val="Calibri"/>
            <family val="2"/>
            <scheme val="minor"/>
          </rPr>
          <t>======
ID#AAABDq5Trn4
YULIED.PENARANDA    (2023-11-09 13:07:33)
Para las metas de tipología suma (vigencia *reservas). Para las demás tipos de metas se asocia el mismo dato de la vigencia.</t>
        </r>
      </text>
    </comment>
    <comment ref="D393" authorId="0" shapeId="0" xr:uid="{00000000-0006-0000-0500-00009E010000}">
      <text>
        <r>
          <rPr>
            <sz val="11"/>
            <color theme="1"/>
            <rFont val="Calibri"/>
            <family val="2"/>
            <scheme val="minor"/>
          </rPr>
          <t>======
ID#AAABDq5TqzQ
YULIED.PENARANDA    (2023-11-09 13:07:33)
Se suma los recursos presupuestales (vigencia + reservas)</t>
        </r>
      </text>
    </comment>
    <comment ref="D394" authorId="0" shapeId="0" xr:uid="{00000000-0006-0000-0500-00009F010000}">
      <text>
        <r>
          <rPr>
            <sz val="11"/>
            <color theme="1"/>
            <rFont val="Calibri"/>
            <family val="2"/>
            <scheme val="minor"/>
          </rPr>
          <t>======
ID#AAABDq5Tq84
YULIED.PENARANDA    (2023-11-09 13:07:34)
Magnitud física de la meta proyecto de inversión, a programar o a realizar seguimiento, según la columna en que se reporte.</t>
        </r>
      </text>
    </comment>
    <comment ref="D395" authorId="0" shapeId="0" xr:uid="{00000000-0006-0000-0500-0000A0010000}">
      <text>
        <r>
          <rPr>
            <sz val="11"/>
            <color theme="1"/>
            <rFont val="Calibri"/>
            <family val="2"/>
            <scheme val="minor"/>
          </rPr>
          <t>======
ID#AAABDq5TrF0
YULIED.PENARANDA    (2023-11-09 13:07:34)
Recursos presupuestales asignados para la vigencia en programación  y/o seguimiento, según la columna en que se reporte</t>
        </r>
      </text>
    </comment>
    <comment ref="AE395" authorId="0" shapeId="0" xr:uid="{00000000-0006-0000-0500-0000A1010000}">
      <text>
        <r>
          <rPr>
            <sz val="11"/>
            <color theme="1"/>
            <rFont val="Calibri"/>
            <family val="2"/>
            <scheme val="minor"/>
          </rPr>
          <t>======
ID#AAABDq5TrG4
Angela    (2023-11-09 13:07:34)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96" authorId="0" shapeId="0" xr:uid="{00000000-0006-0000-0500-0000A2010000}">
      <text>
        <r>
          <rPr>
            <sz val="11"/>
            <color theme="1"/>
            <rFont val="Calibri"/>
            <family val="2"/>
            <scheme val="minor"/>
          </rPr>
          <t>======
ID#AAABDq5Tq10
YULIED.PENARANDA    (2023-11-09 13:07:33)
Magnitud física asociada a la reservas,  aplica para las meta con tipología suma, las cuales se pueden desagregar por los compromisos contraídos que al cierre de la vigencia fiscal no  se cumplierón.</t>
        </r>
      </text>
    </comment>
    <comment ref="D397" authorId="0" shapeId="0" xr:uid="{00000000-0006-0000-0500-0000A3010000}">
      <text>
        <r>
          <rPr>
            <sz val="11"/>
            <color theme="1"/>
            <rFont val="Calibri"/>
            <family val="2"/>
            <scheme val="minor"/>
          </rPr>
          <t>======
ID#AAABDq5TruY
YULIED.PENARANDA    (2023-11-09 13:07:33)
Son compromisos legalmente contraídos que al cierre de la vigencia fiscal no se han atendido por no haberse completado las formalidades necesarias que hagan exigible el pago al terminarse el año.</t>
        </r>
      </text>
    </comment>
    <comment ref="D398" authorId="0" shapeId="0" xr:uid="{00000000-0006-0000-0500-0000A4010000}">
      <text>
        <r>
          <rPr>
            <sz val="11"/>
            <color theme="1"/>
            <rFont val="Calibri"/>
            <family val="2"/>
            <scheme val="minor"/>
          </rPr>
          <t>======
ID#AAABDq5TrhI
YULIED.PENARANDA    (2023-11-09 13:07:34)
Para las metas de tipología suma (vigencia *reservas). Para las demás tipos de metas se asocia el mismo dato de la vigencia.</t>
        </r>
      </text>
    </comment>
    <comment ref="D399" authorId="0" shapeId="0" xr:uid="{00000000-0006-0000-0500-0000A5010000}">
      <text>
        <r>
          <rPr>
            <sz val="11"/>
            <color theme="1"/>
            <rFont val="Calibri"/>
            <family val="2"/>
            <scheme val="minor"/>
          </rPr>
          <t>======
ID#AAABDq5Trlg
YULIED.PENARANDA    (2023-11-09 13:07:34)
Se suma los recursos presupuestales (vigencia + reservas)</t>
        </r>
      </text>
    </comment>
    <comment ref="D400" authorId="0" shapeId="0" xr:uid="{00000000-0006-0000-0500-0000A6010000}">
      <text>
        <r>
          <rPr>
            <sz val="11"/>
            <color theme="1"/>
            <rFont val="Calibri"/>
            <family val="2"/>
            <scheme val="minor"/>
          </rPr>
          <t>======
ID#AAABDq5TrLw
YULIED.PENARANDA    (2023-11-09 13:07:33)
Magnitud física de la meta proyecto de inversión, a programar o a realizar seguimiento, según la columna en que se reporte.</t>
        </r>
      </text>
    </comment>
    <comment ref="D401" authorId="0" shapeId="0" xr:uid="{00000000-0006-0000-0500-0000A7010000}">
      <text>
        <r>
          <rPr>
            <sz val="11"/>
            <color theme="1"/>
            <rFont val="Calibri"/>
            <family val="2"/>
            <scheme val="minor"/>
          </rPr>
          <t>======
ID#AAABDq5TrYs
YULIED.PENARANDA    (2023-11-09 13:07:33)
Recursos presupuestales asignados para la vigencia en programación  y/o seguimiento, según la columna en que se reporte</t>
        </r>
      </text>
    </comment>
    <comment ref="D402" authorId="0" shapeId="0" xr:uid="{00000000-0006-0000-0500-0000A8010000}">
      <text>
        <r>
          <rPr>
            <sz val="11"/>
            <color theme="1"/>
            <rFont val="Calibri"/>
            <family val="2"/>
            <scheme val="minor"/>
          </rPr>
          <t>======
ID#AAABDq5TrnM
YULIED.PENARANDA    (2023-11-09 13:07:34)
Magnitud física asociada a la reservas,  aplica para las meta con tipología suma, las cuales se pueden desagregar por los compromisos contraídos que al cierre de la vigencia fiscal no  se cumplierón.</t>
        </r>
      </text>
    </comment>
    <comment ref="D403" authorId="0" shapeId="0" xr:uid="{00000000-0006-0000-0500-0000A9010000}">
      <text>
        <r>
          <rPr>
            <sz val="11"/>
            <color theme="1"/>
            <rFont val="Calibri"/>
            <family val="2"/>
            <scheme val="minor"/>
          </rPr>
          <t>======
ID#AAABDq5TrFE
YULIED.PENARANDA    (2023-11-09 13:07:34)
Son compromisos legalmente contraídos que al cierre de la vigencia fiscal no se han atendido por no haberse completado las formalidades necesarias que hagan exigible el pago al terminarse el año.</t>
        </r>
      </text>
    </comment>
    <comment ref="D404" authorId="0" shapeId="0" xr:uid="{00000000-0006-0000-0500-0000AA010000}">
      <text>
        <r>
          <rPr>
            <sz val="11"/>
            <color theme="1"/>
            <rFont val="Calibri"/>
            <family val="2"/>
            <scheme val="minor"/>
          </rPr>
          <t>======
ID#AAABDq5Tq-E
YULIED.PENARANDA    (2023-11-09 13:07:33)
Para las metas de tipología suma (vigencia *reservas). Para las demás tipos de metas se asocia el mismo dato de la vigencia.</t>
        </r>
      </text>
    </comment>
    <comment ref="D405" authorId="0" shapeId="0" xr:uid="{00000000-0006-0000-0500-0000AB010000}">
      <text>
        <r>
          <rPr>
            <sz val="11"/>
            <color theme="1"/>
            <rFont val="Calibri"/>
            <family val="2"/>
            <scheme val="minor"/>
          </rPr>
          <t>======
ID#AAABDq5Trrk
YULIED.PENARANDA    (2023-11-09 13:07:34)
Se suma los recursos presupuestales (vigencia + reservas)</t>
        </r>
      </text>
    </comment>
    <comment ref="D406" authorId="0" shapeId="0" xr:uid="{00000000-0006-0000-0500-0000AC010000}">
      <text>
        <r>
          <rPr>
            <sz val="11"/>
            <color theme="1"/>
            <rFont val="Calibri"/>
            <family val="2"/>
            <scheme val="minor"/>
          </rPr>
          <t>======
ID#AAABDq5Trps
YULIED.PENARANDA    (2023-11-09 13:07:34)
Magnitud física de la meta proyecto de inversión, a programar o a realizar seguimiento, según la columna en que se reporte.</t>
        </r>
      </text>
    </comment>
    <comment ref="D407" authorId="0" shapeId="0" xr:uid="{00000000-0006-0000-0500-0000AD010000}">
      <text>
        <r>
          <rPr>
            <sz val="11"/>
            <color theme="1"/>
            <rFont val="Calibri"/>
            <family val="2"/>
            <scheme val="minor"/>
          </rPr>
          <t>======
ID#AAABDq5Tq6c
YULIED.PENARANDA    (2023-11-09 13:07:33)
Recursos presupuestales asignados para la vigencia en programación  y/o seguimiento, según la columna en que se reporte</t>
        </r>
      </text>
    </comment>
    <comment ref="D408" authorId="0" shapeId="0" xr:uid="{00000000-0006-0000-0500-0000AE010000}">
      <text>
        <r>
          <rPr>
            <sz val="11"/>
            <color theme="1"/>
            <rFont val="Calibri"/>
            <family val="2"/>
            <scheme val="minor"/>
          </rPr>
          <t>======
ID#AAABDq5TrH0
YULIED.PENARANDA    (2023-11-09 13:07:34)
Magnitud física asociada a la reservas,  aplica para las meta con tipología suma, las cuales se pueden desagregar por los compromisos contraídos que al cierre de la vigencia fiscal no  se cumplierón.</t>
        </r>
      </text>
    </comment>
    <comment ref="D409" authorId="0" shapeId="0" xr:uid="{00000000-0006-0000-0500-0000AF010000}">
      <text>
        <r>
          <rPr>
            <sz val="11"/>
            <color theme="1"/>
            <rFont val="Calibri"/>
            <family val="2"/>
            <scheme val="minor"/>
          </rPr>
          <t>======
ID#AAABDq5TrEE
YULIED.PENARANDA    (2023-11-09 13:07:33)
Son compromisos legalmente contraídos que al cierre de la vigencia fiscal no se han atendido por no haberse completado las formalidades necesarias que hagan exigible el pago al terminarse el año.</t>
        </r>
      </text>
    </comment>
    <comment ref="D410" authorId="0" shapeId="0" xr:uid="{00000000-0006-0000-0500-0000B0010000}">
      <text>
        <r>
          <rPr>
            <sz val="11"/>
            <color theme="1"/>
            <rFont val="Calibri"/>
            <family val="2"/>
            <scheme val="minor"/>
          </rPr>
          <t>======
ID#AAABDq5Trg0
YULIED.PENARANDA    (2023-11-09 13:07:34)
Para las metas de tipología suma (vigencia *reservas). Para las demás tipos de metas se asocia el mismo dato de la vigencia.</t>
        </r>
      </text>
    </comment>
    <comment ref="D411" authorId="0" shapeId="0" xr:uid="{00000000-0006-0000-0500-0000B1010000}">
      <text>
        <r>
          <rPr>
            <sz val="11"/>
            <color theme="1"/>
            <rFont val="Calibri"/>
            <family val="2"/>
            <scheme val="minor"/>
          </rPr>
          <t>======
ID#AAABDq5Trv8
YULIED.PENARANDA    (2023-11-09 13:07:33)
Se suma los recursos presupuestales (vigencia + reservas)</t>
        </r>
      </text>
    </comment>
    <comment ref="D412" authorId="0" shapeId="0" xr:uid="{00000000-0006-0000-0500-0000B2010000}">
      <text>
        <r>
          <rPr>
            <sz val="11"/>
            <color theme="1"/>
            <rFont val="Calibri"/>
            <family val="2"/>
            <scheme val="minor"/>
          </rPr>
          <t>======
ID#AAABDq5TrHA
YULIED.PENARANDA    (2023-11-09 13:07:34)
Magnitud física de la meta proyecto de inversión, a programar o a realizar seguimiento, según la columna en que se reporte.</t>
        </r>
      </text>
    </comment>
    <comment ref="D413" authorId="0" shapeId="0" xr:uid="{00000000-0006-0000-0500-0000B3010000}">
      <text>
        <r>
          <rPr>
            <sz val="11"/>
            <color theme="1"/>
            <rFont val="Calibri"/>
            <family val="2"/>
            <scheme val="minor"/>
          </rPr>
          <t>======
ID#AAABDq5TrKQ
YULIED.PENARANDA    (2023-11-09 13:07:33)
Recursos presupuestales asignados para la vigencia en programación  y/o seguimiento, según la columna en que se reporte</t>
        </r>
      </text>
    </comment>
    <comment ref="D414" authorId="0" shapeId="0" xr:uid="{00000000-0006-0000-0500-0000B4010000}">
      <text>
        <r>
          <rPr>
            <sz val="11"/>
            <color theme="1"/>
            <rFont val="Calibri"/>
            <family val="2"/>
            <scheme val="minor"/>
          </rPr>
          <t>======
ID#AAABDq5Tra8
YULIED.PENARANDA    (2023-11-09 13:07:34)
Magnitud física asociada a la reservas,  aplica para las meta con tipología suma, las cuales se pueden desagregar por los compromisos contraídos que al cierre de la vigencia fiscal no  se cumplierón.</t>
        </r>
      </text>
    </comment>
    <comment ref="D415" authorId="0" shapeId="0" xr:uid="{00000000-0006-0000-0500-0000B5010000}">
      <text>
        <r>
          <rPr>
            <sz val="11"/>
            <color theme="1"/>
            <rFont val="Calibri"/>
            <family val="2"/>
            <scheme val="minor"/>
          </rPr>
          <t>======
ID#AAABDq5Tq7A
YULIED.PENARANDA    (2023-11-09 13:07:33)
Son compromisos legalmente contraídos que al cierre de la vigencia fiscal no se han atendido por no haberse completado las formalidades necesarias que hagan exigible el pago al terminarse el año.</t>
        </r>
      </text>
    </comment>
    <comment ref="D416" authorId="0" shapeId="0" xr:uid="{00000000-0006-0000-0500-0000B6010000}">
      <text>
        <r>
          <rPr>
            <sz val="11"/>
            <color theme="1"/>
            <rFont val="Calibri"/>
            <family val="2"/>
            <scheme val="minor"/>
          </rPr>
          <t>======
ID#AAABDq5TrtE
YULIED.PENARANDA    (2023-11-09 13:07:33)
Para las metas de tipología suma (vigencia *reservas). Para las demás tipos de metas se asocia el mismo dato de la vigencia.</t>
        </r>
      </text>
    </comment>
    <comment ref="D417" authorId="0" shapeId="0" xr:uid="{00000000-0006-0000-0500-0000B7010000}">
      <text>
        <r>
          <rPr>
            <sz val="11"/>
            <color theme="1"/>
            <rFont val="Calibri"/>
            <family val="2"/>
            <scheme val="minor"/>
          </rPr>
          <t>======
ID#AAABDq5TqyI
YULIED.PENARANDA    (2023-11-09 13:07:34)
Se suma los recursos presupuestales (vigencia + reservas)</t>
        </r>
      </text>
    </comment>
    <comment ref="D418" authorId="0" shapeId="0" xr:uid="{00000000-0006-0000-0500-0000B8010000}">
      <text>
        <r>
          <rPr>
            <sz val="11"/>
            <color theme="1"/>
            <rFont val="Calibri"/>
            <family val="2"/>
            <scheme val="minor"/>
          </rPr>
          <t>======
ID#AAABDq5Tqws
YULIED.PENARANDA    (2023-11-09 13:07:34)
Magnitud física de la meta proyecto de inversión, a programar o a realizar seguimiento, según la columna en que se reporte.</t>
        </r>
      </text>
    </comment>
    <comment ref="D419" authorId="0" shapeId="0" xr:uid="{00000000-0006-0000-0500-0000B9010000}">
      <text>
        <r>
          <rPr>
            <sz val="11"/>
            <color theme="1"/>
            <rFont val="Calibri"/>
            <family val="2"/>
            <scheme val="minor"/>
          </rPr>
          <t>======
ID#AAABDq5Trus
YULIED.PENARANDA    (2023-11-09 13:07:34)
Recursos presupuestales asignados para la vigencia en programación  y/o seguimiento, según la columna en que se reporte</t>
        </r>
      </text>
    </comment>
    <comment ref="D420" authorId="0" shapeId="0" xr:uid="{00000000-0006-0000-0500-0000BA010000}">
      <text>
        <r>
          <rPr>
            <sz val="11"/>
            <color theme="1"/>
            <rFont val="Calibri"/>
            <family val="2"/>
            <scheme val="minor"/>
          </rPr>
          <t>======
ID#AAABDq5Tq18
YULIED.PENARANDA    (2023-11-09 13:07:34)
Magnitud física asociada a la reservas,  aplica para las meta con tipología suma, las cuales se pueden desagregar por los compromisos contraídos que al cierre de la vigencia fiscal no  se cumplierón.</t>
        </r>
      </text>
    </comment>
    <comment ref="D421" authorId="0" shapeId="0" xr:uid="{00000000-0006-0000-0500-0000BB010000}">
      <text>
        <r>
          <rPr>
            <sz val="11"/>
            <color theme="1"/>
            <rFont val="Calibri"/>
            <family val="2"/>
            <scheme val="minor"/>
          </rPr>
          <t>======
ID#AAABDq5TrKU
YULIED.PENARANDA    (2023-11-09 13:07:34)
Son compromisos legalmente contraídos que al cierre de la vigencia fiscal no se han atendido por no haberse completado las formalidades necesarias que hagan exigible el pago al terminarse el año.</t>
        </r>
      </text>
    </comment>
    <comment ref="D422" authorId="0" shapeId="0" xr:uid="{00000000-0006-0000-0500-0000BC010000}">
      <text>
        <r>
          <rPr>
            <sz val="11"/>
            <color theme="1"/>
            <rFont val="Calibri"/>
            <family val="2"/>
            <scheme val="minor"/>
          </rPr>
          <t>======
ID#AAABDq5Tq_M
YULIED.PENARANDA    (2023-11-09 13:07:33)
Para las metas de tipología suma (vigencia *reservas). Para las demás tipos de metas se asocia el mismo dato de la vigencia.</t>
        </r>
      </text>
    </comment>
    <comment ref="D423" authorId="0" shapeId="0" xr:uid="{00000000-0006-0000-0500-0000BD010000}">
      <text>
        <r>
          <rPr>
            <sz val="11"/>
            <color theme="1"/>
            <rFont val="Calibri"/>
            <family val="2"/>
            <scheme val="minor"/>
          </rPr>
          <t>======
ID#AAABDq5TrXw
YULIED.PENARANDA    (2023-11-09 13:07:34)
Se suma los recursos presupuestales (vigencia + reservas)</t>
        </r>
      </text>
    </comment>
    <comment ref="D424" authorId="0" shapeId="0" xr:uid="{00000000-0006-0000-0500-0000BE010000}">
      <text>
        <r>
          <rPr>
            <sz val="11"/>
            <color theme="1"/>
            <rFont val="Calibri"/>
            <family val="2"/>
            <scheme val="minor"/>
          </rPr>
          <t>======
ID#AAABDq5Traw
YULIED.PENARANDA    (2023-11-09 13:07:34)
Magnitud física de la meta proyecto de inversión, a programar o a realizar seguimiento, según la columna en que se reporte.</t>
        </r>
      </text>
    </comment>
    <comment ref="D425" authorId="0" shapeId="0" xr:uid="{00000000-0006-0000-0500-0000BF010000}">
      <text>
        <r>
          <rPr>
            <sz val="11"/>
            <color theme="1"/>
            <rFont val="Calibri"/>
            <family val="2"/>
            <scheme val="minor"/>
          </rPr>
          <t>======
ID#AAABDq5Tq9U
YULIED.PENARANDA    (2023-11-09 13:07:34)
Recursos presupuestales asignados para la vigencia en programación  y/o seguimiento, según la columna en que se reporte</t>
        </r>
      </text>
    </comment>
    <comment ref="D426" authorId="0" shapeId="0" xr:uid="{00000000-0006-0000-0500-0000C0010000}">
      <text>
        <r>
          <rPr>
            <sz val="11"/>
            <color theme="1"/>
            <rFont val="Calibri"/>
            <family val="2"/>
            <scheme val="minor"/>
          </rPr>
          <t>======
ID#AAABDq5Tq7Q
YULIED.PENARANDA    (2023-11-09 13:07:33)
Magnitud física asociada a la reservas,  aplica para las meta con tipología suma, las cuales se pueden desagregar por los compromisos contraídos que al cierre de la vigencia fiscal no  se cumplierón.</t>
        </r>
      </text>
    </comment>
    <comment ref="D427" authorId="0" shapeId="0" xr:uid="{00000000-0006-0000-0500-0000C1010000}">
      <text>
        <r>
          <rPr>
            <sz val="11"/>
            <color theme="1"/>
            <rFont val="Calibri"/>
            <family val="2"/>
            <scheme val="minor"/>
          </rPr>
          <t>======
ID#AAABDq5TrB8
YULIED.PENARANDA    (2023-11-09 13:07:34)
Son compromisos legalmente contraídos que al cierre de la vigencia fiscal no se han atendido por no haberse completado las formalidades necesarias que hagan exigible el pago al terminarse el año.</t>
        </r>
      </text>
    </comment>
    <comment ref="D428" authorId="0" shapeId="0" xr:uid="{00000000-0006-0000-0500-0000C2010000}">
      <text>
        <r>
          <rPr>
            <sz val="11"/>
            <color theme="1"/>
            <rFont val="Calibri"/>
            <family val="2"/>
            <scheme val="minor"/>
          </rPr>
          <t>======
ID#AAABDq5TryY
YULIED.PENARANDA    (2023-11-09 13:07:34)
Para las metas de tipología suma (vigencia *reservas). Para las demás tipos de metas se asocia el mismo dato de la vigencia.</t>
        </r>
      </text>
    </comment>
    <comment ref="D429" authorId="0" shapeId="0" xr:uid="{00000000-0006-0000-0500-0000C3010000}">
      <text>
        <r>
          <rPr>
            <sz val="11"/>
            <color theme="1"/>
            <rFont val="Calibri"/>
            <family val="2"/>
            <scheme val="minor"/>
          </rPr>
          <t>======
ID#AAABDq5TrZA
YULIED.PENARANDA    (2023-11-09 13:07:34)
Se suma los recursos presupuestales (vigencia + reservas)</t>
        </r>
      </text>
    </comment>
    <comment ref="D430" authorId="0" shapeId="0" xr:uid="{00000000-0006-0000-0500-0000C4010000}">
      <text>
        <r>
          <rPr>
            <sz val="11"/>
            <color theme="1"/>
            <rFont val="Calibri"/>
            <family val="2"/>
            <scheme val="minor"/>
          </rPr>
          <t>======
ID#AAABDq5Trm8
YULIED.PENARANDA    (2023-11-09 13:07:34)
Magnitud física de la meta proyecto de inversión, a programar o a realizar seguimiento, según la columna en que se reporte.</t>
        </r>
      </text>
    </comment>
    <comment ref="D431" authorId="0" shapeId="0" xr:uid="{00000000-0006-0000-0500-0000C5010000}">
      <text>
        <r>
          <rPr>
            <sz val="11"/>
            <color theme="1"/>
            <rFont val="Calibri"/>
            <family val="2"/>
            <scheme val="minor"/>
          </rPr>
          <t>======
ID#AAABDq5TrJQ
YULIED.PENARANDA    (2023-11-09 13:07:34)
Recursos presupuestales asignados para la vigencia en programación  y/o seguimiento, según la columna en que se reporte</t>
        </r>
      </text>
    </comment>
    <comment ref="D432" authorId="0" shapeId="0" xr:uid="{00000000-0006-0000-0500-0000C6010000}">
      <text>
        <r>
          <rPr>
            <sz val="11"/>
            <color theme="1"/>
            <rFont val="Calibri"/>
            <family val="2"/>
            <scheme val="minor"/>
          </rPr>
          <t>======
ID#AAABDq5Tq_8
YULIED.PENARANDA    (2023-11-09 13:07:33)
Magnitud física asociada a la reservas,  aplica para las meta con tipología suma, las cuales se pueden desagregar por los compromisos contraídos que al cierre de la vigencia fiscal no  se cumplierón.</t>
        </r>
      </text>
    </comment>
    <comment ref="D433" authorId="0" shapeId="0" xr:uid="{00000000-0006-0000-0500-0000C7010000}">
      <text>
        <r>
          <rPr>
            <sz val="11"/>
            <color theme="1"/>
            <rFont val="Calibri"/>
            <family val="2"/>
            <scheme val="minor"/>
          </rPr>
          <t>======
ID#AAABDq5TrT8
YULIED.PENARANDA    (2023-11-09 13:07:34)
Son compromisos legalmente contraídos que al cierre de la vigencia fiscal no se han atendido por no haberse completado las formalidades necesarias que hagan exigible el pago al terminarse el año.</t>
        </r>
      </text>
    </comment>
    <comment ref="D434" authorId="0" shapeId="0" xr:uid="{00000000-0006-0000-0500-0000C8010000}">
      <text>
        <r>
          <rPr>
            <sz val="11"/>
            <color theme="1"/>
            <rFont val="Calibri"/>
            <family val="2"/>
            <scheme val="minor"/>
          </rPr>
          <t>======
ID#AAABDq5TrQ0
YULIED.PENARANDA    (2023-11-09 13:07:34)
Para las metas de tipología suma (vigencia *reservas). Para las demás tipos de metas se asocia el mismo dato de la vigencia.</t>
        </r>
      </text>
    </comment>
    <comment ref="D435" authorId="0" shapeId="0" xr:uid="{00000000-0006-0000-0500-0000C9010000}">
      <text>
        <r>
          <rPr>
            <sz val="11"/>
            <color theme="1"/>
            <rFont val="Calibri"/>
            <family val="2"/>
            <scheme val="minor"/>
          </rPr>
          <t>======
ID#AAABDq5TrFk
YULIED.PENARANDA    (2023-11-09 13:07:34)
Se suma los recursos presupuestales (vigencia + reservas)</t>
        </r>
      </text>
    </comment>
    <comment ref="D436" authorId="0" shapeId="0" xr:uid="{00000000-0006-0000-0500-0000CA010000}">
      <text>
        <r>
          <rPr>
            <sz val="11"/>
            <color theme="1"/>
            <rFont val="Calibri"/>
            <family val="2"/>
            <scheme val="minor"/>
          </rPr>
          <t>======
ID#AAABDq5Tq5c
YULIED.PENARANDA    (2023-11-09 13:07:34)
Magnitud física de la meta proyecto de inversión, a programar o a realizar seguimiento, según la columna en que se reporte.</t>
        </r>
      </text>
    </comment>
    <comment ref="D437" authorId="0" shapeId="0" xr:uid="{00000000-0006-0000-0500-0000CB010000}">
      <text>
        <r>
          <rPr>
            <sz val="11"/>
            <color theme="1"/>
            <rFont val="Calibri"/>
            <family val="2"/>
            <scheme val="minor"/>
          </rPr>
          <t>======
ID#AAABDq5Trx0
YULIED.PENARANDA    (2023-11-09 13:07:33)
Recursos presupuestales asignados para la vigencia en programación  y/o seguimiento, según la columna en que se reporte</t>
        </r>
      </text>
    </comment>
    <comment ref="D438" authorId="0" shapeId="0" xr:uid="{00000000-0006-0000-0500-0000CC010000}">
      <text>
        <r>
          <rPr>
            <sz val="11"/>
            <color theme="1"/>
            <rFont val="Calibri"/>
            <family val="2"/>
            <scheme val="minor"/>
          </rPr>
          <t>======
ID#AAABDq5Tres
YULIED.PENARANDA    (2023-11-09 13:07:34)
Magnitud física asociada a la reservas,  aplica para las meta con tipología suma, las cuales se pueden desagregar por los compromisos contraídos que al cierre de la vigencia fiscal no  se cumplierón.</t>
        </r>
      </text>
    </comment>
    <comment ref="D439" authorId="0" shapeId="0" xr:uid="{00000000-0006-0000-0500-0000CD010000}">
      <text>
        <r>
          <rPr>
            <sz val="11"/>
            <color theme="1"/>
            <rFont val="Calibri"/>
            <family val="2"/>
            <scheme val="minor"/>
          </rPr>
          <t>======
ID#AAABDq5Truc
YULIED.PENARANDA    (2023-11-09 13:07:33)
Son compromisos legalmente contraídos que al cierre de la vigencia fiscal no se han atendido por no haberse completado las formalidades necesarias que hagan exigible el pago al terminarse el año.</t>
        </r>
      </text>
    </comment>
    <comment ref="D440" authorId="0" shapeId="0" xr:uid="{00000000-0006-0000-0500-0000CE010000}">
      <text>
        <r>
          <rPr>
            <sz val="11"/>
            <color theme="1"/>
            <rFont val="Calibri"/>
            <family val="2"/>
            <scheme val="minor"/>
          </rPr>
          <t>======
ID#AAABDq5Tq0Y
YULIED.PENARANDA    (2023-11-09 13:07:34)
Para las metas de tipología suma (vigencia *reservas). Para las demás tipos de metas se asocia el mismo dato de la vigencia.</t>
        </r>
      </text>
    </comment>
    <comment ref="D441" authorId="0" shapeId="0" xr:uid="{00000000-0006-0000-0500-0000CF010000}">
      <text>
        <r>
          <rPr>
            <sz val="11"/>
            <color theme="1"/>
            <rFont val="Calibri"/>
            <family val="2"/>
            <scheme val="minor"/>
          </rPr>
          <t>======
ID#AAABDq5TrvQ
YULIED.PENARANDA    (2023-11-09 13:07:34)
Se suma los recursos presupuestales (vigencia + reservas)</t>
        </r>
      </text>
    </comment>
    <comment ref="D442" authorId="0" shapeId="0" xr:uid="{00000000-0006-0000-0500-0000D0010000}">
      <text>
        <r>
          <rPr>
            <sz val="11"/>
            <color theme="1"/>
            <rFont val="Calibri"/>
            <family val="2"/>
            <scheme val="minor"/>
          </rPr>
          <t>======
ID#AAABDq5TrCE
YULIED.PENARANDA    (2023-11-09 13:07:34)
Magnitud física de la meta proyecto de inversión, a programar o a realizar seguimiento, según la columna en que se reporte.</t>
        </r>
      </text>
    </comment>
    <comment ref="D443" authorId="0" shapeId="0" xr:uid="{00000000-0006-0000-0500-0000D1010000}">
      <text>
        <r>
          <rPr>
            <sz val="11"/>
            <color theme="1"/>
            <rFont val="Calibri"/>
            <family val="2"/>
            <scheme val="minor"/>
          </rPr>
          <t>======
ID#AAABDq5TrsU
YULIED.PENARANDA    (2023-11-09 13:07:34)
Recursos presupuestales asignados para la vigencia en programación  y/o seguimiento, según la columna en que se reporte</t>
        </r>
      </text>
    </comment>
    <comment ref="D444" authorId="0" shapeId="0" xr:uid="{00000000-0006-0000-0500-0000D2010000}">
      <text>
        <r>
          <rPr>
            <sz val="11"/>
            <color theme="1"/>
            <rFont val="Calibri"/>
            <family val="2"/>
            <scheme val="minor"/>
          </rPr>
          <t>======
ID#AAABDq5TrBI
YULIED.PENARANDA    (2023-11-09 13:07:33)
Magnitud física asociada a la reservas,  aplica para las meta con tipología suma, las cuales se pueden desagregar por los compromisos contraídos que al cierre de la vigencia fiscal no  se cumplierón.</t>
        </r>
      </text>
    </comment>
    <comment ref="D445" authorId="0" shapeId="0" xr:uid="{00000000-0006-0000-0500-0000D3010000}">
      <text>
        <r>
          <rPr>
            <sz val="11"/>
            <color theme="1"/>
            <rFont val="Calibri"/>
            <family val="2"/>
            <scheme val="minor"/>
          </rPr>
          <t>======
ID#AAABDq5TreE
YULIED.PENARANDA    (2023-11-09 13:07:34)
Son compromisos legalmente contraídos que al cierre de la vigencia fiscal no se han atendido por no haberse completado las formalidades necesarias que hagan exigible el pago al terminarse el año.</t>
        </r>
      </text>
    </comment>
    <comment ref="D446" authorId="0" shapeId="0" xr:uid="{00000000-0006-0000-0500-0000D4010000}">
      <text>
        <r>
          <rPr>
            <sz val="11"/>
            <color theme="1"/>
            <rFont val="Calibri"/>
            <family val="2"/>
            <scheme val="minor"/>
          </rPr>
          <t>======
ID#AAABDq5TrCs
YULIED.PENARANDA    (2023-11-09 13:07:33)
Para las metas de tipología suma (vigencia *reservas). Para las demás tipos de metas se asocia el mismo dato de la vigencia.</t>
        </r>
      </text>
    </comment>
    <comment ref="D447" authorId="0" shapeId="0" xr:uid="{00000000-0006-0000-0500-0000D5010000}">
      <text>
        <r>
          <rPr>
            <sz val="11"/>
            <color theme="1"/>
            <rFont val="Calibri"/>
            <family val="2"/>
            <scheme val="minor"/>
          </rPr>
          <t>======
ID#AAABDq5Trac
YULIED.PENARANDA    (2023-11-09 13:07:34)
Se suma los recursos presupuestales (vigencia + reservas)</t>
        </r>
      </text>
    </comment>
    <comment ref="D448" authorId="0" shapeId="0" xr:uid="{00000000-0006-0000-0500-0000D6010000}">
      <text>
        <r>
          <rPr>
            <sz val="11"/>
            <color theme="1"/>
            <rFont val="Calibri"/>
            <family val="2"/>
            <scheme val="minor"/>
          </rPr>
          <t>======
ID#AAABDq5Tq7g
YULIED.PENARANDA    (2023-11-09 13:07:34)
Magnitud física de la meta proyecto de inversión, a programar o a realizar seguimiento, según la columna en que se reporte.</t>
        </r>
      </text>
    </comment>
    <comment ref="D449" authorId="0" shapeId="0" xr:uid="{00000000-0006-0000-0500-0000D7010000}">
      <text>
        <r>
          <rPr>
            <sz val="11"/>
            <color theme="1"/>
            <rFont val="Calibri"/>
            <family val="2"/>
            <scheme val="minor"/>
          </rPr>
          <t>======
ID#AAABDq5TrmQ
YULIED.PENARANDA    (2023-11-09 13:07:34)
Recursos presupuestales asignados para la vigencia en programación  y/o seguimiento, según la columna en que se reporte</t>
        </r>
      </text>
    </comment>
    <comment ref="D450" authorId="0" shapeId="0" xr:uid="{00000000-0006-0000-0500-0000D8010000}">
      <text>
        <r>
          <rPr>
            <sz val="11"/>
            <color theme="1"/>
            <rFont val="Calibri"/>
            <family val="2"/>
            <scheme val="minor"/>
          </rPr>
          <t>======
ID#AAABDq5TrQo
YULIED.PENARANDA    (2023-11-09 13:07:33)
Magnitud física asociada a la reservas,  aplica para las meta con tipología suma, las cuales se pueden desagregar por los compromisos contraídos que al cierre de la vigencia fiscal no  se cumplierón.</t>
        </r>
      </text>
    </comment>
    <comment ref="D451" authorId="0" shapeId="0" xr:uid="{00000000-0006-0000-0500-0000D9010000}">
      <text>
        <r>
          <rPr>
            <sz val="11"/>
            <color theme="1"/>
            <rFont val="Calibri"/>
            <family val="2"/>
            <scheme val="minor"/>
          </rPr>
          <t>======
ID#AAABDq5Trmk
YULIED.PENARANDA    (2023-11-09 13:07:34)
Son compromisos legalmente contraídos que al cierre de la vigencia fiscal no se han atendido por no haberse completado las formalidades necesarias que hagan exigible el pago al terminarse el año.</t>
        </r>
      </text>
    </comment>
    <comment ref="D452" authorId="0" shapeId="0" xr:uid="{00000000-0006-0000-0500-0000DA010000}">
      <text>
        <r>
          <rPr>
            <sz val="11"/>
            <color theme="1"/>
            <rFont val="Calibri"/>
            <family val="2"/>
            <scheme val="minor"/>
          </rPr>
          <t>======
ID#AAABDq5Tq8w
YULIED.PENARANDA    (2023-11-09 13:07:33)
Para las metas de tipología suma (vigencia *reservas). Para las demás tipos de metas se asocia el mismo dato de la vigencia.</t>
        </r>
      </text>
    </comment>
    <comment ref="D453" authorId="0" shapeId="0" xr:uid="{00000000-0006-0000-0500-0000DB010000}">
      <text>
        <r>
          <rPr>
            <sz val="11"/>
            <color theme="1"/>
            <rFont val="Calibri"/>
            <family val="2"/>
            <scheme val="minor"/>
          </rPr>
          <t>======
ID#AAABDq5Tqos
YULIED.PENARANDA    (2023-11-09 13:07:34)
Se suma los recursos presupuestales (vigencia + reservas)</t>
        </r>
      </text>
    </comment>
    <comment ref="D454" authorId="0" shapeId="0" xr:uid="{00000000-0006-0000-0500-0000DC010000}">
      <text>
        <r>
          <rPr>
            <sz val="11"/>
            <color theme="1"/>
            <rFont val="Calibri"/>
            <family val="2"/>
            <scheme val="minor"/>
          </rPr>
          <t>======
ID#AAABDq5TrnE
YULIED.PENARANDA    (2023-11-09 13:07:33)
Magnitud física de la meta proyecto de inversión, a programar o a realizar seguimiento, según la columna en que se reporte.</t>
        </r>
      </text>
    </comment>
    <comment ref="D455" authorId="0" shapeId="0" xr:uid="{00000000-0006-0000-0500-0000DD010000}">
      <text>
        <r>
          <rPr>
            <sz val="11"/>
            <color theme="1"/>
            <rFont val="Calibri"/>
            <family val="2"/>
            <scheme val="minor"/>
          </rPr>
          <t>======
ID#AAABDq5Trn8
YULIED.PENARANDA    (2023-11-09 13:07:34)
Recursos presupuestales asignados para la vigencia en programación  y/o seguimiento, según la columna en que se reporte</t>
        </r>
      </text>
    </comment>
    <comment ref="D456" authorId="0" shapeId="0" xr:uid="{00000000-0006-0000-0500-0000DE010000}">
      <text>
        <r>
          <rPr>
            <sz val="11"/>
            <color theme="1"/>
            <rFont val="Calibri"/>
            <family val="2"/>
            <scheme val="minor"/>
          </rPr>
          <t>======
ID#AAABDq5TrvM
YULIED.PENARANDA    (2023-11-09 13:07:34)
Magnitud física asociada a la reservas,  aplica para las meta con tipología suma, las cuales se pueden desagregar por los compromisos contraídos que al cierre de la vigencia fiscal no  se cumplierón.</t>
        </r>
      </text>
    </comment>
    <comment ref="D457" authorId="0" shapeId="0" xr:uid="{00000000-0006-0000-0500-0000DF010000}">
      <text>
        <r>
          <rPr>
            <sz val="11"/>
            <color theme="1"/>
            <rFont val="Calibri"/>
            <family val="2"/>
            <scheme val="minor"/>
          </rPr>
          <t>======
ID#AAABDq5TrUQ
YULIED.PENARANDA    (2023-11-09 13:07:34)
Son compromisos legalmente contraídos que al cierre de la vigencia fiscal no se han atendido por no haberse completado las formalidades necesarias que hagan exigible el pago al terminarse el año.</t>
        </r>
      </text>
    </comment>
    <comment ref="D458" authorId="0" shapeId="0" xr:uid="{00000000-0006-0000-0500-0000E0010000}">
      <text>
        <r>
          <rPr>
            <sz val="11"/>
            <color theme="1"/>
            <rFont val="Calibri"/>
            <family val="2"/>
            <scheme val="minor"/>
          </rPr>
          <t>======
ID#AAABDq5TrHU
YULIED.PENARANDA    (2023-11-09 13:07:34)
Para las metas de tipología suma (vigencia *reservas). Para las demás tipos de metas se asocia el mismo dato de la vigencia.</t>
        </r>
      </text>
    </comment>
    <comment ref="D459" authorId="0" shapeId="0" xr:uid="{00000000-0006-0000-0500-0000E1010000}">
      <text>
        <r>
          <rPr>
            <sz val="11"/>
            <color theme="1"/>
            <rFont val="Calibri"/>
            <family val="2"/>
            <scheme val="minor"/>
          </rPr>
          <t>======
ID#AAABDq5TrFI
YULIED.PENARANDA    (2023-11-09 13:07:34)
Se suma los recursos presupuestales (vigencia + reservas)</t>
        </r>
      </text>
    </comment>
    <comment ref="D460" authorId="0" shapeId="0" xr:uid="{00000000-0006-0000-0500-0000E2010000}">
      <text>
        <r>
          <rPr>
            <sz val="11"/>
            <color theme="1"/>
            <rFont val="Calibri"/>
            <family val="2"/>
            <scheme val="minor"/>
          </rPr>
          <t>======
ID#AAABDq5Tq9c
YULIED.PENARANDA    (2023-11-09 13:07:34)
Magnitud física de la meta proyecto de inversión, a programar o a realizar seguimiento, según la columna en que se reporte.</t>
        </r>
      </text>
    </comment>
    <comment ref="D461" authorId="0" shapeId="0" xr:uid="{00000000-0006-0000-0500-0000E3010000}">
      <text>
        <r>
          <rPr>
            <sz val="11"/>
            <color theme="1"/>
            <rFont val="Calibri"/>
            <family val="2"/>
            <scheme val="minor"/>
          </rPr>
          <t>======
ID#AAABDq5TrHg
YULIED.PENARANDA    (2023-11-09 13:07:34)
Recursos presupuestales asignados para la vigencia en programación  y/o seguimiento, según la columna en que se reporte</t>
        </r>
      </text>
    </comment>
    <comment ref="D462" authorId="0" shapeId="0" xr:uid="{00000000-0006-0000-0500-0000E4010000}">
      <text>
        <r>
          <rPr>
            <sz val="11"/>
            <color theme="1"/>
            <rFont val="Calibri"/>
            <family val="2"/>
            <scheme val="minor"/>
          </rPr>
          <t>======
ID#AAABDq5TrW4
YULIED.PENARANDA    (2023-11-09 13:07:34)
Magnitud física asociada a la reservas,  aplica para las meta con tipología suma, las cuales se pueden desagregar por los compromisos contraídos que al cierre de la vigencia fiscal no  se cumplierón.</t>
        </r>
      </text>
    </comment>
    <comment ref="D463" authorId="0" shapeId="0" xr:uid="{00000000-0006-0000-0500-0000E5010000}">
      <text>
        <r>
          <rPr>
            <sz val="11"/>
            <color theme="1"/>
            <rFont val="Calibri"/>
            <family val="2"/>
            <scheme val="minor"/>
          </rPr>
          <t>======
ID#AAABDq5Tq6A
YULIED.PENARANDA    (2023-11-09 13:07:34)
Son compromisos legalmente contraídos que al cierre de la vigencia fiscal no se han atendido por no haberse completado las formalidades necesarias que hagan exigible el pago al terminarse el año.</t>
        </r>
      </text>
    </comment>
    <comment ref="D464" authorId="0" shapeId="0" xr:uid="{00000000-0006-0000-0500-0000E6010000}">
      <text>
        <r>
          <rPr>
            <sz val="11"/>
            <color theme="1"/>
            <rFont val="Calibri"/>
            <family val="2"/>
            <scheme val="minor"/>
          </rPr>
          <t>======
ID#AAABDq5TriA
YULIED.PENARANDA    (2023-11-09 13:07:33)
Para las metas de tipología suma (vigencia *reservas). Para las demás tipos de metas se asocia el mismo dato de la vigencia.</t>
        </r>
      </text>
    </comment>
    <comment ref="D465" authorId="0" shapeId="0" xr:uid="{00000000-0006-0000-0500-0000E7010000}">
      <text>
        <r>
          <rPr>
            <sz val="11"/>
            <color theme="1"/>
            <rFont val="Calibri"/>
            <family val="2"/>
            <scheme val="minor"/>
          </rPr>
          <t>======
ID#AAABDq5Tq_0
YULIED.PENARANDA    (2023-11-09 13:07:34)
Se suma los recursos presupuestales (vigencia + reservas)</t>
        </r>
      </text>
    </comment>
    <comment ref="D466" authorId="0" shapeId="0" xr:uid="{00000000-0006-0000-0500-0000E8010000}">
      <text>
        <r>
          <rPr>
            <sz val="11"/>
            <color theme="1"/>
            <rFont val="Calibri"/>
            <family val="2"/>
            <scheme val="minor"/>
          </rPr>
          <t>======
ID#AAABDq5Trfs
YULIED.PENARANDA    (2023-11-09 13:07:34)
Magnitud física de la meta proyecto de inversión, a programar o a realizar seguimiento, según la columna en que se reporte.</t>
        </r>
      </text>
    </comment>
    <comment ref="D467" authorId="0" shapeId="0" xr:uid="{00000000-0006-0000-0500-0000E9010000}">
      <text>
        <r>
          <rPr>
            <sz val="11"/>
            <color theme="1"/>
            <rFont val="Calibri"/>
            <family val="2"/>
            <scheme val="minor"/>
          </rPr>
          <t>======
ID#AAABDq5TrA8
YULIED.PENARANDA    (2023-11-09 13:07:34)
Recursos presupuestales asignados para la vigencia en programación  y/o seguimiento, según la columna en que se reporte</t>
        </r>
      </text>
    </comment>
    <comment ref="D468" authorId="0" shapeId="0" xr:uid="{00000000-0006-0000-0500-0000EA010000}">
      <text>
        <r>
          <rPr>
            <sz val="11"/>
            <color theme="1"/>
            <rFont val="Calibri"/>
            <family val="2"/>
            <scheme val="minor"/>
          </rPr>
          <t>======
ID#AAABDq5TrTg
YULIED.PENARANDA    (2023-11-09 13:07:33)
Magnitud física asociada a la reservas,  aplica para las meta con tipología suma, las cuales se pueden desagregar por los compromisos contraídos que al cierre de la vigencia fiscal no  se cumplierón.</t>
        </r>
      </text>
    </comment>
    <comment ref="D469" authorId="0" shapeId="0" xr:uid="{00000000-0006-0000-0500-0000EB010000}">
      <text>
        <r>
          <rPr>
            <sz val="11"/>
            <color theme="1"/>
            <rFont val="Calibri"/>
            <family val="2"/>
            <scheme val="minor"/>
          </rPr>
          <t>======
ID#AAABDq5Tqzg
YULIED.PENARANDA    (2023-11-09 13:07:34)
Son compromisos legalmente contraídos que al cierre de la vigencia fiscal no se han atendido por no haberse completado las formalidades necesarias que hagan exigible el pago al terminarse el año.</t>
        </r>
      </text>
    </comment>
    <comment ref="D470" authorId="0" shapeId="0" xr:uid="{00000000-0006-0000-0500-0000EC010000}">
      <text>
        <r>
          <rPr>
            <sz val="11"/>
            <color theme="1"/>
            <rFont val="Calibri"/>
            <family val="2"/>
            <scheme val="minor"/>
          </rPr>
          <t>======
ID#AAABDq5TrVU
YULIED.PENARANDA    (2023-11-09 13:07:34)
Para las metas de tipología suma (vigencia *reservas). Para las demás tipos de metas se asocia el mismo dato de la vigencia.</t>
        </r>
      </text>
    </comment>
    <comment ref="D471" authorId="0" shapeId="0" xr:uid="{00000000-0006-0000-0500-0000ED010000}">
      <text>
        <r>
          <rPr>
            <sz val="11"/>
            <color theme="1"/>
            <rFont val="Calibri"/>
            <family val="2"/>
            <scheme val="minor"/>
          </rPr>
          <t>======
ID#AAABDq5TrOA
YULIED.PENARANDA    (2023-11-09 13:07:34)
Se suma los recursos presupuestales (vigencia + reservas)</t>
        </r>
      </text>
    </comment>
    <comment ref="D472" authorId="0" shapeId="0" xr:uid="{00000000-0006-0000-0500-0000EE010000}">
      <text>
        <r>
          <rPr>
            <sz val="11"/>
            <color theme="1"/>
            <rFont val="Calibri"/>
            <family val="2"/>
            <scheme val="minor"/>
          </rPr>
          <t>======
ID#AAABDq5Tq7o
YULIED.PENARANDA    (2023-11-09 13:07:33)
Magnitud física de la meta proyecto de inversión, a programar o a realizar seguimiento, según la columna en que se reporte.</t>
        </r>
      </text>
    </comment>
    <comment ref="D473" authorId="0" shapeId="0" xr:uid="{00000000-0006-0000-0500-0000EF010000}">
      <text>
        <r>
          <rPr>
            <sz val="11"/>
            <color theme="1"/>
            <rFont val="Calibri"/>
            <family val="2"/>
            <scheme val="minor"/>
          </rPr>
          <t>======
ID#AAABDq5TrQ4
YULIED.PENARANDA    (2023-11-09 13:07:34)
Recursos presupuestales asignados para la vigencia en programación  y/o seguimiento, según la columna en que se reporte</t>
        </r>
      </text>
    </comment>
    <comment ref="D474" authorId="0" shapeId="0" xr:uid="{00000000-0006-0000-0500-0000F0010000}">
      <text>
        <r>
          <rPr>
            <sz val="11"/>
            <color theme="1"/>
            <rFont val="Calibri"/>
            <family val="2"/>
            <scheme val="minor"/>
          </rPr>
          <t>======
ID#AAABDq5TrAI
YULIED.PENARANDA    (2023-11-09 13:07:34)
Magnitud física asociada a la reservas,  aplica para las meta con tipología suma, las cuales se pueden desagregar por los compromisos contraídos que al cierre de la vigencia fiscal no  se cumplierón.</t>
        </r>
      </text>
    </comment>
    <comment ref="D475" authorId="0" shapeId="0" xr:uid="{00000000-0006-0000-0500-0000F1010000}">
      <text>
        <r>
          <rPr>
            <sz val="11"/>
            <color theme="1"/>
            <rFont val="Calibri"/>
            <family val="2"/>
            <scheme val="minor"/>
          </rPr>
          <t>======
ID#AAABDq5TqqA
YULIED.PENARANDA    (2023-11-09 13:07:33)
Son compromisos legalmente contraídos que al cierre de la vigencia fiscal no se han atendido por no haberse completado las formalidades necesarias que hagan exigible el pago al terminarse el año.</t>
        </r>
      </text>
    </comment>
    <comment ref="D476" authorId="0" shapeId="0" xr:uid="{00000000-0006-0000-0500-0000F2010000}">
      <text>
        <r>
          <rPr>
            <sz val="11"/>
            <color theme="1"/>
            <rFont val="Calibri"/>
            <family val="2"/>
            <scheme val="minor"/>
          </rPr>
          <t>======
ID#AAABDq5TrO0
YULIED.PENARANDA    (2023-11-09 13:07:34)
Para las metas de tipología suma (vigencia *reservas). Para las demás tipos de metas se asocia el mismo dato de la vigencia.</t>
        </r>
      </text>
    </comment>
    <comment ref="D477" authorId="0" shapeId="0" xr:uid="{00000000-0006-0000-0500-0000F3010000}">
      <text>
        <r>
          <rPr>
            <sz val="11"/>
            <color theme="1"/>
            <rFont val="Calibri"/>
            <family val="2"/>
            <scheme val="minor"/>
          </rPr>
          <t>======
ID#AAABDq5TrME
YULIED.PENARANDA    (2023-11-09 13:07:33)
Se suma los recursos presupuestales (vigencia + reservas)</t>
        </r>
      </text>
    </comment>
    <comment ref="D478" authorId="0" shapeId="0" xr:uid="{00000000-0006-0000-0500-0000F4010000}">
      <text>
        <r>
          <rPr>
            <sz val="11"/>
            <color theme="1"/>
            <rFont val="Calibri"/>
            <family val="2"/>
            <scheme val="minor"/>
          </rPr>
          <t>======
ID#AAABDq5TrDE
YULIED.PENARANDA    (2023-11-09 13:07:33)
Magnitud física de la meta proyecto de inversión, a programar o a realizar seguimiento, según la columna en que se reporte.</t>
        </r>
      </text>
    </comment>
    <comment ref="D479" authorId="0" shapeId="0" xr:uid="{00000000-0006-0000-0500-0000F5010000}">
      <text>
        <r>
          <rPr>
            <sz val="11"/>
            <color theme="1"/>
            <rFont val="Calibri"/>
            <family val="2"/>
            <scheme val="minor"/>
          </rPr>
          <t>======
ID#AAABDq5Tq1w
YULIED.PENARANDA    (2023-11-09 13:07:34)
Recursos presupuestales asignados para la vigencia en programación  y/o seguimiento, según la columna en que se reporte</t>
        </r>
      </text>
    </comment>
    <comment ref="D480" authorId="0" shapeId="0" xr:uid="{00000000-0006-0000-0500-0000F6010000}">
      <text>
        <r>
          <rPr>
            <sz val="11"/>
            <color theme="1"/>
            <rFont val="Calibri"/>
            <family val="2"/>
            <scheme val="minor"/>
          </rPr>
          <t>======
ID#AAABDq5TrLQ
YULIED.PENARANDA    (2023-11-09 13:07:33)
Magnitud física asociada a la reservas,  aplica para las meta con tipología suma, las cuales se pueden desagregar por los compromisos contraídos que al cierre de la vigencia fiscal no  se cumplierón.</t>
        </r>
      </text>
    </comment>
    <comment ref="D481" authorId="0" shapeId="0" xr:uid="{00000000-0006-0000-0500-0000F7010000}">
      <text>
        <r>
          <rPr>
            <sz val="11"/>
            <color theme="1"/>
            <rFont val="Calibri"/>
            <family val="2"/>
            <scheme val="minor"/>
          </rPr>
          <t>======
ID#AAABDq5TrHY
YULIED.PENARANDA    (2023-11-09 13:07:33)
Son compromisos legalmente contraídos que al cierre de la vigencia fiscal no se han atendido por no haberse completado las formalidades necesarias que hagan exigible el pago al terminarse el año.</t>
        </r>
      </text>
    </comment>
    <comment ref="D482" authorId="0" shapeId="0" xr:uid="{00000000-0006-0000-0500-0000F8010000}">
      <text>
        <r>
          <rPr>
            <sz val="11"/>
            <color theme="1"/>
            <rFont val="Calibri"/>
            <family val="2"/>
            <scheme val="minor"/>
          </rPr>
          <t>======
ID#AAABDq5TreA
YULIED.PENARANDA    (2023-11-09 13:07:33)
Para las metas de tipología suma (vigencia *reservas). Para las demás tipos de metas se asocia el mismo dato de la vigencia.</t>
        </r>
      </text>
    </comment>
    <comment ref="D483" authorId="0" shapeId="0" xr:uid="{00000000-0006-0000-0500-0000F9010000}">
      <text>
        <r>
          <rPr>
            <sz val="11"/>
            <color theme="1"/>
            <rFont val="Calibri"/>
            <family val="2"/>
            <scheme val="minor"/>
          </rPr>
          <t>======
ID#AAABDq5Trvs
YULIED.PENARANDA    (2023-11-09 13:07:34)
Se suma los recursos presupuestales (vigencia + reservas)</t>
        </r>
      </text>
    </comment>
    <comment ref="D484" authorId="0" shapeId="0" xr:uid="{00000000-0006-0000-0500-0000FA010000}">
      <text>
        <r>
          <rPr>
            <sz val="11"/>
            <color theme="1"/>
            <rFont val="Calibri"/>
            <family val="2"/>
            <scheme val="minor"/>
          </rPr>
          <t>======
ID#AAABDq5TqpY
YULIED.PENARANDA    (2023-11-09 13:07:33)
Magnitud física de la meta proyecto de inversión, a programar o a realizar seguimiento, según la columna en que se reporte.</t>
        </r>
      </text>
    </comment>
    <comment ref="D485" authorId="0" shapeId="0" xr:uid="{00000000-0006-0000-0500-0000FB010000}">
      <text>
        <r>
          <rPr>
            <sz val="11"/>
            <color theme="1"/>
            <rFont val="Calibri"/>
            <family val="2"/>
            <scheme val="minor"/>
          </rPr>
          <t>======
ID#AAABDq5Tq4E
YULIED.PENARANDA    (2023-11-09 13:07:34)
Recursos presupuestales asignados para la vigencia en programación  y/o seguimiento, según la columna en que se reporte</t>
        </r>
      </text>
    </comment>
    <comment ref="D486" authorId="0" shapeId="0" xr:uid="{00000000-0006-0000-0500-0000FC010000}">
      <text>
        <r>
          <rPr>
            <sz val="11"/>
            <color theme="1"/>
            <rFont val="Calibri"/>
            <family val="2"/>
            <scheme val="minor"/>
          </rPr>
          <t>======
ID#AAABDq5Tra0
YULIED.PENARANDA    (2023-11-09 13:07:33)
Magnitud física asociada a la reservas,  aplica para las meta con tipología suma, las cuales se pueden desagregar por los compromisos contraídos que al cierre de la vigencia fiscal no  se cumplierón.</t>
        </r>
      </text>
    </comment>
    <comment ref="D487" authorId="0" shapeId="0" xr:uid="{00000000-0006-0000-0500-0000FD010000}">
      <text>
        <r>
          <rPr>
            <sz val="11"/>
            <color theme="1"/>
            <rFont val="Calibri"/>
            <family val="2"/>
            <scheme val="minor"/>
          </rPr>
          <t>======
ID#AAABDq5Tq8c
YULIED.PENARANDA    (2023-11-09 13:07:33)
Son compromisos legalmente contraídos que al cierre de la vigencia fiscal no se han atendido por no haberse completado las formalidades necesarias que hagan exigible el pago al terminarse el año.</t>
        </r>
      </text>
    </comment>
    <comment ref="D488" authorId="0" shapeId="0" xr:uid="{00000000-0006-0000-0500-0000FE010000}">
      <text>
        <r>
          <rPr>
            <sz val="11"/>
            <color theme="1"/>
            <rFont val="Calibri"/>
            <family val="2"/>
            <scheme val="minor"/>
          </rPr>
          <t>======
ID#AAABDq5Tq6Q
YULIED.PENARANDA    (2023-11-09 13:07:34)
Para las metas de tipología suma (vigencia *reservas). Para las demás tipos de metas se asocia el mismo dato de la vigencia.</t>
        </r>
      </text>
    </comment>
    <comment ref="D489" authorId="0" shapeId="0" xr:uid="{00000000-0006-0000-0500-0000FF010000}">
      <text>
        <r>
          <rPr>
            <sz val="11"/>
            <color theme="1"/>
            <rFont val="Calibri"/>
            <family val="2"/>
            <scheme val="minor"/>
          </rPr>
          <t>======
ID#AAABDq5Tq3s
YULIED.PENARANDA    (2023-11-09 13:07:34)
Se suma los recursos presupuestales (vigencia + reservas)</t>
        </r>
      </text>
    </comment>
    <comment ref="D490" authorId="0" shapeId="0" xr:uid="{00000000-0006-0000-0500-000000020000}">
      <text>
        <r>
          <rPr>
            <sz val="11"/>
            <color theme="1"/>
            <rFont val="Calibri"/>
            <family val="2"/>
            <scheme val="minor"/>
          </rPr>
          <t>======
ID#AAABDq5Tq3A
YULIED.PENARANDA    (2023-11-09 13:07:33)
Magnitud física de la meta proyecto de inversión, a programar o a realizar seguimiento, según la columna en que se reporte.</t>
        </r>
      </text>
    </comment>
    <comment ref="D491" authorId="0" shapeId="0" xr:uid="{00000000-0006-0000-0500-000001020000}">
      <text>
        <r>
          <rPr>
            <sz val="11"/>
            <color theme="1"/>
            <rFont val="Calibri"/>
            <family val="2"/>
            <scheme val="minor"/>
          </rPr>
          <t>======
ID#AAABDq5TrR0
YULIED.PENARANDA    (2023-11-09 13:07:34)
Recursos presupuestales asignados para la vigencia en programación  y/o seguimiento, según la columna en que se reporte</t>
        </r>
      </text>
    </comment>
    <comment ref="D492" authorId="0" shapeId="0" xr:uid="{00000000-0006-0000-0500-000002020000}">
      <text>
        <r>
          <rPr>
            <sz val="11"/>
            <color theme="1"/>
            <rFont val="Calibri"/>
            <family val="2"/>
            <scheme val="minor"/>
          </rPr>
          <t>======
ID#AAABDq5Trrs
YULIED.PENARANDA    (2023-11-09 13:07:34)
Magnitud física asociada a la reservas,  aplica para las meta con tipología suma, las cuales se pueden desagregar por los compromisos contraídos que al cierre de la vigencia fiscal no  se cumplierón.</t>
        </r>
      </text>
    </comment>
    <comment ref="D493" authorId="0" shapeId="0" xr:uid="{00000000-0006-0000-0500-000003020000}">
      <text>
        <r>
          <rPr>
            <sz val="11"/>
            <color theme="1"/>
            <rFont val="Calibri"/>
            <family val="2"/>
            <scheme val="minor"/>
          </rPr>
          <t>======
ID#AAABDq5TrCQ
YULIED.PENARANDA    (2023-11-09 13:07:33)
Son compromisos legalmente contraídos que al cierre de la vigencia fiscal no se han atendido por no haberse completado las formalidades necesarias que hagan exigible el pago al terminarse el año.</t>
        </r>
      </text>
    </comment>
    <comment ref="D494" authorId="0" shapeId="0" xr:uid="{00000000-0006-0000-0500-000004020000}">
      <text>
        <r>
          <rPr>
            <sz val="11"/>
            <color theme="1"/>
            <rFont val="Calibri"/>
            <family val="2"/>
            <scheme val="minor"/>
          </rPr>
          <t>======
ID#AAABDq5TrHs
YULIED.PENARANDA    (2023-11-09 13:07:34)
Para las metas de tipología suma (vigencia *reservas). Para las demás tipos de metas se asocia el mismo dato de la vigencia.</t>
        </r>
      </text>
    </comment>
    <comment ref="D495" authorId="0" shapeId="0" xr:uid="{00000000-0006-0000-0500-000005020000}">
      <text>
        <r>
          <rPr>
            <sz val="11"/>
            <color theme="1"/>
            <rFont val="Calibri"/>
            <family val="2"/>
            <scheme val="minor"/>
          </rPr>
          <t>======
ID#AAABDq5Trgo
YULIED.PENARANDA    (2023-11-09 13:07:34)
Se suma los recursos presupuestales (vigencia + reservas)</t>
        </r>
      </text>
    </comment>
    <comment ref="D496" authorId="0" shapeId="0" xr:uid="{00000000-0006-0000-0500-000006020000}">
      <text>
        <r>
          <rPr>
            <sz val="11"/>
            <color theme="1"/>
            <rFont val="Calibri"/>
            <family val="2"/>
            <scheme val="minor"/>
          </rPr>
          <t>======
ID#AAABDq5TrmY
YULIED.PENARANDA    (2023-11-09 13:07:33)
Magnitud física de la meta proyecto de inversión, a programar o a realizar seguimiento, según la columna en que se reporte.</t>
        </r>
      </text>
    </comment>
    <comment ref="D497" authorId="0" shapeId="0" xr:uid="{00000000-0006-0000-0500-000007020000}">
      <text>
        <r>
          <rPr>
            <sz val="11"/>
            <color theme="1"/>
            <rFont val="Calibri"/>
            <family val="2"/>
            <scheme val="minor"/>
          </rPr>
          <t>======
ID#AAABDq5Tqys
YULIED.PENARANDA    (2023-11-09 13:07:33)
Recursos presupuestales asignados para la vigencia en programación  y/o seguimiento, según la columna en que se reporte</t>
        </r>
      </text>
    </comment>
    <comment ref="D498" authorId="0" shapeId="0" xr:uid="{00000000-0006-0000-0500-000008020000}">
      <text>
        <r>
          <rPr>
            <sz val="11"/>
            <color theme="1"/>
            <rFont val="Calibri"/>
            <family val="2"/>
            <scheme val="minor"/>
          </rPr>
          <t>======
ID#AAABDq5TrOY
YULIED.PENARANDA    (2023-11-09 13:07:33)
Magnitud física asociada a la reservas,  aplica para las meta con tipología suma, las cuales se pueden desagregar por los compromisos contraídos que al cierre de la vigencia fiscal no  se cumplierón.</t>
        </r>
      </text>
    </comment>
    <comment ref="D499" authorId="0" shapeId="0" xr:uid="{00000000-0006-0000-0500-000009020000}">
      <text>
        <r>
          <rPr>
            <sz val="11"/>
            <color theme="1"/>
            <rFont val="Calibri"/>
            <family val="2"/>
            <scheme val="minor"/>
          </rPr>
          <t>======
ID#AAABDq5TrpA
YULIED.PENARANDA    (2023-11-09 13:07:34)
Son compromisos legalmente contraídos que al cierre de la vigencia fiscal no se han atendido por no haberse completado las formalidades necesarias que hagan exigible el pago al terminarse el año.</t>
        </r>
      </text>
    </comment>
    <comment ref="D500" authorId="0" shapeId="0" xr:uid="{00000000-0006-0000-0500-00000A020000}">
      <text>
        <r>
          <rPr>
            <sz val="11"/>
            <color theme="1"/>
            <rFont val="Calibri"/>
            <family val="2"/>
            <scheme val="minor"/>
          </rPr>
          <t>======
ID#AAABDq5TrrY
YULIED.PENARANDA    (2023-11-09 13:07:33)
Para las metas de tipología suma (vigencia *reservas). Para las demás tipos de metas se asocia el mismo dato de la vigencia.</t>
        </r>
      </text>
    </comment>
    <comment ref="D501" authorId="0" shapeId="0" xr:uid="{00000000-0006-0000-0500-00000B020000}">
      <text>
        <r>
          <rPr>
            <sz val="11"/>
            <color theme="1"/>
            <rFont val="Calibri"/>
            <family val="2"/>
            <scheme val="minor"/>
          </rPr>
          <t>======
ID#AAABDq5Trj0
YULIED.PENARANDA    (2023-11-09 13:07:33)
Se suma los recursos presupuestales (vigencia + reservas)</t>
        </r>
      </text>
    </comment>
    <comment ref="D502" authorId="0" shapeId="0" xr:uid="{00000000-0006-0000-0500-00000C020000}">
      <text>
        <r>
          <rPr>
            <sz val="11"/>
            <color theme="1"/>
            <rFont val="Calibri"/>
            <family val="2"/>
            <scheme val="minor"/>
          </rPr>
          <t>======
ID#AAABDq5Trsc
YULIED.PENARANDA    (2023-11-09 13:07:34)
Magnitud física de la meta proyecto de inversión, a programar o a realizar seguimiento, según la columna en que se reporte.</t>
        </r>
      </text>
    </comment>
    <comment ref="D503" authorId="0" shapeId="0" xr:uid="{00000000-0006-0000-0500-00000D020000}">
      <text>
        <r>
          <rPr>
            <sz val="11"/>
            <color theme="1"/>
            <rFont val="Calibri"/>
            <family val="2"/>
            <scheme val="minor"/>
          </rPr>
          <t>======
ID#AAABDq5TrlA
YULIED.PENARANDA    (2023-11-09 13:07:33)
Recursos presupuestales asignados para la vigencia en programación  y/o seguimiento, según la columna en que se reporte</t>
        </r>
      </text>
    </comment>
    <comment ref="Z503" authorId="0" shapeId="0" xr:uid="{00000000-0006-0000-0500-00000E020000}">
      <text>
        <r>
          <rPr>
            <sz val="11"/>
            <color theme="1"/>
            <rFont val="Calibri"/>
            <family val="2"/>
            <scheme val="minor"/>
          </rPr>
          <t>======
ID#AAABDq5Trt4
Angela    (2023-11-09 13:07:34)
Para el año 2020 se tiene programado asisitir a 50 proyectos como avance en la meta del cuatrenio, sin embargo, aunque se viene avanzando en la meta para el mes de julio no se programó el reporte de avances, sin embargo se vienen desarrollando acciones enmarcadas en la ejecución del programa de Gestión Ambiental Empresarial para el lograr el diseño y la implementación de proyectos de mejoramiento ambiental en el sector empresarial ubicado en el perimetro urbani de Bogotá y su aporte en la ciudad.</t>
        </r>
      </text>
    </comment>
    <comment ref="D504" authorId="0" shapeId="0" xr:uid="{00000000-0006-0000-0500-00000F020000}">
      <text>
        <r>
          <rPr>
            <sz val="11"/>
            <color theme="1"/>
            <rFont val="Calibri"/>
            <family val="2"/>
            <scheme val="minor"/>
          </rPr>
          <t>======
ID#AAABDq5TriM
YULIED.PENARANDA    (2023-11-09 13:07:33)
Magnitud física asociada a la reservas,  aplica para las meta con tipología suma, las cuales se pueden desagregar por los compromisos contraídos que al cierre de la vigencia fiscal no  se cumplierón.</t>
        </r>
      </text>
    </comment>
    <comment ref="D505" authorId="0" shapeId="0" xr:uid="{00000000-0006-0000-0500-000010020000}">
      <text>
        <r>
          <rPr>
            <sz val="11"/>
            <color theme="1"/>
            <rFont val="Calibri"/>
            <family val="2"/>
            <scheme val="minor"/>
          </rPr>
          <t>======
ID#AAABDq5Trt8
YULIED.PENARANDA    (2023-11-09 13:07:34)
Son compromisos legalmente contraídos que al cierre de la vigencia fiscal no se han atendido por no haberse completado las formalidades necesarias que hagan exigible el pago al terminarse el año.</t>
        </r>
      </text>
    </comment>
    <comment ref="D506" authorId="0" shapeId="0" xr:uid="{00000000-0006-0000-0500-000011020000}">
      <text>
        <r>
          <rPr>
            <sz val="11"/>
            <color theme="1"/>
            <rFont val="Calibri"/>
            <family val="2"/>
            <scheme val="minor"/>
          </rPr>
          <t>======
ID#AAABDq5Tq24
YULIED.PENARANDA    (2023-11-09 13:07:34)
Para las metas de tipología suma (vigencia *reservas). Para las demás tipos de metas se asocia el mismo dato de la vigencia.</t>
        </r>
      </text>
    </comment>
    <comment ref="D507" authorId="0" shapeId="0" xr:uid="{00000000-0006-0000-0500-000012020000}">
      <text>
        <r>
          <rPr>
            <sz val="11"/>
            <color theme="1"/>
            <rFont val="Calibri"/>
            <family val="2"/>
            <scheme val="minor"/>
          </rPr>
          <t>======
ID#AAABDq5TrDc
YULIED.PENARANDA    (2023-11-09 13:07:33)
Se suma los recursos presupuestales (vigencia + reservas)</t>
        </r>
      </text>
    </comment>
    <comment ref="D508" authorId="0" shapeId="0" xr:uid="{00000000-0006-0000-0500-000013020000}">
      <text>
        <r>
          <rPr>
            <sz val="11"/>
            <color theme="1"/>
            <rFont val="Calibri"/>
            <family val="2"/>
            <scheme val="minor"/>
          </rPr>
          <t>======
ID#AAABDq5TrSU
YULIED.PENARANDA    (2023-11-09 13:07:34)
Magnitud física de la meta proyecto de inversión, a programar o a realizar seguimiento, según la columna en que se reporte.</t>
        </r>
      </text>
    </comment>
    <comment ref="D509" authorId="0" shapeId="0" xr:uid="{00000000-0006-0000-0500-000014020000}">
      <text>
        <r>
          <rPr>
            <sz val="11"/>
            <color theme="1"/>
            <rFont val="Calibri"/>
            <family val="2"/>
            <scheme val="minor"/>
          </rPr>
          <t>======
ID#AAABDq5TrNw
YULIED.PENARANDA    (2023-11-09 13:07:34)
Recursos presupuestales asignados para la vigencia en programación  y/o seguimiento, según la columna en que se reporte</t>
        </r>
      </text>
    </comment>
    <comment ref="D510" authorId="0" shapeId="0" xr:uid="{00000000-0006-0000-0500-000015020000}">
      <text>
        <r>
          <rPr>
            <sz val="11"/>
            <color theme="1"/>
            <rFont val="Calibri"/>
            <family val="2"/>
            <scheme val="minor"/>
          </rPr>
          <t>======
ID#AAABDq5TrfU
YULIED.PENARANDA    (2023-11-09 13:07:34)
Magnitud física asociada a la reservas,  aplica para las meta con tipología suma, las cuales se pueden desagregar por los compromisos contraídos que al cierre de la vigencia fiscal no  se cumplierón.</t>
        </r>
      </text>
    </comment>
    <comment ref="D511" authorId="0" shapeId="0" xr:uid="{00000000-0006-0000-0500-000016020000}">
      <text>
        <r>
          <rPr>
            <sz val="11"/>
            <color theme="1"/>
            <rFont val="Calibri"/>
            <family val="2"/>
            <scheme val="minor"/>
          </rPr>
          <t>======
ID#AAABDq5Trg4
YULIED.PENARANDA    (2023-11-09 13:07:33)
Son compromisos legalmente contraídos que al cierre de la vigencia fiscal no se han atendido por no haberse completado las formalidades necesarias que hagan exigible el pago al terminarse el año.</t>
        </r>
      </text>
    </comment>
    <comment ref="D512" authorId="0" shapeId="0" xr:uid="{00000000-0006-0000-0500-000017020000}">
      <text>
        <r>
          <rPr>
            <sz val="11"/>
            <color theme="1"/>
            <rFont val="Calibri"/>
            <family val="2"/>
            <scheme val="minor"/>
          </rPr>
          <t>======
ID#AAABDq5TrP4
YULIED.PENARANDA    (2023-11-09 13:07:34)
Para las metas de tipología suma (vigencia *reservas). Para las demás tipos de metas se asocia el mismo dato de la vigencia.</t>
        </r>
      </text>
    </comment>
    <comment ref="D513" authorId="0" shapeId="0" xr:uid="{00000000-0006-0000-0500-000018020000}">
      <text>
        <r>
          <rPr>
            <sz val="11"/>
            <color theme="1"/>
            <rFont val="Calibri"/>
            <family val="2"/>
            <scheme val="minor"/>
          </rPr>
          <t>======
ID#AAABDq5TrIo
YULIED.PENARANDA    (2023-11-09 13:07:33)
Se suma los recursos presupuestales (vigencia + reservas)</t>
        </r>
      </text>
    </comment>
    <comment ref="D514" authorId="0" shapeId="0" xr:uid="{00000000-0006-0000-0500-000019020000}">
      <text>
        <r>
          <rPr>
            <sz val="11"/>
            <color theme="1"/>
            <rFont val="Calibri"/>
            <family val="2"/>
            <scheme val="minor"/>
          </rPr>
          <t>======
ID#AAABDq5TrNE
YULIED.PENARANDA    (2023-11-09 13:07:33)
Magnitud física de la meta proyecto de inversión, a programar o a realizar seguimiento, según la columna en que se reporte.</t>
        </r>
      </text>
    </comment>
    <comment ref="D515" authorId="0" shapeId="0" xr:uid="{00000000-0006-0000-0500-00001A020000}">
      <text>
        <r>
          <rPr>
            <sz val="11"/>
            <color theme="1"/>
            <rFont val="Calibri"/>
            <family val="2"/>
            <scheme val="minor"/>
          </rPr>
          <t>======
ID#AAABDq5Trdw
YULIED.PENARANDA    (2023-11-09 13:07:33)
Recursos presupuestales asignados para la vigencia en programación  y/o seguimiento, según la columna en que se reporte</t>
        </r>
      </text>
    </comment>
    <comment ref="AE515" authorId="0" shapeId="0" xr:uid="{00000000-0006-0000-0500-00001B020000}">
      <text>
        <r>
          <rPr>
            <sz val="11"/>
            <color theme="1"/>
            <rFont val="Calibri"/>
            <family val="2"/>
            <scheme val="minor"/>
          </rPr>
          <t>======
ID#AAABDq5Tq1k
Angela    (2023-11-09 13:07:33)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16" authorId="0" shapeId="0" xr:uid="{00000000-0006-0000-0500-00001C020000}">
      <text>
        <r>
          <rPr>
            <sz val="11"/>
            <color theme="1"/>
            <rFont val="Calibri"/>
            <family val="2"/>
            <scheme val="minor"/>
          </rPr>
          <t>======
ID#AAABDq5Tq7s
YULIED.PENARANDA    (2023-11-09 13:07:34)
Magnitud física asociada a la reservas,  aplica para las meta con tipología suma, las cuales se pueden desagregar por los compromisos contraídos que al cierre de la vigencia fiscal no  se cumplierón.</t>
        </r>
      </text>
    </comment>
    <comment ref="D517" authorId="0" shapeId="0" xr:uid="{00000000-0006-0000-0500-00001D020000}">
      <text>
        <r>
          <rPr>
            <sz val="11"/>
            <color theme="1"/>
            <rFont val="Calibri"/>
            <family val="2"/>
            <scheme val="minor"/>
          </rPr>
          <t>======
ID#AAABDq5TrEQ
YULIED.PENARANDA    (2023-11-09 13:07:33)
Son compromisos legalmente contraídos que al cierre de la vigencia fiscal no se han atendido por no haberse completado las formalidades necesarias que hagan exigible el pago al terminarse el año.</t>
        </r>
      </text>
    </comment>
    <comment ref="D518" authorId="0" shapeId="0" xr:uid="{00000000-0006-0000-0500-00001E020000}">
      <text>
        <r>
          <rPr>
            <sz val="11"/>
            <color theme="1"/>
            <rFont val="Calibri"/>
            <family val="2"/>
            <scheme val="minor"/>
          </rPr>
          <t>======
ID#AAABDq5TrCU
YULIED.PENARANDA    (2023-11-09 13:07:34)
Para las metas de tipología suma (vigencia *reservas). Para las demás tipos de metas se asocia el mismo dato de la vigencia.</t>
        </r>
      </text>
    </comment>
    <comment ref="D519" authorId="0" shapeId="0" xr:uid="{00000000-0006-0000-0500-00001F020000}">
      <text>
        <r>
          <rPr>
            <sz val="11"/>
            <color theme="1"/>
            <rFont val="Calibri"/>
            <family val="2"/>
            <scheme val="minor"/>
          </rPr>
          <t>======
ID#AAABDq5TrTE
YULIED.PENARANDA    (2023-11-09 13:07:34)
Se suma los recursos presupuestales (vigencia + reservas)</t>
        </r>
      </text>
    </comment>
    <comment ref="D520" authorId="0" shapeId="0" xr:uid="{00000000-0006-0000-0500-000020020000}">
      <text>
        <r>
          <rPr>
            <sz val="11"/>
            <color theme="1"/>
            <rFont val="Calibri"/>
            <family val="2"/>
            <scheme val="minor"/>
          </rPr>
          <t>======
ID#AAABDq5TrlU
YULIED.PENARANDA    (2023-11-09 13:07:33)
Magnitud física de la meta proyecto de inversión, a programar o a realizar seguimiento, según la columna en que se reporte.</t>
        </r>
      </text>
    </comment>
    <comment ref="D521" authorId="0" shapeId="0" xr:uid="{00000000-0006-0000-0500-000021020000}">
      <text>
        <r>
          <rPr>
            <sz val="11"/>
            <color theme="1"/>
            <rFont val="Calibri"/>
            <family val="2"/>
            <scheme val="minor"/>
          </rPr>
          <t>======
ID#AAABDq5Trok
YULIED.PENARANDA    (2023-11-09 13:07:34)
Recursos presupuestales asignados para la vigencia en programación  y/o seguimiento, según la columna en que se reporte</t>
        </r>
      </text>
    </comment>
    <comment ref="D522" authorId="0" shapeId="0" xr:uid="{00000000-0006-0000-0500-000022020000}">
      <text>
        <r>
          <rPr>
            <sz val="11"/>
            <color theme="1"/>
            <rFont val="Calibri"/>
            <family val="2"/>
            <scheme val="minor"/>
          </rPr>
          <t>======
ID#AAABDq5Trq0
YULIED.PENARANDA    (2023-11-09 13:07:33)
Magnitud física asociada a la reservas,  aplica para las meta con tipología suma, las cuales se pueden desagregar por los compromisos contraídos que al cierre de la vigencia fiscal no  se cumplierón.</t>
        </r>
      </text>
    </comment>
    <comment ref="D523" authorId="0" shapeId="0" xr:uid="{00000000-0006-0000-0500-000023020000}">
      <text>
        <r>
          <rPr>
            <sz val="11"/>
            <color theme="1"/>
            <rFont val="Calibri"/>
            <family val="2"/>
            <scheme val="minor"/>
          </rPr>
          <t>======
ID#AAABDq5Trms
YULIED.PENARANDA    (2023-11-09 13:07:34)
Son compromisos legalmente contraídos que al cierre de la vigencia fiscal no se han atendido por no haberse completado las formalidades necesarias que hagan exigible el pago al terminarse el año.</t>
        </r>
      </text>
    </comment>
    <comment ref="D524" authorId="0" shapeId="0" xr:uid="{00000000-0006-0000-0500-000024020000}">
      <text>
        <r>
          <rPr>
            <sz val="11"/>
            <color theme="1"/>
            <rFont val="Calibri"/>
            <family val="2"/>
            <scheme val="minor"/>
          </rPr>
          <t>======
ID#AAABDq5TrkE
YULIED.PENARANDA    (2023-11-09 13:07:33)
Para las metas de tipología suma (vigencia *reservas). Para las demás tipos de metas se asocia el mismo dato de la vigencia.</t>
        </r>
      </text>
    </comment>
    <comment ref="D525" authorId="0" shapeId="0" xr:uid="{00000000-0006-0000-0500-000025020000}">
      <text>
        <r>
          <rPr>
            <sz val="11"/>
            <color theme="1"/>
            <rFont val="Calibri"/>
            <family val="2"/>
            <scheme val="minor"/>
          </rPr>
          <t>======
ID#AAABDq5TqzU
YULIED.PENARANDA    (2023-11-09 13:07:34)
Se suma los recursos presupuestales (vigencia + reservas)</t>
        </r>
      </text>
    </comment>
    <comment ref="D526" authorId="0" shapeId="0" xr:uid="{00000000-0006-0000-0500-000026020000}">
      <text>
        <r>
          <rPr>
            <sz val="11"/>
            <color theme="1"/>
            <rFont val="Calibri"/>
            <family val="2"/>
            <scheme val="minor"/>
          </rPr>
          <t>======
ID#AAABDq5TrvE
YULIED.PENARANDA    (2023-11-09 13:07:34)
Magnitud física de la meta proyecto de inversión, a programar o a realizar seguimiento, según la columna en que se reporte.</t>
        </r>
      </text>
    </comment>
    <comment ref="D527" authorId="0" shapeId="0" xr:uid="{00000000-0006-0000-0500-000027020000}">
      <text>
        <r>
          <rPr>
            <sz val="11"/>
            <color theme="1"/>
            <rFont val="Calibri"/>
            <family val="2"/>
            <scheme val="minor"/>
          </rPr>
          <t>======
ID#AAABDq5TrNs
YULIED.PENARANDA    (2023-11-09 13:07:34)
Recursos presupuestales asignados para la vigencia en programación  y/o seguimiento, según la columna en que se reporte</t>
        </r>
      </text>
    </comment>
    <comment ref="D528" authorId="0" shapeId="0" xr:uid="{00000000-0006-0000-0500-000028020000}">
      <text>
        <r>
          <rPr>
            <sz val="11"/>
            <color theme="1"/>
            <rFont val="Calibri"/>
            <family val="2"/>
            <scheme val="minor"/>
          </rPr>
          <t>======
ID#AAABDq5Trsg
YULIED.PENARANDA    (2023-11-09 13:07:34)
Magnitud física asociada a la reservas,  aplica para las meta con tipología suma, las cuales se pueden desagregar por los compromisos contraídos que al cierre de la vigencia fiscal no  se cumplierón.</t>
        </r>
      </text>
    </comment>
    <comment ref="D529" authorId="0" shapeId="0" xr:uid="{00000000-0006-0000-0500-000029020000}">
      <text>
        <r>
          <rPr>
            <sz val="11"/>
            <color theme="1"/>
            <rFont val="Calibri"/>
            <family val="2"/>
            <scheme val="minor"/>
          </rPr>
          <t>======
ID#AAABDq5TrlE
YULIED.PENARANDA    (2023-11-09 13:07:33)
Son compromisos legalmente contraídos que al cierre de la vigencia fiscal no se han atendido por no haberse completado las formalidades necesarias que hagan exigible el pago al terminarse el año.</t>
        </r>
      </text>
    </comment>
    <comment ref="D530" authorId="0" shapeId="0" xr:uid="{00000000-0006-0000-0500-00002A020000}">
      <text>
        <r>
          <rPr>
            <sz val="11"/>
            <color theme="1"/>
            <rFont val="Calibri"/>
            <family val="2"/>
            <scheme val="minor"/>
          </rPr>
          <t>======
ID#AAABDq5TrMo
YULIED.PENARANDA    (2023-11-09 13:07:34)
Para las metas de tipología suma (vigencia *reservas). Para las demás tipos de metas se asocia el mismo dato de la vigencia.</t>
        </r>
      </text>
    </comment>
    <comment ref="D531" authorId="0" shapeId="0" xr:uid="{00000000-0006-0000-0500-00002B020000}">
      <text>
        <r>
          <rPr>
            <sz val="11"/>
            <color theme="1"/>
            <rFont val="Calibri"/>
            <family val="2"/>
            <scheme val="minor"/>
          </rPr>
          <t>======
ID#AAABDq5Tq88
YULIED.PENARANDA    (2023-11-09 13:07:33)
Se suma los recursos presupuestales (vigencia + reservas)</t>
        </r>
      </text>
    </comment>
    <comment ref="D532" authorId="0" shapeId="0" xr:uid="{00000000-0006-0000-0500-00002C020000}">
      <text>
        <r>
          <rPr>
            <sz val="11"/>
            <color theme="1"/>
            <rFont val="Calibri"/>
            <family val="2"/>
            <scheme val="minor"/>
          </rPr>
          <t>======
ID#AAABDq5TrdU
YULIED.PENARANDA    (2023-11-09 13:07:33)
Magnitud física de la meta proyecto de inversión, a programar o a realizar seguimiento, según la columna en que se reporte.</t>
        </r>
      </text>
    </comment>
    <comment ref="D533" authorId="0" shapeId="0" xr:uid="{00000000-0006-0000-0500-00002D020000}">
      <text>
        <r>
          <rPr>
            <sz val="11"/>
            <color theme="1"/>
            <rFont val="Calibri"/>
            <family val="2"/>
            <scheme val="minor"/>
          </rPr>
          <t>======
ID#AAABDq5Tqo0
YULIED.PENARANDA    (2023-11-09 13:07:34)
Recursos presupuestales asignados para la vigencia en programación  y/o seguimiento, según la columna en que se reporte</t>
        </r>
      </text>
    </comment>
    <comment ref="D534" authorId="0" shapeId="0" xr:uid="{00000000-0006-0000-0500-00002E020000}">
      <text>
        <r>
          <rPr>
            <sz val="11"/>
            <color theme="1"/>
            <rFont val="Calibri"/>
            <family val="2"/>
            <scheme val="minor"/>
          </rPr>
          <t>======
ID#AAABDq5Trqk
YULIED.PENARANDA    (2023-11-09 13:07:34)
Magnitud física asociada a la reservas,  aplica para las meta con tipología suma, las cuales se pueden desagregar por los compromisos contraídos que al cierre de la vigencia fiscal no  se cumplierón.</t>
        </r>
      </text>
    </comment>
    <comment ref="D535" authorId="0" shapeId="0" xr:uid="{00000000-0006-0000-0500-00002F020000}">
      <text>
        <r>
          <rPr>
            <sz val="11"/>
            <color theme="1"/>
            <rFont val="Calibri"/>
            <family val="2"/>
            <scheme val="minor"/>
          </rPr>
          <t>======
ID#AAABDq5Trj8
YULIED.PENARANDA    (2023-11-09 13:07:34)
Son compromisos legalmente contraídos que al cierre de la vigencia fiscal no se han atendido por no haberse completado las formalidades necesarias que hagan exigible el pago al terminarse el año.</t>
        </r>
      </text>
    </comment>
    <comment ref="D536" authorId="0" shapeId="0" xr:uid="{00000000-0006-0000-0500-000030020000}">
      <text>
        <r>
          <rPr>
            <sz val="11"/>
            <color theme="1"/>
            <rFont val="Calibri"/>
            <family val="2"/>
            <scheme val="minor"/>
          </rPr>
          <t>======
ID#AAABDq5TrKI
YULIED.PENARANDA    (2023-11-09 13:07:33)
Para las metas de tipología suma (vigencia *reservas). Para las demás tipos de metas se asocia el mismo dato de la vigencia.</t>
        </r>
      </text>
    </comment>
    <comment ref="D537" authorId="0" shapeId="0" xr:uid="{00000000-0006-0000-0500-000031020000}">
      <text>
        <r>
          <rPr>
            <sz val="11"/>
            <color theme="1"/>
            <rFont val="Calibri"/>
            <family val="2"/>
            <scheme val="minor"/>
          </rPr>
          <t>======
ID#AAABDq5Trvg
YULIED.PENARANDA    (2023-11-09 13:07:33)
Se suma los recursos presupuestales (vigencia + reservas)</t>
        </r>
      </text>
    </comment>
    <comment ref="D538" authorId="0" shapeId="0" xr:uid="{00000000-0006-0000-0500-000032020000}">
      <text>
        <r>
          <rPr>
            <sz val="11"/>
            <color theme="1"/>
            <rFont val="Calibri"/>
            <family val="2"/>
            <scheme val="minor"/>
          </rPr>
          <t>======
ID#AAABDq5TqwA
YULIED.PENARANDA    (2023-11-09 13:07:33)
Magnitud física de la meta proyecto de inversión, a programar o a realizar seguimiento, según la columna en que se reporte.</t>
        </r>
      </text>
    </comment>
    <comment ref="D539" authorId="0" shapeId="0" xr:uid="{00000000-0006-0000-0500-000033020000}">
      <text>
        <r>
          <rPr>
            <sz val="11"/>
            <color theme="1"/>
            <rFont val="Calibri"/>
            <family val="2"/>
            <scheme val="minor"/>
          </rPr>
          <t>======
ID#AAABDq5Tq6I
YULIED.PENARANDA    (2023-11-09 13:07:34)
Recursos presupuestales asignados para la vigencia en programación  y/o seguimiento, según la columna en que se reporte</t>
        </r>
      </text>
    </comment>
    <comment ref="D540" authorId="0" shapeId="0" xr:uid="{00000000-0006-0000-0500-000034020000}">
      <text>
        <r>
          <rPr>
            <sz val="11"/>
            <color theme="1"/>
            <rFont val="Calibri"/>
            <family val="2"/>
            <scheme val="minor"/>
          </rPr>
          <t>======
ID#AAABDq5TrgU
YULIED.PENARANDA    (2023-11-09 13:07:33)
Magnitud física asociada a la reservas,  aplica para las meta con tipología suma, las cuales se pueden desagregar por los compromisos contraídos que al cierre de la vigencia fiscal no  se cumplierón.</t>
        </r>
      </text>
    </comment>
    <comment ref="D541" authorId="0" shapeId="0" xr:uid="{00000000-0006-0000-0500-000035020000}">
      <text>
        <r>
          <rPr>
            <sz val="11"/>
            <color theme="1"/>
            <rFont val="Calibri"/>
            <family val="2"/>
            <scheme val="minor"/>
          </rPr>
          <t>======
ID#AAABDq5TrZs
YULIED.PENARANDA    (2023-11-09 13:07:34)
Son compromisos legalmente contraídos que al cierre de la vigencia fiscal no se han atendido por no haberse completado las formalidades necesarias que hagan exigible el pago al terminarse el año.</t>
        </r>
      </text>
    </comment>
    <comment ref="D542" authorId="0" shapeId="0" xr:uid="{00000000-0006-0000-0500-000036020000}">
      <text>
        <r>
          <rPr>
            <sz val="11"/>
            <color theme="1"/>
            <rFont val="Calibri"/>
            <family val="2"/>
            <scheme val="minor"/>
          </rPr>
          <t>======
ID#AAABDq5TrMY
YULIED.PENARANDA    (2023-11-09 13:07:34)
Para las metas de tipología suma (vigencia *reservas). Para las demás tipos de metas se asocia el mismo dato de la vigencia.</t>
        </r>
      </text>
    </comment>
    <comment ref="D543" authorId="0" shapeId="0" xr:uid="{00000000-0006-0000-0500-000037020000}">
      <text>
        <r>
          <rPr>
            <sz val="11"/>
            <color theme="1"/>
            <rFont val="Calibri"/>
            <family val="2"/>
            <scheme val="minor"/>
          </rPr>
          <t>======
ID#AAABDq5TrGk
YULIED.PENARANDA    (2023-11-09 13:07:33)
Se suma los recursos presupuestales (vigencia + reservas)</t>
        </r>
      </text>
    </comment>
    <comment ref="D544" authorId="0" shapeId="0" xr:uid="{00000000-0006-0000-0500-000038020000}">
      <text>
        <r>
          <rPr>
            <sz val="11"/>
            <color theme="1"/>
            <rFont val="Calibri"/>
            <family val="2"/>
            <scheme val="minor"/>
          </rPr>
          <t>======
ID#AAABDq5Trfw
YULIED.PENARANDA    (2023-11-09 13:07:33)
Magnitud física de la meta proyecto de inversión, a programar o a realizar seguimiento, según la columna en que se reporte.</t>
        </r>
      </text>
    </comment>
    <comment ref="D545" authorId="0" shapeId="0" xr:uid="{00000000-0006-0000-0500-000039020000}">
      <text>
        <r>
          <rPr>
            <sz val="11"/>
            <color theme="1"/>
            <rFont val="Calibri"/>
            <family val="2"/>
            <scheme val="minor"/>
          </rPr>
          <t>======
ID#AAABDq5TryI
YULIED.PENARANDA    (2023-11-09 13:07:33)
Recursos presupuestales asignados para la vigencia en programación  y/o seguimiento, según la columna en que se reporte</t>
        </r>
      </text>
    </comment>
    <comment ref="D546" authorId="0" shapeId="0" xr:uid="{00000000-0006-0000-0500-00003A020000}">
      <text>
        <r>
          <rPr>
            <sz val="11"/>
            <color theme="1"/>
            <rFont val="Calibri"/>
            <family val="2"/>
            <scheme val="minor"/>
          </rPr>
          <t>======
ID#AAABDq5Tq1A
YULIED.PENARANDA    (2023-11-09 13:07:33)
Magnitud física asociada a la reservas,  aplica para las meta con tipología suma, las cuales se pueden desagregar por los compromisos contraídos que al cierre de la vigencia fiscal no  se cumplierón.</t>
        </r>
      </text>
    </comment>
    <comment ref="D547" authorId="0" shapeId="0" xr:uid="{00000000-0006-0000-0500-00003B020000}">
      <text>
        <r>
          <rPr>
            <sz val="11"/>
            <color theme="1"/>
            <rFont val="Calibri"/>
            <family val="2"/>
            <scheme val="minor"/>
          </rPr>
          <t>======
ID#AAABDq5TrQI
YULIED.PENARANDA    (2023-11-09 13:07:34)
Son compromisos legalmente contraídos que al cierre de la vigencia fiscal no se han atendido por no haberse completado las formalidades necesarias que hagan exigible el pago al terminarse el año.</t>
        </r>
      </text>
    </comment>
    <comment ref="D548" authorId="0" shapeId="0" xr:uid="{00000000-0006-0000-0500-00003C020000}">
      <text>
        <r>
          <rPr>
            <sz val="11"/>
            <color theme="1"/>
            <rFont val="Calibri"/>
            <family val="2"/>
            <scheme val="minor"/>
          </rPr>
          <t>======
ID#AAABDq5TrK0
YULIED.PENARANDA    (2023-11-09 13:07:34)
Para las metas de tipología suma (vigencia *reservas). Para las demás tipos de metas se asocia el mismo dato de la vigencia.</t>
        </r>
      </text>
    </comment>
    <comment ref="D549" authorId="0" shapeId="0" xr:uid="{00000000-0006-0000-0500-00003D020000}">
      <text>
        <r>
          <rPr>
            <sz val="11"/>
            <color theme="1"/>
            <rFont val="Calibri"/>
            <family val="2"/>
            <scheme val="minor"/>
          </rPr>
          <t>======
ID#AAABDq5Trik
YULIED.PENARANDA    (2023-11-09 13:07:33)
Se suma los recursos presupuestales (vigencia + reservas)</t>
        </r>
      </text>
    </comment>
    <comment ref="D550" authorId="0" shapeId="0" xr:uid="{00000000-0006-0000-0500-00003E020000}">
      <text>
        <r>
          <rPr>
            <sz val="11"/>
            <color theme="1"/>
            <rFont val="Calibri"/>
            <family val="2"/>
            <scheme val="minor"/>
          </rPr>
          <t>======
ID#AAABDq5Tq3Q
YULIED.PENARANDA    (2023-11-09 13:07:34)
Magnitud física de la meta proyecto de inversión, a programar o a realizar seguimiento, según la columna en que se reporte.</t>
        </r>
      </text>
    </comment>
    <comment ref="D551" authorId="0" shapeId="0" xr:uid="{00000000-0006-0000-0500-00003F020000}">
      <text>
        <r>
          <rPr>
            <sz val="11"/>
            <color theme="1"/>
            <rFont val="Calibri"/>
            <family val="2"/>
            <scheme val="minor"/>
          </rPr>
          <t>======
ID#AAABDq5TroA
YULIED.PENARANDA    (2023-11-09 13:07:34)
Recursos presupuestales asignados para la vigencia en programación  y/o seguimiento, según la columna en que se reporte</t>
        </r>
      </text>
    </comment>
    <comment ref="D552" authorId="0" shapeId="0" xr:uid="{00000000-0006-0000-0500-000040020000}">
      <text>
        <r>
          <rPr>
            <sz val="11"/>
            <color theme="1"/>
            <rFont val="Calibri"/>
            <family val="2"/>
            <scheme val="minor"/>
          </rPr>
          <t>======
ID#AAABDq5TrW0
YULIED.PENARANDA    (2023-11-09 13:07:34)
Magnitud física asociada a la reservas,  aplica para las meta con tipología suma, las cuales se pueden desagregar por los compromisos contraídos que al cierre de la vigencia fiscal no  se cumplierón.</t>
        </r>
      </text>
    </comment>
    <comment ref="D553" authorId="0" shapeId="0" xr:uid="{00000000-0006-0000-0500-000041020000}">
      <text>
        <r>
          <rPr>
            <sz val="11"/>
            <color theme="1"/>
            <rFont val="Calibri"/>
            <family val="2"/>
            <scheme val="minor"/>
          </rPr>
          <t>======
ID#AAABDq5TrA0
YULIED.PENARANDA    (2023-11-09 13:07:34)
Son compromisos legalmente contraídos que al cierre de la vigencia fiscal no se han atendido por no haberse completado las formalidades necesarias que hagan exigible el pago al terminarse el año.</t>
        </r>
      </text>
    </comment>
    <comment ref="D554" authorId="0" shapeId="0" xr:uid="{00000000-0006-0000-0500-000042020000}">
      <text>
        <r>
          <rPr>
            <sz val="11"/>
            <color theme="1"/>
            <rFont val="Calibri"/>
            <family val="2"/>
            <scheme val="minor"/>
          </rPr>
          <t>======
ID#AAABDq5TrE8
YULIED.PENARANDA    (2023-11-09 13:07:34)
Para las metas de tipología suma (vigencia *reservas). Para las demás tipos de metas se asocia el mismo dato de la vigencia.</t>
        </r>
      </text>
    </comment>
    <comment ref="D555" authorId="0" shapeId="0" xr:uid="{00000000-0006-0000-0500-000043020000}">
      <text>
        <r>
          <rPr>
            <sz val="11"/>
            <color theme="1"/>
            <rFont val="Calibri"/>
            <family val="2"/>
            <scheme val="minor"/>
          </rPr>
          <t>======
ID#AAABDq5TrUU
YULIED.PENARANDA    (2023-11-09 13:07:33)
Se suma los recursos presupuestales (vigencia + reservas)</t>
        </r>
      </text>
    </comment>
    <comment ref="D556" authorId="0" shapeId="0" xr:uid="{00000000-0006-0000-0500-000044020000}">
      <text>
        <r>
          <rPr>
            <sz val="11"/>
            <color theme="1"/>
            <rFont val="Calibri"/>
            <family val="2"/>
            <scheme val="minor"/>
          </rPr>
          <t>======
ID#AAABDq5Tq9g
YULIED.PENARANDA    (2023-11-09 13:07:34)
Magnitud física de la meta proyecto de inversión, a programar o a realizar seguimiento, según la columna en que se reporte.</t>
        </r>
      </text>
    </comment>
    <comment ref="D557" authorId="0" shapeId="0" xr:uid="{00000000-0006-0000-0500-000045020000}">
      <text>
        <r>
          <rPr>
            <sz val="11"/>
            <color theme="1"/>
            <rFont val="Calibri"/>
            <family val="2"/>
            <scheme val="minor"/>
          </rPr>
          <t>======
ID#AAABDq5TrOo
YULIED.PENARANDA    (2023-11-09 13:07:34)
Recursos presupuestales asignados para la vigencia en programación  y/o seguimiento, según la columna en que se reporte</t>
        </r>
      </text>
    </comment>
    <comment ref="AE557" authorId="0" shapeId="0" xr:uid="{00000000-0006-0000-0500-000046020000}">
      <text>
        <r>
          <rPr>
            <sz val="11"/>
            <color theme="1"/>
            <rFont val="Calibri"/>
            <family val="2"/>
            <scheme val="minor"/>
          </rPr>
          <t>======
ID#AAABDq5Tq9E
Angela    (2023-11-09 13:07:34)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58" authorId="0" shapeId="0" xr:uid="{00000000-0006-0000-0500-000047020000}">
      <text>
        <r>
          <rPr>
            <sz val="11"/>
            <color theme="1"/>
            <rFont val="Calibri"/>
            <family val="2"/>
            <scheme val="minor"/>
          </rPr>
          <t>======
ID#AAABDq5TriU
YULIED.PENARANDA    (2023-11-09 13:07:33)
Magnitud física asociada a la reservas,  aplica para las meta con tipología suma, las cuales se pueden desagregar por los compromisos contraídos que al cierre de la vigencia fiscal no  se cumplierón.</t>
        </r>
      </text>
    </comment>
    <comment ref="D559" authorId="0" shapeId="0" xr:uid="{00000000-0006-0000-0500-000048020000}">
      <text>
        <r>
          <rPr>
            <sz val="11"/>
            <color theme="1"/>
            <rFont val="Calibri"/>
            <family val="2"/>
            <scheme val="minor"/>
          </rPr>
          <t>======
ID#AAABDq5TrNk
YULIED.PENARANDA    (2023-11-09 13:07:33)
Son compromisos legalmente contraídos que al cierre de la vigencia fiscal no se han atendido por no haberse completado las formalidades necesarias que hagan exigible el pago al terminarse el año.</t>
        </r>
      </text>
    </comment>
    <comment ref="D560" authorId="0" shapeId="0" xr:uid="{00000000-0006-0000-0500-000049020000}">
      <text>
        <r>
          <rPr>
            <sz val="11"/>
            <color theme="1"/>
            <rFont val="Calibri"/>
            <family val="2"/>
            <scheme val="minor"/>
          </rPr>
          <t>======
ID#AAABDq5TrWc
YULIED.PENARANDA    (2023-11-09 13:07:34)
Para las metas de tipología suma (vigencia *reservas). Para las demás tipos de metas se asocia el mismo dato de la vigencia.</t>
        </r>
      </text>
    </comment>
    <comment ref="D561" authorId="0" shapeId="0" xr:uid="{00000000-0006-0000-0500-00004A020000}">
      <text>
        <r>
          <rPr>
            <sz val="11"/>
            <color theme="1"/>
            <rFont val="Calibri"/>
            <family val="2"/>
            <scheme val="minor"/>
          </rPr>
          <t>======
ID#AAABDq5TrZc
YULIED.PENARANDA    (2023-11-09 13:07:34)
Se suma los recursos presupuestales (vigencia + reservas)</t>
        </r>
      </text>
    </comment>
    <comment ref="D562" authorId="0" shapeId="0" xr:uid="{00000000-0006-0000-0500-00004B020000}">
      <text>
        <r>
          <rPr>
            <sz val="11"/>
            <color theme="1"/>
            <rFont val="Calibri"/>
            <family val="2"/>
            <scheme val="minor"/>
          </rPr>
          <t>======
ID#AAABDq5TrPw
YULIED.PENARANDA    (2023-11-09 13:07:33)
Magnitud física de la meta proyecto de inversión, a programar o a realizar seguimiento, según la columna en que se reporte.</t>
        </r>
      </text>
    </comment>
    <comment ref="D563" authorId="0" shapeId="0" xr:uid="{00000000-0006-0000-0500-00004C020000}">
      <text>
        <r>
          <rPr>
            <sz val="11"/>
            <color theme="1"/>
            <rFont val="Calibri"/>
            <family val="2"/>
            <scheme val="minor"/>
          </rPr>
          <t>======
ID#AAABDq5Trbs
YULIED.PENARANDA    (2023-11-09 13:07:34)
Recursos presupuestales asignados para la vigencia en programación  y/o seguimiento, según la columna en que se reporte</t>
        </r>
      </text>
    </comment>
    <comment ref="D564" authorId="0" shapeId="0" xr:uid="{00000000-0006-0000-0500-00004D020000}">
      <text>
        <r>
          <rPr>
            <sz val="11"/>
            <color theme="1"/>
            <rFont val="Calibri"/>
            <family val="2"/>
            <scheme val="minor"/>
          </rPr>
          <t>======
ID#AAABDq5TrQk
YULIED.PENARANDA    (2023-11-09 13:07:33)
Magnitud física asociada a la reservas,  aplica para las meta con tipología suma, las cuales se pueden desagregar por los compromisos contraídos que al cierre de la vigencia fiscal no  se cumplierón.</t>
        </r>
      </text>
    </comment>
    <comment ref="D565" authorId="0" shapeId="0" xr:uid="{00000000-0006-0000-0500-00004E020000}">
      <text>
        <r>
          <rPr>
            <sz val="11"/>
            <color theme="1"/>
            <rFont val="Calibri"/>
            <family val="2"/>
            <scheme val="minor"/>
          </rPr>
          <t>======
ID#AAABDq5Trgk
YULIED.PENARANDA    (2023-11-09 13:07:34)
Son compromisos legalmente contraídos que al cierre de la vigencia fiscal no se han atendido por no haberse completado las formalidades necesarias que hagan exigible el pago al terminarse el año.</t>
        </r>
      </text>
    </comment>
    <comment ref="D566" authorId="0" shapeId="0" xr:uid="{00000000-0006-0000-0500-00004F020000}">
      <text>
        <r>
          <rPr>
            <sz val="11"/>
            <color theme="1"/>
            <rFont val="Calibri"/>
            <family val="2"/>
            <scheme val="minor"/>
          </rPr>
          <t>======
ID#AAABDq5TqxM
YULIED.PENARANDA    (2023-11-09 13:07:34)
Para las metas de tipología suma (vigencia *reservas). Para las demás tipos de metas se asocia el mismo dato de la vigencia.</t>
        </r>
      </text>
    </comment>
    <comment ref="D567" authorId="0" shapeId="0" xr:uid="{00000000-0006-0000-0500-000050020000}">
      <text>
        <r>
          <rPr>
            <sz val="11"/>
            <color theme="1"/>
            <rFont val="Calibri"/>
            <family val="2"/>
            <scheme val="minor"/>
          </rPr>
          <t>======
ID#AAABDq5TqyY
YULIED.PENARANDA    (2023-11-09 13:07:34)
Se suma los recursos presupuestales (vigencia + reservas)</t>
        </r>
      </text>
    </comment>
    <comment ref="D568" authorId="0" shapeId="0" xr:uid="{00000000-0006-0000-0500-000051020000}">
      <text>
        <r>
          <rPr>
            <sz val="11"/>
            <color theme="1"/>
            <rFont val="Calibri"/>
            <family val="2"/>
            <scheme val="minor"/>
          </rPr>
          <t>======
ID#AAABDq5TrnU
YULIED.PENARANDA    (2023-11-09 13:07:33)
Magnitud física de la meta proyecto de inversión, a programar o a realizar seguimiento, según la columna en que se reporte.</t>
        </r>
      </text>
    </comment>
    <comment ref="D569" authorId="0" shapeId="0" xr:uid="{00000000-0006-0000-0500-000052020000}">
      <text>
        <r>
          <rPr>
            <sz val="11"/>
            <color theme="1"/>
            <rFont val="Calibri"/>
            <family val="2"/>
            <scheme val="minor"/>
          </rPr>
          <t>======
ID#AAABDq5TrRY
YULIED.PENARANDA    (2023-11-09 13:07:33)
Recursos presupuestales asignados para la vigencia en programación  y/o seguimiento, según la columna en que se reporte</t>
        </r>
      </text>
    </comment>
    <comment ref="D570" authorId="0" shapeId="0" xr:uid="{00000000-0006-0000-0500-000053020000}">
      <text>
        <r>
          <rPr>
            <sz val="11"/>
            <color theme="1"/>
            <rFont val="Calibri"/>
            <family val="2"/>
            <scheme val="minor"/>
          </rPr>
          <t>======
ID#AAABDq5TrCw
YULIED.PENARANDA    (2023-11-09 13:07:33)
Magnitud física asociada a la reservas,  aplica para las meta con tipología suma, las cuales se pueden desagregar por los compromisos contraídos que al cierre de la vigencia fiscal no  se cumplierón.</t>
        </r>
      </text>
    </comment>
    <comment ref="D571" authorId="0" shapeId="0" xr:uid="{00000000-0006-0000-0500-000054020000}">
      <text>
        <r>
          <rPr>
            <sz val="11"/>
            <color theme="1"/>
            <rFont val="Calibri"/>
            <family val="2"/>
            <scheme val="minor"/>
          </rPr>
          <t>======
ID#AAABDq5TrjY
YULIED.PENARANDA    (2023-11-09 13:07:34)
Son compromisos legalmente contraídos que al cierre de la vigencia fiscal no se han atendido por no haberse completado las formalidades necesarias que hagan exigible el pago al terminarse el año.</t>
        </r>
      </text>
    </comment>
    <comment ref="D572" authorId="0" shapeId="0" xr:uid="{00000000-0006-0000-0500-000055020000}">
      <text>
        <r>
          <rPr>
            <sz val="11"/>
            <color theme="1"/>
            <rFont val="Calibri"/>
            <family val="2"/>
            <scheme val="minor"/>
          </rPr>
          <t>======
ID#AAABDq5Tq5Y
YULIED.PENARANDA    (2023-11-09 13:07:34)
Para las metas de tipología suma (vigencia *reservas). Para las demás tipos de metas se asocia el mismo dato de la vigencia.</t>
        </r>
      </text>
    </comment>
    <comment ref="D573" authorId="0" shapeId="0" xr:uid="{00000000-0006-0000-0500-000056020000}">
      <text>
        <r>
          <rPr>
            <sz val="11"/>
            <color theme="1"/>
            <rFont val="Calibri"/>
            <family val="2"/>
            <scheme val="minor"/>
          </rPr>
          <t>======
ID#AAABDq5TrKo
YULIED.PENARANDA    (2023-11-09 13:07:34)
Se suma los recursos presupuestales (vigencia + reservas)</t>
        </r>
      </text>
    </comment>
    <comment ref="D574" authorId="0" shapeId="0" xr:uid="{00000000-0006-0000-0500-000057020000}">
      <text>
        <r>
          <rPr>
            <sz val="11"/>
            <color theme="1"/>
            <rFont val="Calibri"/>
            <family val="2"/>
            <scheme val="minor"/>
          </rPr>
          <t>======
ID#AAABDq5Tq1o
YULIED.PENARANDA    (2023-11-09 13:07:34)
Magnitud física de la meta proyecto de inversión, a programar o a realizar seguimiento, según la columna en que se reporte.</t>
        </r>
      </text>
    </comment>
    <comment ref="D575" authorId="0" shapeId="0" xr:uid="{00000000-0006-0000-0500-000058020000}">
      <text>
        <r>
          <rPr>
            <sz val="11"/>
            <color theme="1"/>
            <rFont val="Calibri"/>
            <family val="2"/>
            <scheme val="minor"/>
          </rPr>
          <t>======
ID#AAABDq5Tqwk
YULIED.PENARANDA    (2023-11-09 13:07:33)
Recursos presupuestales asignados para la vigencia en programación  y/o seguimiento, según la columna en que se reporte</t>
        </r>
      </text>
    </comment>
    <comment ref="D576" authorId="0" shapeId="0" xr:uid="{00000000-0006-0000-0500-000059020000}">
      <text>
        <r>
          <rPr>
            <sz val="11"/>
            <color theme="1"/>
            <rFont val="Calibri"/>
            <family val="2"/>
            <scheme val="minor"/>
          </rPr>
          <t>======
ID#AAABDq5Tq9w
YULIED.PENARANDA    (2023-11-09 13:07:34)
Magnitud física asociada a la reservas,  aplica para las meta con tipología suma, las cuales se pueden desagregar por los compromisos contraídos que al cierre de la vigencia fiscal no  se cumplierón.</t>
        </r>
      </text>
    </comment>
    <comment ref="D577" authorId="0" shapeId="0" xr:uid="{00000000-0006-0000-0500-00005A020000}">
      <text>
        <r>
          <rPr>
            <sz val="11"/>
            <color theme="1"/>
            <rFont val="Calibri"/>
            <family val="2"/>
            <scheme val="minor"/>
          </rPr>
          <t>======
ID#AAABDq5Tq2E
YULIED.PENARANDA    (2023-11-09 13:07:34)
Son compromisos legalmente contraídos que al cierre de la vigencia fiscal no se han atendido por no haberse completado las formalidades necesarias que hagan exigible el pago al terminarse el año.</t>
        </r>
      </text>
    </comment>
    <comment ref="D578" authorId="0" shapeId="0" xr:uid="{00000000-0006-0000-0500-00005B020000}">
      <text>
        <r>
          <rPr>
            <sz val="11"/>
            <color theme="1"/>
            <rFont val="Calibri"/>
            <family val="2"/>
            <scheme val="minor"/>
          </rPr>
          <t>======
ID#AAABDq5Tre8
YULIED.PENARANDA    (2023-11-09 13:07:34)
Para las metas de tipología suma (vigencia *reservas). Para las demás tipos de metas se asocia el mismo dato de la vigencia.</t>
        </r>
      </text>
    </comment>
    <comment ref="D579" authorId="0" shapeId="0" xr:uid="{00000000-0006-0000-0500-00005C020000}">
      <text>
        <r>
          <rPr>
            <sz val="11"/>
            <color theme="1"/>
            <rFont val="Calibri"/>
            <family val="2"/>
            <scheme val="minor"/>
          </rPr>
          <t>======
ID#AAABDq5Tq2k
YULIED.PENARANDA    (2023-11-09 13:07:33)
Se suma los recursos presupuestales (vigencia + reservas)</t>
        </r>
      </text>
    </comment>
    <comment ref="D580" authorId="0" shapeId="0" xr:uid="{00000000-0006-0000-0500-00005D020000}">
      <text>
        <r>
          <rPr>
            <sz val="11"/>
            <color theme="1"/>
            <rFont val="Calibri"/>
            <family val="2"/>
            <scheme val="minor"/>
          </rPr>
          <t>======
ID#AAABDq5TrRo
YULIED.PENARANDA    (2023-11-09 13:07:33)
Magnitud física de la meta proyecto de inversión, a programar o a realizar seguimiento, según la columna en que se reporte.</t>
        </r>
      </text>
    </comment>
    <comment ref="D581" authorId="0" shapeId="0" xr:uid="{00000000-0006-0000-0500-00005E020000}">
      <text>
        <r>
          <rPr>
            <sz val="11"/>
            <color theme="1"/>
            <rFont val="Calibri"/>
            <family val="2"/>
            <scheme val="minor"/>
          </rPr>
          <t>======
ID#AAABDq5TrFY
YULIED.PENARANDA    (2023-11-09 13:07:34)
Recursos presupuestales asignados para la vigencia en programación  y/o seguimiento, según la columna en que se reporte</t>
        </r>
      </text>
    </comment>
    <comment ref="AE581" authorId="0" shapeId="0" xr:uid="{00000000-0006-0000-0500-00005F020000}">
      <text>
        <r>
          <rPr>
            <sz val="11"/>
            <color theme="1"/>
            <rFont val="Calibri"/>
            <family val="2"/>
            <scheme val="minor"/>
          </rPr>
          <t>======
ID#AAABDq5TrsM
Angela    (2023-11-09 13:07:33)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82" authorId="0" shapeId="0" xr:uid="{00000000-0006-0000-0500-000060020000}">
      <text>
        <r>
          <rPr>
            <sz val="11"/>
            <color theme="1"/>
            <rFont val="Calibri"/>
            <family val="2"/>
            <scheme val="minor"/>
          </rPr>
          <t>======
ID#AAABDq5Tru8
YULIED.PENARANDA    (2023-11-09 13:07:33)
Magnitud física asociada a la reservas,  aplica para las meta con tipología suma, las cuales se pueden desagregar por los compromisos contraídos que al cierre de la vigencia fiscal no  se cumplierón.</t>
        </r>
      </text>
    </comment>
    <comment ref="D583" authorId="0" shapeId="0" xr:uid="{00000000-0006-0000-0500-000061020000}">
      <text>
        <r>
          <rPr>
            <sz val="11"/>
            <color theme="1"/>
            <rFont val="Calibri"/>
            <family val="2"/>
            <scheme val="minor"/>
          </rPr>
          <t>======
ID#AAABDq5TqqM
YULIED.PENARANDA    (2023-11-09 13:07:33)
Son compromisos legalmente contraídos que al cierre de la vigencia fiscal no se han atendido por no haberse completado las formalidades necesarias que hagan exigible el pago al terminarse el año.</t>
        </r>
      </text>
    </comment>
    <comment ref="D584" authorId="0" shapeId="0" xr:uid="{00000000-0006-0000-0500-000062020000}">
      <text>
        <r>
          <rPr>
            <sz val="11"/>
            <color theme="1"/>
            <rFont val="Calibri"/>
            <family val="2"/>
            <scheme val="minor"/>
          </rPr>
          <t>======
ID#AAABDq5TrwE
YULIED.PENARANDA    (2023-11-09 13:07:34)
Para las metas de tipología suma (vigencia *reservas). Para las demás tipos de metas se asocia el mismo dato de la vigencia.</t>
        </r>
      </text>
    </comment>
    <comment ref="D585" authorId="0" shapeId="0" xr:uid="{00000000-0006-0000-0500-000063020000}">
      <text>
        <r>
          <rPr>
            <sz val="11"/>
            <color theme="1"/>
            <rFont val="Calibri"/>
            <family val="2"/>
            <scheme val="minor"/>
          </rPr>
          <t>======
ID#AAABDq5TrL4
YULIED.PENARANDA    (2023-11-09 13:07:33)
Se suma los recursos presupuestales (vigencia + reservas)</t>
        </r>
      </text>
    </comment>
    <comment ref="D586" authorId="0" shapeId="0" xr:uid="{00000000-0006-0000-0500-000064020000}">
      <text>
        <r>
          <rPr>
            <sz val="11"/>
            <color theme="1"/>
            <rFont val="Calibri"/>
            <family val="2"/>
            <scheme val="minor"/>
          </rPr>
          <t>======
ID#AAABDq5TrvY
YULIED.PENARANDA    (2023-11-09 13:07:34)
Magnitud física de la meta proyecto de inversión, a programar o a realizar seguimiento, según la columna en que se reporte.</t>
        </r>
      </text>
    </comment>
    <comment ref="D587" authorId="0" shapeId="0" xr:uid="{00000000-0006-0000-0500-000065020000}">
      <text>
        <r>
          <rPr>
            <sz val="11"/>
            <color theme="1"/>
            <rFont val="Calibri"/>
            <family val="2"/>
            <scheme val="minor"/>
          </rPr>
          <t>======
ID#AAABDq5TqpM
YULIED.PENARANDA    (2023-11-09 13:07:33)
Recursos presupuestales asignados para la vigencia en programación  y/o seguimiento, según la columna en que se reporte</t>
        </r>
      </text>
    </comment>
    <comment ref="D588" authorId="0" shapeId="0" xr:uid="{00000000-0006-0000-0500-000066020000}">
      <text>
        <r>
          <rPr>
            <sz val="11"/>
            <color theme="1"/>
            <rFont val="Calibri"/>
            <family val="2"/>
            <scheme val="minor"/>
          </rPr>
          <t>======
ID#AAABDq5Trxc
YULIED.PENARANDA    (2023-11-09 13:07:33)
Magnitud física asociada a la reservas,  aplica para las meta con tipología suma, las cuales se pueden desagregar por los compromisos contraídos que al cierre de la vigencia fiscal no  se cumplierón.</t>
        </r>
      </text>
    </comment>
    <comment ref="D589" authorId="0" shapeId="0" xr:uid="{00000000-0006-0000-0500-000067020000}">
      <text>
        <r>
          <rPr>
            <sz val="11"/>
            <color theme="1"/>
            <rFont val="Calibri"/>
            <family val="2"/>
            <scheme val="minor"/>
          </rPr>
          <t>======
ID#AAABDq5TrQA
YULIED.PENARANDA    (2023-11-09 13:07:34)
Son compromisos legalmente contraídos que al cierre de la vigencia fiscal no se han atendido por no haberse completado las formalidades necesarias que hagan exigible el pago al terminarse el año.</t>
        </r>
      </text>
    </comment>
    <comment ref="D590" authorId="0" shapeId="0" xr:uid="{00000000-0006-0000-0500-000068020000}">
      <text>
        <r>
          <rPr>
            <sz val="11"/>
            <color theme="1"/>
            <rFont val="Calibri"/>
            <family val="2"/>
            <scheme val="minor"/>
          </rPr>
          <t>======
ID#AAABDq5TrEU
YULIED.PENARANDA    (2023-11-09 13:07:34)
Para las metas de tipología suma (vigencia *reservas). Para las demás tipos de metas se asocia el mismo dato de la vigencia.</t>
        </r>
      </text>
    </comment>
    <comment ref="D591" authorId="0" shapeId="0" xr:uid="{00000000-0006-0000-0500-000069020000}">
      <text>
        <r>
          <rPr>
            <sz val="11"/>
            <color theme="1"/>
            <rFont val="Calibri"/>
            <family val="2"/>
            <scheme val="minor"/>
          </rPr>
          <t>======
ID#AAABDq5Tro4
YULIED.PENARANDA    (2023-11-09 13:07:34)
Se suma los recursos presupuestales (vigencia + reservas)</t>
        </r>
      </text>
    </comment>
    <comment ref="D592" authorId="0" shapeId="0" xr:uid="{00000000-0006-0000-0500-00006A020000}">
      <text>
        <r>
          <rPr>
            <sz val="11"/>
            <color theme="1"/>
            <rFont val="Calibri"/>
            <family val="2"/>
            <scheme val="minor"/>
          </rPr>
          <t>======
ID#AAABDq5Trew
YULIED.PENARANDA    (2023-11-09 13:07:33)
Magnitud física de la meta proyecto de inversión, a programar o a realizar seguimiento, según la columna en que se reporte.</t>
        </r>
      </text>
    </comment>
    <comment ref="D593" authorId="0" shapeId="0" xr:uid="{00000000-0006-0000-0500-00006B020000}">
      <text>
        <r>
          <rPr>
            <sz val="11"/>
            <color theme="1"/>
            <rFont val="Calibri"/>
            <family val="2"/>
            <scheme val="minor"/>
          </rPr>
          <t>======
ID#AAABDq5TrsA
YULIED.PENARANDA    (2023-11-09 13:07:34)
Recursos presupuestales asignados para la vigencia en programación  y/o seguimiento, según la columna en que se reporte</t>
        </r>
      </text>
    </comment>
    <comment ref="D594" authorId="0" shapeId="0" xr:uid="{00000000-0006-0000-0500-00006C020000}">
      <text>
        <r>
          <rPr>
            <sz val="11"/>
            <color theme="1"/>
            <rFont val="Calibri"/>
            <family val="2"/>
            <scheme val="minor"/>
          </rPr>
          <t>======
ID#AAABDq5TreU
YULIED.PENARANDA    (2023-11-09 13:07:33)
Magnitud física asociada a la reservas,  aplica para las meta con tipología suma, las cuales se pueden desagregar por los compromisos contraídos que al cierre de la vigencia fiscal no  se cumplierón.</t>
        </r>
      </text>
    </comment>
    <comment ref="D595" authorId="0" shapeId="0" xr:uid="{00000000-0006-0000-0500-00006D020000}">
      <text>
        <r>
          <rPr>
            <sz val="11"/>
            <color theme="1"/>
            <rFont val="Calibri"/>
            <family val="2"/>
            <scheme val="minor"/>
          </rPr>
          <t>======
ID#AAABDq5TrGU
YULIED.PENARANDA    (2023-11-09 13:07:34)
Son compromisos legalmente contraídos que al cierre de la vigencia fiscal no se han atendido por no haberse completado las formalidades necesarias que hagan exigible el pago al terminarse el año.</t>
        </r>
      </text>
    </comment>
    <comment ref="D596" authorId="0" shapeId="0" xr:uid="{00000000-0006-0000-0500-00006E020000}">
      <text>
        <r>
          <rPr>
            <sz val="11"/>
            <color theme="1"/>
            <rFont val="Calibri"/>
            <family val="2"/>
            <scheme val="minor"/>
          </rPr>
          <t>======
ID#AAABDq5TrAc
YULIED.PENARANDA    (2023-11-09 13:07:34)
Para las metas de tipología suma (vigencia *reservas). Para las demás tipos de metas se asocia el mismo dato de la vigencia.</t>
        </r>
      </text>
    </comment>
    <comment ref="D597" authorId="0" shapeId="0" xr:uid="{00000000-0006-0000-0500-00006F020000}">
      <text>
        <r>
          <rPr>
            <sz val="11"/>
            <color theme="1"/>
            <rFont val="Calibri"/>
            <family val="2"/>
            <scheme val="minor"/>
          </rPr>
          <t>======
ID#AAABDq5Trio
YULIED.PENARANDA    (2023-11-09 13:07:33)
Se suma los recursos presupuestales (vigencia + reservas)</t>
        </r>
      </text>
    </comment>
    <comment ref="D598" authorId="0" shapeId="0" xr:uid="{00000000-0006-0000-0500-000070020000}">
      <text>
        <r>
          <rPr>
            <sz val="11"/>
            <color theme="1"/>
            <rFont val="Calibri"/>
            <family val="2"/>
            <scheme val="minor"/>
          </rPr>
          <t>======
ID#AAABDq5Tqp4
YULIED.PENARANDA    (2023-11-09 13:07:34)
Magnitud física de la meta proyecto de inversión, a programar o a realizar seguimiento, según la columna en que se reporte.</t>
        </r>
      </text>
    </comment>
    <comment ref="D599" authorId="0" shapeId="0" xr:uid="{00000000-0006-0000-0500-000071020000}">
      <text>
        <r>
          <rPr>
            <sz val="11"/>
            <color theme="1"/>
            <rFont val="Calibri"/>
            <family val="2"/>
            <scheme val="minor"/>
          </rPr>
          <t>======
ID#AAABDq5TrkI
YULIED.PENARANDA    (2023-11-09 13:07:33)
Recursos presupuestales asignados para la vigencia en programación  y/o seguimiento, según la columna en que se reporte</t>
        </r>
      </text>
    </comment>
    <comment ref="AE599" authorId="0" shapeId="0" xr:uid="{00000000-0006-0000-0500-000072020000}">
      <text>
        <r>
          <rPr>
            <sz val="11"/>
            <color theme="1"/>
            <rFont val="Calibri"/>
            <family val="2"/>
            <scheme val="minor"/>
          </rPr>
          <t>======
ID#AAABDq5TrDo
Angela    (2023-11-09 13:07:33)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00" authorId="0" shapeId="0" xr:uid="{00000000-0006-0000-0500-000073020000}">
      <text>
        <r>
          <rPr>
            <sz val="11"/>
            <color theme="1"/>
            <rFont val="Calibri"/>
            <family val="2"/>
            <scheme val="minor"/>
          </rPr>
          <t>======
ID#AAABDq5TrMs
YULIED.PENARANDA    (2023-11-09 13:07:33)
Magnitud física asociada a la reservas,  aplica para las meta con tipología suma, las cuales se pueden desagregar por los compromisos contraídos que al cierre de la vigencia fiscal no  se cumplierón.</t>
        </r>
      </text>
    </comment>
    <comment ref="D601" authorId="0" shapeId="0" xr:uid="{00000000-0006-0000-0500-000074020000}">
      <text>
        <r>
          <rPr>
            <sz val="11"/>
            <color theme="1"/>
            <rFont val="Calibri"/>
            <family val="2"/>
            <scheme val="minor"/>
          </rPr>
          <t>======
ID#AAABDq5TrmE
YULIED.PENARANDA    (2023-11-09 13:07:34)
Son compromisos legalmente contraídos que al cierre de la vigencia fiscal no se han atendido por no haberse completado las formalidades necesarias que hagan exigible el pago al terminarse el año.</t>
        </r>
      </text>
    </comment>
    <comment ref="D602" authorId="0" shapeId="0" xr:uid="{00000000-0006-0000-0500-000075020000}">
      <text>
        <r>
          <rPr>
            <sz val="11"/>
            <color theme="1"/>
            <rFont val="Calibri"/>
            <family val="2"/>
            <scheme val="minor"/>
          </rPr>
          <t>======
ID#AAABDq5Tq78
YULIED.PENARANDA    (2023-11-09 13:07:34)
Para las metas de tipología suma (vigencia *reservas). Para las demás tipos de metas se asocia el mismo dato de la vigencia.</t>
        </r>
      </text>
    </comment>
    <comment ref="D603" authorId="0" shapeId="0" xr:uid="{00000000-0006-0000-0500-000076020000}">
      <text>
        <r>
          <rPr>
            <sz val="11"/>
            <color theme="1"/>
            <rFont val="Calibri"/>
            <family val="2"/>
            <scheme val="minor"/>
          </rPr>
          <t>======
ID#AAABDq5Tq7w
YULIED.PENARANDA    (2023-11-09 13:07:34)
Se suma los recursos presupuestales (vigencia + reservas)</t>
        </r>
      </text>
    </comment>
    <comment ref="D604" authorId="0" shapeId="0" xr:uid="{00000000-0006-0000-0500-000077020000}">
      <text>
        <r>
          <rPr>
            <sz val="11"/>
            <color theme="1"/>
            <rFont val="Calibri"/>
            <family val="2"/>
            <scheme val="minor"/>
          </rPr>
          <t>======
ID#AAABDq5Trmc
YULIED.PENARANDA    (2023-11-09 13:07:34)
Magnitud física de la meta proyecto de inversión, a programar o a realizar seguimiento, según la columna en que se reporte.</t>
        </r>
      </text>
    </comment>
    <comment ref="D605" authorId="0" shapeId="0" xr:uid="{00000000-0006-0000-0500-000078020000}">
      <text>
        <r>
          <rPr>
            <sz val="11"/>
            <color theme="1"/>
            <rFont val="Calibri"/>
            <family val="2"/>
            <scheme val="minor"/>
          </rPr>
          <t>======
ID#AAABDq5TrqA
YULIED.PENARANDA    (2023-11-09 13:07:34)
Recursos presupuestales asignados para la vigencia en programación  y/o seguimiento, según la columna en que se reporte</t>
        </r>
      </text>
    </comment>
    <comment ref="D606" authorId="0" shapeId="0" xr:uid="{00000000-0006-0000-0500-000079020000}">
      <text>
        <r>
          <rPr>
            <sz val="11"/>
            <color theme="1"/>
            <rFont val="Calibri"/>
            <family val="2"/>
            <scheme val="minor"/>
          </rPr>
          <t>======
ID#AAABDq5Tqx4
YULIED.PENARANDA    (2023-11-09 13:07:33)
Magnitud física asociada a la reservas,  aplica para las meta con tipología suma, las cuales se pueden desagregar por los compromisos contraídos que al cierre de la vigencia fiscal no  se cumplierón.</t>
        </r>
      </text>
    </comment>
    <comment ref="D607" authorId="0" shapeId="0" xr:uid="{00000000-0006-0000-0500-00007A020000}">
      <text>
        <r>
          <rPr>
            <sz val="11"/>
            <color theme="1"/>
            <rFont val="Calibri"/>
            <family val="2"/>
            <scheme val="minor"/>
          </rPr>
          <t>======
ID#AAABDq5Trxo
YULIED.PENARANDA    (2023-11-09 13:07:33)
Son compromisos legalmente contraídos que al cierre de la vigencia fiscal no se han atendido por no haberse completado las formalidades necesarias que hagan exigible el pago al terminarse el año.</t>
        </r>
      </text>
    </comment>
    <comment ref="D608" authorId="0" shapeId="0" xr:uid="{00000000-0006-0000-0500-00007B020000}">
      <text>
        <r>
          <rPr>
            <sz val="11"/>
            <color theme="1"/>
            <rFont val="Calibri"/>
            <family val="2"/>
            <scheme val="minor"/>
          </rPr>
          <t>======
ID#AAABDq5TrF4
YULIED.PENARANDA    (2023-11-09 13:07:34)
Para las metas de tipología suma (vigencia *reservas). Para las demás tipos de metas se asocia el mismo dato de la vigencia.</t>
        </r>
      </text>
    </comment>
    <comment ref="D609" authorId="0" shapeId="0" xr:uid="{00000000-0006-0000-0500-00007C020000}">
      <text>
        <r>
          <rPr>
            <sz val="11"/>
            <color theme="1"/>
            <rFont val="Calibri"/>
            <family val="2"/>
            <scheme val="minor"/>
          </rPr>
          <t>======
ID#AAABDq5TqzI
YULIED.PENARANDA    (2023-11-09 13:07:34)
Se suma los recursos presupuestales (vigencia + reservas)</t>
        </r>
      </text>
    </comment>
    <comment ref="D610" authorId="0" shapeId="0" xr:uid="{00000000-0006-0000-0500-00007D020000}">
      <text>
        <r>
          <rPr>
            <sz val="11"/>
            <color theme="1"/>
            <rFont val="Calibri"/>
            <family val="2"/>
            <scheme val="minor"/>
          </rPr>
          <t>======
ID#AAABDq5TrJ8
YULIED.PENARANDA    (2023-11-09 13:07:34)
Magnitud física de la meta proyecto de inversión, a programar o a realizar seguimiento, según la columna en que se reporte.</t>
        </r>
      </text>
    </comment>
    <comment ref="D611" authorId="0" shapeId="0" xr:uid="{00000000-0006-0000-0500-00007E020000}">
      <text>
        <r>
          <rPr>
            <sz val="11"/>
            <color theme="1"/>
            <rFont val="Calibri"/>
            <family val="2"/>
            <scheme val="minor"/>
          </rPr>
          <t>======
ID#AAABDq5Trvk
YULIED.PENARANDA    (2023-11-09 13:07:34)
Recursos presupuestales asignados para la vigencia en programación  y/o seguimiento, según la columna en que se reporte</t>
        </r>
      </text>
    </comment>
    <comment ref="D612" authorId="0" shapeId="0" xr:uid="{00000000-0006-0000-0500-00007F020000}">
      <text>
        <r>
          <rPr>
            <sz val="11"/>
            <color theme="1"/>
            <rFont val="Calibri"/>
            <family val="2"/>
            <scheme val="minor"/>
          </rPr>
          <t>======
ID#AAABDq5Trp0
YULIED.PENARANDA    (2023-11-09 13:07:33)
Magnitud física asociada a la reservas,  aplica para las meta con tipología suma, las cuales se pueden desagregar por los compromisos contraídos que al cierre de la vigencia fiscal no  se cumplierón.</t>
        </r>
      </text>
    </comment>
    <comment ref="D613" authorId="0" shapeId="0" xr:uid="{00000000-0006-0000-0500-000080020000}">
      <text>
        <r>
          <rPr>
            <sz val="11"/>
            <color theme="1"/>
            <rFont val="Calibri"/>
            <family val="2"/>
            <scheme val="minor"/>
          </rPr>
          <t>======
ID#AAABDq5TrYQ
YULIED.PENARANDA    (2023-11-09 13:07:34)
Son compromisos legalmente contraídos que al cierre de la vigencia fiscal no se han atendido por no haberse completado las formalidades necesarias que hagan exigible el pago al terminarse el año.</t>
        </r>
      </text>
    </comment>
    <comment ref="D614" authorId="0" shapeId="0" xr:uid="{00000000-0006-0000-0500-000081020000}">
      <text>
        <r>
          <rPr>
            <sz val="11"/>
            <color theme="1"/>
            <rFont val="Calibri"/>
            <family val="2"/>
            <scheme val="minor"/>
          </rPr>
          <t>======
ID#AAABDq5TrAU
YULIED.PENARANDA    (2023-11-09 13:07:33)
Para las metas de tipología suma (vigencia *reservas). Para las demás tipos de metas se asocia el mismo dato de la vigencia.</t>
        </r>
      </text>
    </comment>
    <comment ref="D615" authorId="0" shapeId="0" xr:uid="{00000000-0006-0000-0500-000082020000}">
      <text>
        <r>
          <rPr>
            <sz val="11"/>
            <color theme="1"/>
            <rFont val="Calibri"/>
            <family val="2"/>
            <scheme val="minor"/>
          </rPr>
          <t>======
ID#AAABDq5Trhk
YULIED.PENARANDA    (2023-11-09 13:07:34)
Se suma los recursos presupuestales (vigencia + reservas)</t>
        </r>
      </text>
    </comment>
    <comment ref="D616" authorId="0" shapeId="0" xr:uid="{00000000-0006-0000-0500-000083020000}">
      <text>
        <r>
          <rPr>
            <sz val="11"/>
            <color theme="1"/>
            <rFont val="Calibri"/>
            <family val="2"/>
            <scheme val="minor"/>
          </rPr>
          <t>======
ID#AAABDq5Tq_w
YULIED.PENARANDA    (2023-11-09 13:07:33)
Magnitud física de la meta proyecto de inversión, a programar o a realizar seguimiento, según la columna en que se reporte.</t>
        </r>
      </text>
    </comment>
    <comment ref="D617" authorId="0" shapeId="0" xr:uid="{00000000-0006-0000-0500-000084020000}">
      <text>
        <r>
          <rPr>
            <sz val="11"/>
            <color theme="1"/>
            <rFont val="Calibri"/>
            <family val="2"/>
            <scheme val="minor"/>
          </rPr>
          <t>======
ID#AAABDq5TrQM
YULIED.PENARANDA    (2023-11-09 13:07:33)
Recursos presupuestales asignados para la vigencia en programación  y/o seguimiento, según la columna en que se reporte</t>
        </r>
      </text>
    </comment>
    <comment ref="D618" authorId="0" shapeId="0" xr:uid="{00000000-0006-0000-0500-000085020000}">
      <text>
        <r>
          <rPr>
            <sz val="11"/>
            <color theme="1"/>
            <rFont val="Calibri"/>
            <family val="2"/>
            <scheme val="minor"/>
          </rPr>
          <t>======
ID#AAABDq5Trqg
YULIED.PENARANDA    (2023-11-09 13:07:33)
Magnitud física asociada a la reservas,  aplica para las meta con tipología suma, las cuales se pueden desagregar por los compromisos contraídos que al cierre de la vigencia fiscal no  se cumplierón.</t>
        </r>
      </text>
    </comment>
    <comment ref="D619" authorId="0" shapeId="0" xr:uid="{00000000-0006-0000-0500-000086020000}">
      <text>
        <r>
          <rPr>
            <sz val="11"/>
            <color theme="1"/>
            <rFont val="Calibri"/>
            <family val="2"/>
            <scheme val="minor"/>
          </rPr>
          <t>======
ID#AAABDq5TrKk
YULIED.PENARANDA    (2023-11-09 13:07:34)
Son compromisos legalmente contraídos que al cierre de la vigencia fiscal no se han atendido por no haberse completado las formalidades necesarias que hagan exigible el pago al terminarse el año.</t>
        </r>
      </text>
    </comment>
    <comment ref="D620" authorId="0" shapeId="0" xr:uid="{00000000-0006-0000-0500-000087020000}">
      <text>
        <r>
          <rPr>
            <sz val="11"/>
            <color theme="1"/>
            <rFont val="Calibri"/>
            <family val="2"/>
            <scheme val="minor"/>
          </rPr>
          <t>======
ID#AAABDq5Tq-U
YULIED.PENARANDA    (2023-11-09 13:07:33)
Para las metas de tipología suma (vigencia *reservas). Para las demás tipos de metas se asocia el mismo dato de la vigencia.</t>
        </r>
      </text>
    </comment>
    <comment ref="D621" authorId="0" shapeId="0" xr:uid="{00000000-0006-0000-0500-000088020000}">
      <text>
        <r>
          <rPr>
            <sz val="11"/>
            <color theme="1"/>
            <rFont val="Calibri"/>
            <family val="2"/>
            <scheme val="minor"/>
          </rPr>
          <t>======
ID#AAABDq5TrpI
YULIED.PENARANDA    (2023-11-09 13:07:34)
Se suma los recursos presupuestales (vigencia + reservas)</t>
        </r>
      </text>
    </comment>
    <comment ref="D622" authorId="0" shapeId="0" xr:uid="{00000000-0006-0000-0500-000089020000}">
      <text>
        <r>
          <rPr>
            <sz val="11"/>
            <color theme="1"/>
            <rFont val="Calibri"/>
            <family val="2"/>
            <scheme val="minor"/>
          </rPr>
          <t>======
ID#AAABDq5TrMg
YULIED.PENARANDA    (2023-11-09 13:07:33)
Magnitud física de la meta proyecto de inversión, a programar o a realizar seguimiento, según la columna en que se reporte.</t>
        </r>
      </text>
    </comment>
    <comment ref="D623" authorId="0" shapeId="0" xr:uid="{00000000-0006-0000-0500-00008A020000}">
      <text>
        <r>
          <rPr>
            <sz val="11"/>
            <color theme="1"/>
            <rFont val="Calibri"/>
            <family val="2"/>
            <scheme val="minor"/>
          </rPr>
          <t>======
ID#AAABDq5TrqU
YULIED.PENARANDA    (2023-11-09 13:07:33)
Recursos presupuestales asignados para la vigencia en programación  y/o seguimiento, según la columna en que se reporte</t>
        </r>
      </text>
    </comment>
    <comment ref="D624" authorId="0" shapeId="0" xr:uid="{00000000-0006-0000-0500-00008B020000}">
      <text>
        <r>
          <rPr>
            <sz val="11"/>
            <color theme="1"/>
            <rFont val="Calibri"/>
            <family val="2"/>
            <scheme val="minor"/>
          </rPr>
          <t>======
ID#AAABDq5TrKE
YULIED.PENARANDA    (2023-11-09 13:07:33)
Magnitud física asociada a la reservas,  aplica para las meta con tipología suma, las cuales se pueden desagregar por los compromisos contraídos que al cierre de la vigencia fiscal no  se cumplierón.</t>
        </r>
      </text>
    </comment>
    <comment ref="D625" authorId="0" shapeId="0" xr:uid="{00000000-0006-0000-0500-00008C020000}">
      <text>
        <r>
          <rPr>
            <sz val="11"/>
            <color theme="1"/>
            <rFont val="Calibri"/>
            <family val="2"/>
            <scheme val="minor"/>
          </rPr>
          <t>======
ID#AAABDq5Tq8M
YULIED.PENARANDA    (2023-11-09 13:07:34)
Son compromisos legalmente contraídos que al cierre de la vigencia fiscal no se han atendido por no haberse completado las formalidades necesarias que hagan exigible el pago al terminarse el año.</t>
        </r>
      </text>
    </comment>
    <comment ref="D626" authorId="0" shapeId="0" xr:uid="{00000000-0006-0000-0500-00008D020000}">
      <text>
        <r>
          <rPr>
            <sz val="11"/>
            <color theme="1"/>
            <rFont val="Calibri"/>
            <family val="2"/>
            <scheme val="minor"/>
          </rPr>
          <t>======
ID#AAABDq5Trug
YULIED.PENARANDA    (2023-11-09 13:07:34)
Para las metas de tipología suma (vigencia *reservas). Para las demás tipos de metas se asocia el mismo dato de la vigencia.</t>
        </r>
      </text>
    </comment>
    <comment ref="D627" authorId="0" shapeId="0" xr:uid="{00000000-0006-0000-0500-00008E020000}">
      <text>
        <r>
          <rPr>
            <sz val="11"/>
            <color theme="1"/>
            <rFont val="Calibri"/>
            <family val="2"/>
            <scheme val="minor"/>
          </rPr>
          <t>======
ID#AAABDq5Tqpg
YULIED.PENARANDA    (2023-11-09 13:07:34)
Se suma los recursos presupuestales (vigencia + reservas)</t>
        </r>
      </text>
    </comment>
    <comment ref="D628" authorId="0" shapeId="0" xr:uid="{00000000-0006-0000-0500-00008F020000}">
      <text>
        <r>
          <rPr>
            <sz val="11"/>
            <color theme="1"/>
            <rFont val="Calibri"/>
            <family val="2"/>
            <scheme val="minor"/>
          </rPr>
          <t>======
ID#AAABDq5Trks
YULIED.PENARANDA    (2023-11-09 13:07:33)
Magnitud física de la meta proyecto de inversión, a programar o a realizar seguimiento, según la columna en que se reporte.</t>
        </r>
      </text>
    </comment>
    <comment ref="D629" authorId="0" shapeId="0" xr:uid="{00000000-0006-0000-0500-000090020000}">
      <text>
        <r>
          <rPr>
            <sz val="11"/>
            <color theme="1"/>
            <rFont val="Calibri"/>
            <family val="2"/>
            <scheme val="minor"/>
          </rPr>
          <t>======
ID#AAABDq5TrJs
YULIED.PENARANDA    (2023-11-09 13:07:34)
Recursos presupuestales asignados para la vigencia en programación  y/o seguimiento, según la columna en que se reporte</t>
        </r>
      </text>
    </comment>
    <comment ref="D630" authorId="0" shapeId="0" xr:uid="{00000000-0006-0000-0500-000091020000}">
      <text>
        <r>
          <rPr>
            <sz val="11"/>
            <color theme="1"/>
            <rFont val="Calibri"/>
            <family val="2"/>
            <scheme val="minor"/>
          </rPr>
          <t>======
ID#AAABDq5TrBE
YULIED.PENARANDA    (2023-11-09 13:07:34)
Magnitud física asociada a la reservas,  aplica para las meta con tipología suma, las cuales se pueden desagregar por los compromisos contraídos que al cierre de la vigencia fiscal no  se cumplierón.</t>
        </r>
      </text>
    </comment>
    <comment ref="D631" authorId="0" shapeId="0" xr:uid="{00000000-0006-0000-0500-000092020000}">
      <text>
        <r>
          <rPr>
            <sz val="11"/>
            <color theme="1"/>
            <rFont val="Calibri"/>
            <family val="2"/>
            <scheme val="minor"/>
          </rPr>
          <t>======
ID#AAABDq5Trsk
YULIED.PENARANDA    (2023-11-09 13:07:33)
Son compromisos legalmente contraídos que al cierre de la vigencia fiscal no se han atendido por no haberse completado las formalidades necesarias que hagan exigible el pago al terminarse el año.</t>
        </r>
      </text>
    </comment>
    <comment ref="D632" authorId="0" shapeId="0" xr:uid="{00000000-0006-0000-0500-000093020000}">
      <text>
        <r>
          <rPr>
            <sz val="11"/>
            <color theme="1"/>
            <rFont val="Calibri"/>
            <family val="2"/>
            <scheme val="minor"/>
          </rPr>
          <t>======
ID#AAABDq5TrkM
YULIED.PENARANDA    (2023-11-09 13:07:34)
Para las metas de tipología suma (vigencia *reservas). Para las demás tipos de metas se asocia el mismo dato de la vigencia.</t>
        </r>
      </text>
    </comment>
    <comment ref="D633" authorId="0" shapeId="0" xr:uid="{00000000-0006-0000-0500-000094020000}">
      <text>
        <r>
          <rPr>
            <sz val="11"/>
            <color theme="1"/>
            <rFont val="Calibri"/>
            <family val="2"/>
            <scheme val="minor"/>
          </rPr>
          <t>======
ID#AAABDq5TrsE
YULIED.PENARANDA    (2023-11-09 13:07:34)
Se suma los recursos presupuestales (vigencia + reservas)</t>
        </r>
      </text>
    </comment>
    <comment ref="D634" authorId="0" shapeId="0" xr:uid="{00000000-0006-0000-0500-000095020000}">
      <text>
        <r>
          <rPr>
            <sz val="11"/>
            <color theme="1"/>
            <rFont val="Calibri"/>
            <family val="2"/>
            <scheme val="minor"/>
          </rPr>
          <t>======
ID#AAABDq5Trtc
YULIED.PENARANDA    (2023-11-09 13:07:33)
Magnitud física de la meta proyecto de inversión, a programar o a realizar seguimiento, según la columna en que se reporte.</t>
        </r>
      </text>
    </comment>
    <comment ref="D635" authorId="0" shapeId="0" xr:uid="{00000000-0006-0000-0500-000096020000}">
      <text>
        <r>
          <rPr>
            <sz val="11"/>
            <color theme="1"/>
            <rFont val="Calibri"/>
            <family val="2"/>
            <scheme val="minor"/>
          </rPr>
          <t>======
ID#AAABDq5TrC8
YULIED.PENARANDA    (2023-11-09 13:07:33)
Recursos presupuestales asignados para la vigencia en programación  y/o seguimiento, según la columna en que se reporte</t>
        </r>
      </text>
    </comment>
    <comment ref="D636" authorId="0" shapeId="0" xr:uid="{00000000-0006-0000-0500-000097020000}">
      <text>
        <r>
          <rPr>
            <sz val="11"/>
            <color theme="1"/>
            <rFont val="Calibri"/>
            <family val="2"/>
            <scheme val="minor"/>
          </rPr>
          <t>======
ID#AAABDq5TrK8
YULIED.PENARANDA    (2023-11-09 13:07:33)
Magnitud física asociada a la reservas,  aplica para las meta con tipología suma, las cuales se pueden desagregar por los compromisos contraídos que al cierre de la vigencia fiscal no  se cumplierón.</t>
        </r>
      </text>
    </comment>
    <comment ref="D637" authorId="0" shapeId="0" xr:uid="{00000000-0006-0000-0500-000098020000}">
      <text>
        <r>
          <rPr>
            <sz val="11"/>
            <color theme="1"/>
            <rFont val="Calibri"/>
            <family val="2"/>
            <scheme val="minor"/>
          </rPr>
          <t>======
ID#AAABDq5Trzw
YULIED.PENARANDA    (2023-11-09 13:07:34)
Son compromisos legalmente contraídos que al cierre de la vigencia fiscal no se han atendido por no haberse completado las formalidades necesarias que hagan exigible el pago al terminarse el año.</t>
        </r>
      </text>
    </comment>
    <comment ref="D638" authorId="0" shapeId="0" xr:uid="{00000000-0006-0000-0500-000099020000}">
      <text>
        <r>
          <rPr>
            <sz val="11"/>
            <color theme="1"/>
            <rFont val="Calibri"/>
            <family val="2"/>
            <scheme val="minor"/>
          </rPr>
          <t>======
ID#AAABDq5TqyQ
YULIED.PENARANDA    (2023-11-09 13:07:33)
Para las metas de tipología suma (vigencia *reservas). Para las demás tipos de metas se asocia el mismo dato de la vigencia.</t>
        </r>
      </text>
    </comment>
    <comment ref="D639" authorId="0" shapeId="0" xr:uid="{00000000-0006-0000-0500-00009A020000}">
      <text>
        <r>
          <rPr>
            <sz val="11"/>
            <color theme="1"/>
            <rFont val="Calibri"/>
            <family val="2"/>
            <scheme val="minor"/>
          </rPr>
          <t>======
ID#AAABDq5TrAA
YULIED.PENARANDA    (2023-11-09 13:07:33)
Se suma los recursos presupuestales (vigencia + reservas)</t>
        </r>
      </text>
    </comment>
    <comment ref="D640" authorId="0" shapeId="0" xr:uid="{00000000-0006-0000-0500-00009B020000}">
      <text>
        <r>
          <rPr>
            <sz val="11"/>
            <color theme="1"/>
            <rFont val="Calibri"/>
            <family val="2"/>
            <scheme val="minor"/>
          </rPr>
          <t>======
ID#AAABDq5TrR4
YULIED.PENARANDA    (2023-11-09 13:07:34)
Magnitud física de la meta proyecto de inversión, a programar o a realizar seguimiento, según la columna en que se reporte.</t>
        </r>
      </text>
    </comment>
    <comment ref="D641" authorId="0" shapeId="0" xr:uid="{00000000-0006-0000-0500-00009C020000}">
      <text>
        <r>
          <rPr>
            <sz val="11"/>
            <color theme="1"/>
            <rFont val="Calibri"/>
            <family val="2"/>
            <scheme val="minor"/>
          </rPr>
          <t>======
ID#AAABDq5Trmw
YULIED.PENARANDA    (2023-11-09 13:07:33)
Recursos presupuestales asignados para la vigencia en programación  y/o seguimiento, según la columna en que se reporte</t>
        </r>
      </text>
    </comment>
    <comment ref="D642" authorId="0" shapeId="0" xr:uid="{00000000-0006-0000-0500-00009D020000}">
      <text>
        <r>
          <rPr>
            <sz val="11"/>
            <color theme="1"/>
            <rFont val="Calibri"/>
            <family val="2"/>
            <scheme val="minor"/>
          </rPr>
          <t>======
ID#AAABDq5Tqz8
YULIED.PENARANDA    (2023-11-09 13:07:34)
Magnitud física asociada a la reservas,  aplica para las meta con tipología suma, las cuales se pueden desagregar por los compromisos contraídos que al cierre de la vigencia fiscal no  se cumplierón.</t>
        </r>
      </text>
    </comment>
    <comment ref="D643" authorId="0" shapeId="0" xr:uid="{00000000-0006-0000-0500-00009E020000}">
      <text>
        <r>
          <rPr>
            <sz val="11"/>
            <color theme="1"/>
            <rFont val="Calibri"/>
            <family val="2"/>
            <scheme val="minor"/>
          </rPr>
          <t>======
ID#AAABDq5Tq30
YULIED.PENARANDA    (2023-11-09 13:07:33)
Son compromisos legalmente contraídos que al cierre de la vigencia fiscal no se han atendido por no haberse completado las formalidades necesarias que hagan exigible el pago al terminarse el año.</t>
        </r>
      </text>
    </comment>
    <comment ref="D644" authorId="0" shapeId="0" xr:uid="{00000000-0006-0000-0500-00009F020000}">
      <text>
        <r>
          <rPr>
            <sz val="11"/>
            <color theme="1"/>
            <rFont val="Calibri"/>
            <family val="2"/>
            <scheme val="minor"/>
          </rPr>
          <t>======
ID#AAABDq5TroQ
YULIED.PENARANDA    (2023-11-09 13:07:34)
Para las metas de tipología suma (vigencia *reservas). Para las demás tipos de metas se asocia el mismo dato de la vigencia.</t>
        </r>
      </text>
    </comment>
    <comment ref="D645" authorId="0" shapeId="0" xr:uid="{00000000-0006-0000-0500-0000A0020000}">
      <text>
        <r>
          <rPr>
            <sz val="11"/>
            <color theme="1"/>
            <rFont val="Calibri"/>
            <family val="2"/>
            <scheme val="minor"/>
          </rPr>
          <t>======
ID#AAABDq5TrBg
YULIED.PENARANDA    (2023-11-09 13:07:34)
Se suma los recursos presupuestales (vigencia + reservas)</t>
        </r>
      </text>
    </comment>
    <comment ref="D646" authorId="0" shapeId="0" xr:uid="{00000000-0006-0000-0500-0000A1020000}">
      <text>
        <r>
          <rPr>
            <sz val="11"/>
            <color theme="1"/>
            <rFont val="Calibri"/>
            <family val="2"/>
            <scheme val="minor"/>
          </rPr>
          <t>======
ID#AAABDq5TroU
YULIED.PENARANDA    (2023-11-09 13:07:34)
Magnitud física de la meta proyecto de inversión, a programar o a realizar seguimiento, según la columna en que se reporte.</t>
        </r>
      </text>
    </comment>
    <comment ref="D647" authorId="0" shapeId="0" xr:uid="{00000000-0006-0000-0500-0000A2020000}">
      <text>
        <r>
          <rPr>
            <sz val="11"/>
            <color theme="1"/>
            <rFont val="Calibri"/>
            <family val="2"/>
            <scheme val="minor"/>
          </rPr>
          <t>======
ID#AAABDq5TrIw
YULIED.PENARANDA    (2023-11-09 13:07:34)
Recursos presupuestales asignados para la vigencia en programación  y/o seguimiento, según la columna en que se reporte</t>
        </r>
      </text>
    </comment>
    <comment ref="D648" authorId="0" shapeId="0" xr:uid="{00000000-0006-0000-0500-0000A3020000}">
      <text>
        <r>
          <rPr>
            <sz val="11"/>
            <color theme="1"/>
            <rFont val="Calibri"/>
            <family val="2"/>
            <scheme val="minor"/>
          </rPr>
          <t>======
ID#AAABDq5Triw
YULIED.PENARANDA    (2023-11-09 13:07:34)
Magnitud física asociada a la reservas,  aplica para las meta con tipología suma, las cuales se pueden desagregar por los compromisos contraídos que al cierre de la vigencia fiscal no  se cumplierón.</t>
        </r>
      </text>
    </comment>
    <comment ref="D649" authorId="0" shapeId="0" xr:uid="{00000000-0006-0000-0500-0000A4020000}">
      <text>
        <r>
          <rPr>
            <sz val="11"/>
            <color theme="1"/>
            <rFont val="Calibri"/>
            <family val="2"/>
            <scheme val="minor"/>
          </rPr>
          <t>======
ID#AAABDq5TrGc
YULIED.PENARANDA    (2023-11-09 13:07:34)
Son compromisos legalmente contraídos que al cierre de la vigencia fiscal no se han atendido por no haberse completado las formalidades necesarias que hagan exigible el pago al terminarse el año.</t>
        </r>
      </text>
    </comment>
    <comment ref="D650" authorId="0" shapeId="0" xr:uid="{00000000-0006-0000-0500-0000A5020000}">
      <text>
        <r>
          <rPr>
            <sz val="11"/>
            <color theme="1"/>
            <rFont val="Calibri"/>
            <family val="2"/>
            <scheme val="minor"/>
          </rPr>
          <t>======
ID#AAABDq5TrDM
YULIED.PENARANDA    (2023-11-09 13:07:33)
Para las metas de tipología suma (vigencia *reservas). Para las demás tipos de metas se asocia el mismo dato de la vigencia.</t>
        </r>
      </text>
    </comment>
    <comment ref="D651" authorId="0" shapeId="0" xr:uid="{00000000-0006-0000-0500-0000A6020000}">
      <text>
        <r>
          <rPr>
            <sz val="11"/>
            <color theme="1"/>
            <rFont val="Calibri"/>
            <family val="2"/>
            <scheme val="minor"/>
          </rPr>
          <t>======
ID#AAABDq5TrL0
YULIED.PENARANDA    (2023-11-09 13:07:34)
Se suma los recursos presupuestales (vigencia + reservas)</t>
        </r>
      </text>
    </comment>
    <comment ref="D676" authorId="0" shapeId="0" xr:uid="{00000000-0006-0000-0500-0000A7020000}">
      <text>
        <r>
          <rPr>
            <sz val="11"/>
            <color theme="1"/>
            <rFont val="Calibri"/>
            <family val="2"/>
            <scheme val="minor"/>
          </rPr>
          <t>======
ID#AAABDq5Trdo
YULIED.PENARANDA    (2023-11-09 13:07:33)
Magnitud física de la meta proyecto de inversión, a programar o a realizar seguimiento, según la columna en que se reporte.</t>
        </r>
      </text>
    </comment>
    <comment ref="D677" authorId="0" shapeId="0" xr:uid="{00000000-0006-0000-0500-0000A8020000}">
      <text>
        <r>
          <rPr>
            <sz val="11"/>
            <color theme="1"/>
            <rFont val="Calibri"/>
            <family val="2"/>
            <scheme val="minor"/>
          </rPr>
          <t>======
ID#AAABDq5TrjQ
YULIED.PENARANDA    (2023-11-09 13:07:34)
Recursos presupuestales asignados para la vigencia en programación  y/o seguimiento, según la columna en que se reporte</t>
        </r>
      </text>
    </comment>
    <comment ref="D678" authorId="0" shapeId="0" xr:uid="{00000000-0006-0000-0500-0000A9020000}">
      <text>
        <r>
          <rPr>
            <sz val="11"/>
            <color theme="1"/>
            <rFont val="Calibri"/>
            <family val="2"/>
            <scheme val="minor"/>
          </rPr>
          <t>======
ID#AAABDq5TraA
YULIED.PENARANDA    (2023-11-09 13:07:34)
Magnitud física asociada a la reservas,  aplica para las meta con tipología suma, las cuales se pueden desagregar por los compromisos contraídos que al cierre de la vigencia fiscal no  se cumplierón.</t>
        </r>
      </text>
    </comment>
    <comment ref="D679" authorId="0" shapeId="0" xr:uid="{00000000-0006-0000-0500-0000AA020000}">
      <text>
        <r>
          <rPr>
            <sz val="11"/>
            <color theme="1"/>
            <rFont val="Calibri"/>
            <family val="2"/>
            <scheme val="minor"/>
          </rPr>
          <t>======
ID#AAABDq5TrAk
YULIED.PENARANDA    (2023-11-09 13:07:34)
Son compromisos legalmente contraídos que al cierre de la vigencia fiscal no se han atendido por no haberse completado las formalidades necesarias que hagan exigible el pago al terminarse el año.</t>
        </r>
      </text>
    </comment>
    <comment ref="D680" authorId="0" shapeId="0" xr:uid="{00000000-0006-0000-0500-0000AB020000}">
      <text>
        <r>
          <rPr>
            <sz val="11"/>
            <color theme="1"/>
            <rFont val="Calibri"/>
            <family val="2"/>
            <scheme val="minor"/>
          </rPr>
          <t>======
ID#AAABDq5Trck
YULIED.PENARANDA    (2023-11-09 13:07:34)
Para las metas de tipología suma (vigencia *reservas). Para las demás tipos de metas se asocia el mismo dato de la vigencia.</t>
        </r>
      </text>
    </comment>
    <comment ref="D681" authorId="0" shapeId="0" xr:uid="{00000000-0006-0000-0500-0000AC020000}">
      <text>
        <r>
          <rPr>
            <sz val="11"/>
            <color theme="1"/>
            <rFont val="Calibri"/>
            <family val="2"/>
            <scheme val="minor"/>
          </rPr>
          <t>======
ID#AAABDq5TrrM
YULIED.PENARANDA    (2023-11-09 13:07:34)
Se suma los recursos presupuestales (vigencia + reservas)</t>
        </r>
      </text>
    </comment>
    <comment ref="D682" authorId="0" shapeId="0" xr:uid="{00000000-0006-0000-0500-0000AD020000}">
      <text>
        <r>
          <rPr>
            <sz val="11"/>
            <color theme="1"/>
            <rFont val="Calibri"/>
            <family val="2"/>
            <scheme val="minor"/>
          </rPr>
          <t>======
ID#AAABDq5TrPA
YULIED.PENARANDA    (2023-11-09 13:07:33)
Magnitud física de la meta proyecto de inversión, a programar o a realizar seguimiento, según la columna en que se reporte.</t>
        </r>
      </text>
    </comment>
    <comment ref="D683" authorId="0" shapeId="0" xr:uid="{00000000-0006-0000-0500-0000AE020000}">
      <text>
        <r>
          <rPr>
            <sz val="11"/>
            <color theme="1"/>
            <rFont val="Calibri"/>
            <family val="2"/>
            <scheme val="minor"/>
          </rPr>
          <t>======
ID#AAABDq5TrzE
YULIED.PENARANDA    (2023-11-09 13:07:34)
Recursos presupuestales asignados para la vigencia en programación  y/o seguimiento, según la columna en que se reporte</t>
        </r>
      </text>
    </comment>
    <comment ref="D684" authorId="0" shapeId="0" xr:uid="{00000000-0006-0000-0500-0000AF020000}">
      <text>
        <r>
          <rPr>
            <sz val="11"/>
            <color theme="1"/>
            <rFont val="Calibri"/>
            <family val="2"/>
            <scheme val="minor"/>
          </rPr>
          <t>======
ID#AAABDq5TrBM
YULIED.PENARANDA    (2023-11-09 13:07:33)
Magnitud física asociada a la reservas,  aplica para las meta con tipología suma, las cuales se pueden desagregar por los compromisos contraídos que al cierre de la vigencia fiscal no  se cumplierón.</t>
        </r>
      </text>
    </comment>
    <comment ref="D685" authorId="0" shapeId="0" xr:uid="{00000000-0006-0000-0500-0000B0020000}">
      <text>
        <r>
          <rPr>
            <sz val="11"/>
            <color theme="1"/>
            <rFont val="Calibri"/>
            <family val="2"/>
            <scheme val="minor"/>
          </rPr>
          <t>======
ID#AAABDq5TrHE
YULIED.PENARANDA    (2023-11-09 13:07:34)
Son compromisos legalmente contraídos que al cierre de la vigencia fiscal no se han atendido por no haberse completado las formalidades necesarias que hagan exigible el pago al terminarse el año.</t>
        </r>
      </text>
    </comment>
    <comment ref="D686" authorId="0" shapeId="0" xr:uid="{00000000-0006-0000-0500-0000B1020000}">
      <text>
        <r>
          <rPr>
            <sz val="11"/>
            <color theme="1"/>
            <rFont val="Calibri"/>
            <family val="2"/>
            <scheme val="minor"/>
          </rPr>
          <t>======
ID#AAABDq5Trwc
YULIED.PENARANDA    (2023-11-09 13:07:34)
Para las metas de tipología suma (vigencia *reservas). Para las demás tipos de metas se asocia el mismo dato de la vigencia.</t>
        </r>
      </text>
    </comment>
    <comment ref="D687" authorId="0" shapeId="0" xr:uid="{00000000-0006-0000-0500-0000B2020000}">
      <text>
        <r>
          <rPr>
            <sz val="11"/>
            <color theme="1"/>
            <rFont val="Calibri"/>
            <family val="2"/>
            <scheme val="minor"/>
          </rPr>
          <t>======
ID#AAABDq5TrQw
YULIED.PENARANDA    (2023-11-09 13:07:34)
Se suma los recursos presupuestales (vigencia + reservas)</t>
        </r>
      </text>
    </comment>
    <comment ref="D688" authorId="0" shapeId="0" xr:uid="{00000000-0006-0000-0500-0000B3020000}">
      <text>
        <r>
          <rPr>
            <sz val="11"/>
            <color theme="1"/>
            <rFont val="Calibri"/>
            <family val="2"/>
            <scheme val="minor"/>
          </rPr>
          <t>======
ID#AAABDq5TrtU
YULIED.PENARANDA    (2023-11-09 13:07:33)
Magnitud física de la meta proyecto de inversión, a programar o a realizar seguimiento, según la columna en que se reporte.</t>
        </r>
      </text>
    </comment>
    <comment ref="D689" authorId="0" shapeId="0" xr:uid="{00000000-0006-0000-0500-0000B4020000}">
      <text>
        <r>
          <rPr>
            <sz val="11"/>
            <color theme="1"/>
            <rFont val="Calibri"/>
            <family val="2"/>
            <scheme val="minor"/>
          </rPr>
          <t>======
ID#AAABDq5TrjE
YULIED.PENARANDA    (2023-11-09 13:07:33)
Recursos presupuestales asignados para la vigencia en programación  y/o seguimiento, según la columna en que se reporte</t>
        </r>
      </text>
    </comment>
    <comment ref="D690" authorId="0" shapeId="0" xr:uid="{00000000-0006-0000-0500-0000B5020000}">
      <text>
        <r>
          <rPr>
            <sz val="11"/>
            <color theme="1"/>
            <rFont val="Calibri"/>
            <family val="2"/>
            <scheme val="minor"/>
          </rPr>
          <t>======
ID#AAABDq5TrvU
YULIED.PENARANDA    (2023-11-09 13:07:33)
Magnitud física asociada a la reservas,  aplica para las meta con tipología suma, las cuales se pueden desagregar por los compromisos contraídos que al cierre de la vigencia fiscal no  se cumplierón.</t>
        </r>
      </text>
    </comment>
    <comment ref="D691" authorId="0" shapeId="0" xr:uid="{00000000-0006-0000-0500-0000B6020000}">
      <text>
        <r>
          <rPr>
            <sz val="11"/>
            <color theme="1"/>
            <rFont val="Calibri"/>
            <family val="2"/>
            <scheme val="minor"/>
          </rPr>
          <t>======
ID#AAABDq5TrmU
YULIED.PENARANDA    (2023-11-09 13:07:34)
Son compromisos legalmente contraídos que al cierre de la vigencia fiscal no se han atendido por no haberse completado las formalidades necesarias que hagan exigible el pago al terminarse el año.</t>
        </r>
      </text>
    </comment>
    <comment ref="D692" authorId="0" shapeId="0" xr:uid="{00000000-0006-0000-0500-0000B7020000}">
      <text>
        <r>
          <rPr>
            <sz val="11"/>
            <color theme="1"/>
            <rFont val="Calibri"/>
            <family val="2"/>
            <scheme val="minor"/>
          </rPr>
          <t>======
ID#AAABDq5Tq4U
YULIED.PENARANDA    (2023-11-09 13:07:34)
Para las metas de tipología suma (vigencia *reservas). Para las demás tipos de metas se asocia el mismo dato de la vigencia.</t>
        </r>
      </text>
    </comment>
    <comment ref="D693" authorId="0" shapeId="0" xr:uid="{00000000-0006-0000-0500-0000B8020000}">
      <text>
        <r>
          <rPr>
            <sz val="11"/>
            <color theme="1"/>
            <rFont val="Calibri"/>
            <family val="2"/>
            <scheme val="minor"/>
          </rPr>
          <t>======
ID#AAABDq5TrYA
YULIED.PENARANDA    (2023-11-09 13:07:33)
Se suma los recursos presupuestales (vigencia + reservas)</t>
        </r>
      </text>
    </comment>
    <comment ref="D694" authorId="0" shapeId="0" xr:uid="{00000000-0006-0000-0500-0000B9020000}">
      <text>
        <r>
          <rPr>
            <sz val="11"/>
            <color theme="1"/>
            <rFont val="Calibri"/>
            <family val="2"/>
            <scheme val="minor"/>
          </rPr>
          <t>======
ID#AAABDq5Tq2Q
YULIED.PENARANDA    (2023-11-09 13:07:34)
Magnitud física de la meta proyecto de inversión, a programar o a realizar seguimiento, según la columna en que se reporte.</t>
        </r>
      </text>
    </comment>
    <comment ref="D695" authorId="0" shapeId="0" xr:uid="{00000000-0006-0000-0500-0000BA020000}">
      <text>
        <r>
          <rPr>
            <sz val="11"/>
            <color theme="1"/>
            <rFont val="Calibri"/>
            <family val="2"/>
            <scheme val="minor"/>
          </rPr>
          <t>======
ID#AAABDq5TrpU
YULIED.PENARANDA    (2023-11-09 13:07:33)
Recursos presupuestales asignados para la vigencia en programación  y/o seguimiento, según la columna en que se reporte</t>
        </r>
      </text>
    </comment>
    <comment ref="D696" authorId="0" shapeId="0" xr:uid="{00000000-0006-0000-0500-0000BB020000}">
      <text>
        <r>
          <rPr>
            <sz val="11"/>
            <color theme="1"/>
            <rFont val="Calibri"/>
            <family val="2"/>
            <scheme val="minor"/>
          </rPr>
          <t>======
ID#AAABDq5Trk4
YULIED.PENARANDA    (2023-11-09 13:07:33)
Magnitud física asociada a la reservas,  aplica para las meta con tipología suma, las cuales se pueden desagregar por los compromisos contraídos que al cierre de la vigencia fiscal no  se cumplierón.</t>
        </r>
      </text>
    </comment>
    <comment ref="D697" authorId="0" shapeId="0" xr:uid="{00000000-0006-0000-0500-0000BC020000}">
      <text>
        <r>
          <rPr>
            <sz val="11"/>
            <color theme="1"/>
            <rFont val="Calibri"/>
            <family val="2"/>
            <scheme val="minor"/>
          </rPr>
          <t>======
ID#AAABDq5TrfA
YULIED.PENARANDA    (2023-11-09 13:07:34)
Son compromisos legalmente contraídos que al cierre de la vigencia fiscal no se han atendido por no haberse completado las formalidades necesarias que hagan exigible el pago al terminarse el año.</t>
        </r>
      </text>
    </comment>
    <comment ref="D698" authorId="0" shapeId="0" xr:uid="{00000000-0006-0000-0500-0000BD020000}">
      <text>
        <r>
          <rPr>
            <sz val="11"/>
            <color theme="1"/>
            <rFont val="Calibri"/>
            <family val="2"/>
            <scheme val="minor"/>
          </rPr>
          <t>======
ID#AAABDq5Tq2U
YULIED.PENARANDA    (2023-11-09 13:07:34)
Para las metas de tipología suma (vigencia *reservas). Para las demás tipos de metas se asocia el mismo dato de la vigencia.</t>
        </r>
      </text>
    </comment>
    <comment ref="D699" authorId="0" shapeId="0" xr:uid="{00000000-0006-0000-0500-0000BE020000}">
      <text>
        <r>
          <rPr>
            <sz val="11"/>
            <color theme="1"/>
            <rFont val="Calibri"/>
            <family val="2"/>
            <scheme val="minor"/>
          </rPr>
          <t>======
ID#AAABDq5TrOs
YULIED.PENARANDA    (2023-11-09 13:07:34)
Se suma los recursos presupuestales (vigencia + reservas)</t>
        </r>
      </text>
    </comment>
    <comment ref="D700" authorId="0" shapeId="0" xr:uid="{00000000-0006-0000-0500-0000BF020000}">
      <text>
        <r>
          <rPr>
            <sz val="11"/>
            <color theme="1"/>
            <rFont val="Calibri"/>
            <family val="2"/>
            <scheme val="minor"/>
          </rPr>
          <t>======
ID#AAABDq5TrgM
YULIED.PENARANDA    (2023-11-09 13:07:34)
Magnitud física de la meta proyecto de inversión, a programar o a realizar seguimiento, según la columna en que se reporte.</t>
        </r>
      </text>
    </comment>
    <comment ref="D701" authorId="0" shapeId="0" xr:uid="{00000000-0006-0000-0500-0000C0020000}">
      <text>
        <r>
          <rPr>
            <sz val="11"/>
            <color theme="1"/>
            <rFont val="Calibri"/>
            <family val="2"/>
            <scheme val="minor"/>
          </rPr>
          <t>======
ID#AAABDq5Tq38
YULIED.PENARANDA    (2023-11-09 13:07:34)
Recursos presupuestales asignados para la vigencia en programación  y/o seguimiento, según la columna en que se reporte</t>
        </r>
      </text>
    </comment>
    <comment ref="D702" authorId="0" shapeId="0" xr:uid="{00000000-0006-0000-0500-0000C1020000}">
      <text>
        <r>
          <rPr>
            <sz val="11"/>
            <color theme="1"/>
            <rFont val="Calibri"/>
            <family val="2"/>
            <scheme val="minor"/>
          </rPr>
          <t>======
ID#AAABDq5TrPc
YULIED.PENARANDA    (2023-11-09 13:07:34)
Magnitud física asociada a la reservas,  aplica para las meta con tipología suma, las cuales se pueden desagregar por los compromisos contraídos que al cierre de la vigencia fiscal no  se cumplierón.</t>
        </r>
      </text>
    </comment>
    <comment ref="D703" authorId="0" shapeId="0" xr:uid="{00000000-0006-0000-0500-0000C2020000}">
      <text>
        <r>
          <rPr>
            <sz val="11"/>
            <color theme="1"/>
            <rFont val="Calibri"/>
            <family val="2"/>
            <scheme val="minor"/>
          </rPr>
          <t>======
ID#AAABDq5TrGo
YULIED.PENARANDA    (2023-11-09 13:07:33)
Son compromisos legalmente contraídos que al cierre de la vigencia fiscal no se han atendido por no haberse completado las formalidades necesarias que hagan exigible el pago al terminarse el año.</t>
        </r>
      </text>
    </comment>
    <comment ref="D704" authorId="0" shapeId="0" xr:uid="{00000000-0006-0000-0500-0000C3020000}">
      <text>
        <r>
          <rPr>
            <sz val="11"/>
            <color theme="1"/>
            <rFont val="Calibri"/>
            <family val="2"/>
            <scheme val="minor"/>
          </rPr>
          <t>======
ID#AAABDq5TrzM
YULIED.PENARANDA    (2023-11-09 13:07:33)
Para las metas de tipología suma (vigencia *reservas). Para las demás tipos de metas se asocia el mismo dato de la vigencia.</t>
        </r>
      </text>
    </comment>
    <comment ref="D705" authorId="0" shapeId="0" xr:uid="{00000000-0006-0000-0500-0000C4020000}">
      <text>
        <r>
          <rPr>
            <sz val="11"/>
            <color theme="1"/>
            <rFont val="Calibri"/>
            <family val="2"/>
            <scheme val="minor"/>
          </rPr>
          <t>======
ID#AAABDq5TrIc
YULIED.PENARANDA    (2023-11-09 13:07:33)
Se suma los recursos presupuestales (vigencia + reservas)</t>
        </r>
      </text>
    </comment>
    <comment ref="D706" authorId="0" shapeId="0" xr:uid="{00000000-0006-0000-0500-0000C5020000}">
      <text>
        <r>
          <rPr>
            <sz val="11"/>
            <color theme="1"/>
            <rFont val="Calibri"/>
            <family val="2"/>
            <scheme val="minor"/>
          </rPr>
          <t>======
ID#AAABDq5TrKg
YULIED.PENARANDA    (2023-11-09 13:07:33)
Magnitud física de la meta proyecto de inversión, a programar o a realizar seguimiento, según la columna en que se reporte.</t>
        </r>
      </text>
    </comment>
    <comment ref="D707" authorId="0" shapeId="0" xr:uid="{00000000-0006-0000-0500-0000C6020000}">
      <text>
        <r>
          <rPr>
            <sz val="11"/>
            <color theme="1"/>
            <rFont val="Calibri"/>
            <family val="2"/>
            <scheme val="minor"/>
          </rPr>
          <t>======
ID#AAABDq5Tq3E
YULIED.PENARANDA    (2023-11-09 13:07:34)
Recursos presupuestales asignados para la vigencia en programación  y/o seguimiento, según la columna en que se reporte</t>
        </r>
      </text>
    </comment>
    <comment ref="D708" authorId="0" shapeId="0" xr:uid="{00000000-0006-0000-0500-0000C7020000}">
      <text>
        <r>
          <rPr>
            <sz val="11"/>
            <color theme="1"/>
            <rFont val="Calibri"/>
            <family val="2"/>
            <scheme val="minor"/>
          </rPr>
          <t>======
ID#AAABDq5Tqpw
YULIED.PENARANDA    (2023-11-09 13:07:34)
Magnitud física asociada a la reservas,  aplica para las meta con tipología suma, las cuales se pueden desagregar por los compromisos contraídos que al cierre de la vigencia fiscal no  se cumplierón.</t>
        </r>
      </text>
    </comment>
    <comment ref="D709" authorId="0" shapeId="0" xr:uid="{00000000-0006-0000-0500-0000C8020000}">
      <text>
        <r>
          <rPr>
            <sz val="11"/>
            <color theme="1"/>
            <rFont val="Calibri"/>
            <family val="2"/>
            <scheme val="minor"/>
          </rPr>
          <t>======
ID#AAABDq5TrbM
YULIED.PENARANDA    (2023-11-09 13:07:34)
Son compromisos legalmente contraídos que al cierre de la vigencia fiscal no se han atendido por no haberse completado las formalidades necesarias que hagan exigible el pago al terminarse el año.</t>
        </r>
      </text>
    </comment>
    <comment ref="D710" authorId="0" shapeId="0" xr:uid="{00000000-0006-0000-0500-0000C9020000}">
      <text>
        <r>
          <rPr>
            <sz val="11"/>
            <color theme="1"/>
            <rFont val="Calibri"/>
            <family val="2"/>
            <scheme val="minor"/>
          </rPr>
          <t>======
ID#AAABDq5TrWk
YULIED.PENARANDA    (2023-11-09 13:07:34)
Para las metas de tipología suma (vigencia *reservas). Para las demás tipos de metas se asocia el mismo dato de la vigencia.</t>
        </r>
      </text>
    </comment>
    <comment ref="D711" authorId="0" shapeId="0" xr:uid="{00000000-0006-0000-0500-0000CA020000}">
      <text>
        <r>
          <rPr>
            <sz val="11"/>
            <color theme="1"/>
            <rFont val="Calibri"/>
            <family val="2"/>
            <scheme val="minor"/>
          </rPr>
          <t>======
ID#AAABDq5Tq8s
YULIED.PENARANDA    (2023-11-09 13:07:34)
Se suma los recursos presupuestales (vigencia + reservas)</t>
        </r>
      </text>
    </comment>
    <comment ref="D712" authorId="0" shapeId="0" xr:uid="{00000000-0006-0000-0500-0000CB020000}">
      <text>
        <r>
          <rPr>
            <sz val="11"/>
            <color theme="1"/>
            <rFont val="Calibri"/>
            <family val="2"/>
            <scheme val="minor"/>
          </rPr>
          <t>======
ID#AAABDq5TrNA
YULIED.PENARANDA    (2023-11-09 13:07:33)
Magnitud física de la meta proyecto de inversión, a programar o a realizar seguimiento, según la columna en que se reporte.</t>
        </r>
      </text>
    </comment>
    <comment ref="D713" authorId="0" shapeId="0" xr:uid="{00000000-0006-0000-0500-0000CC020000}">
      <text>
        <r>
          <rPr>
            <sz val="11"/>
            <color theme="1"/>
            <rFont val="Calibri"/>
            <family val="2"/>
            <scheme val="minor"/>
          </rPr>
          <t>======
ID#AAABDq5Trjw
YULIED.PENARANDA    (2023-11-09 13:07:34)
Recursos presupuestales asignados para la vigencia en programación  y/o seguimiento, según la columna en que se reporte</t>
        </r>
      </text>
    </comment>
    <comment ref="D714" authorId="0" shapeId="0" xr:uid="{00000000-0006-0000-0500-0000CD020000}">
      <text>
        <r>
          <rPr>
            <sz val="11"/>
            <color theme="1"/>
            <rFont val="Calibri"/>
            <family val="2"/>
            <scheme val="minor"/>
          </rPr>
          <t>======
ID#AAABDq5TrHo
YULIED.PENARANDA    (2023-11-09 13:07:33)
Magnitud física asociada a la reservas,  aplica para las meta con tipología suma, las cuales se pueden desagregar por los compromisos contraídos que al cierre de la vigencia fiscal no  se cumplierón.</t>
        </r>
      </text>
    </comment>
    <comment ref="D715" authorId="0" shapeId="0" xr:uid="{00000000-0006-0000-0500-0000CE020000}">
      <text>
        <r>
          <rPr>
            <sz val="11"/>
            <color theme="1"/>
            <rFont val="Calibri"/>
            <family val="2"/>
            <scheme val="minor"/>
          </rPr>
          <t>======
ID#AAABDq5TrCc
YULIED.PENARANDA    (2023-11-09 13:07:34)
Son compromisos legalmente contraídos que al cierre de la vigencia fiscal no se han atendido por no haberse completado las formalidades necesarias que hagan exigible el pago al terminarse el año.</t>
        </r>
      </text>
    </comment>
    <comment ref="D716" authorId="0" shapeId="0" xr:uid="{00000000-0006-0000-0500-0000CF020000}">
      <text>
        <r>
          <rPr>
            <sz val="11"/>
            <color theme="1"/>
            <rFont val="Calibri"/>
            <family val="2"/>
            <scheme val="minor"/>
          </rPr>
          <t>======
ID#AAABDq5TrHc
YULIED.PENARANDA    (2023-11-09 13:07:33)
Para las metas de tipología suma (vigencia *reservas). Para las demás tipos de metas se asocia el mismo dato de la vigencia.</t>
        </r>
      </text>
    </comment>
    <comment ref="D717" authorId="0" shapeId="0" xr:uid="{00000000-0006-0000-0500-0000D0020000}">
      <text>
        <r>
          <rPr>
            <sz val="11"/>
            <color theme="1"/>
            <rFont val="Calibri"/>
            <family val="2"/>
            <scheme val="minor"/>
          </rPr>
          <t>======
ID#AAABDq5TrxQ
YULIED.PENARANDA    (2023-11-09 13:07:34)
Se suma los recursos presupuestales (vigencia + reservas)</t>
        </r>
      </text>
    </comment>
    <comment ref="D718" authorId="0" shapeId="0" xr:uid="{00000000-0006-0000-0500-0000D1020000}">
      <text>
        <r>
          <rPr>
            <sz val="11"/>
            <color theme="1"/>
            <rFont val="Calibri"/>
            <family val="2"/>
            <scheme val="minor"/>
          </rPr>
          <t>======
ID#AAABDq5TqoY
YULIED.PENARANDA    (2023-11-09 13:07:34)
Magnitud física de la meta proyecto de inversión, a programar o a realizar seguimiento, según la columna en que se reporte.</t>
        </r>
      </text>
    </comment>
    <comment ref="D719" authorId="0" shapeId="0" xr:uid="{00000000-0006-0000-0500-0000D2020000}">
      <text>
        <r>
          <rPr>
            <sz val="11"/>
            <color theme="1"/>
            <rFont val="Calibri"/>
            <family val="2"/>
            <scheme val="minor"/>
          </rPr>
          <t>======
ID#AAABDq5TruQ
YULIED.PENARANDA    (2023-11-09 13:07:33)
Recursos presupuestales asignados para la vigencia en programación  y/o seguimiento, según la columna en que se reporte</t>
        </r>
      </text>
    </comment>
    <comment ref="D720" authorId="0" shapeId="0" xr:uid="{00000000-0006-0000-0500-0000D3020000}">
      <text>
        <r>
          <rPr>
            <sz val="11"/>
            <color theme="1"/>
            <rFont val="Calibri"/>
            <family val="2"/>
            <scheme val="minor"/>
          </rPr>
          <t>======
ID#AAABDq5Tq7M
YULIED.PENARANDA    (2023-11-09 13:07:33)
Magnitud física asociada a la reservas,  aplica para las meta con tipología suma, las cuales se pueden desagregar por los compromisos contraídos que al cierre de la vigencia fiscal no  se cumplierón.</t>
        </r>
      </text>
    </comment>
    <comment ref="D721" authorId="0" shapeId="0" xr:uid="{00000000-0006-0000-0500-0000D4020000}">
      <text>
        <r>
          <rPr>
            <sz val="11"/>
            <color theme="1"/>
            <rFont val="Calibri"/>
            <family val="2"/>
            <scheme val="minor"/>
          </rPr>
          <t>======
ID#AAABDq5TrcY
YULIED.PENARANDA    (2023-11-09 13:07:33)
Son compromisos legalmente contraídos que al cierre de la vigencia fiscal no se han atendido por no haberse completado las formalidades necesarias que hagan exigible el pago al terminarse el año.</t>
        </r>
      </text>
    </comment>
    <comment ref="D722" authorId="0" shapeId="0" xr:uid="{00000000-0006-0000-0500-0000D5020000}">
      <text>
        <r>
          <rPr>
            <sz val="11"/>
            <color theme="1"/>
            <rFont val="Calibri"/>
            <family val="2"/>
            <scheme val="minor"/>
          </rPr>
          <t>======
ID#AAABDq5Trlc
YULIED.PENARANDA    (2023-11-09 13:07:34)
Para las metas de tipología suma (vigencia *reservas). Para las demás tipos de metas se asocia el mismo dato de la vigencia.</t>
        </r>
      </text>
    </comment>
    <comment ref="D723" authorId="0" shapeId="0" xr:uid="{00000000-0006-0000-0500-0000D6020000}">
      <text>
        <r>
          <rPr>
            <sz val="11"/>
            <color theme="1"/>
            <rFont val="Calibri"/>
            <family val="2"/>
            <scheme val="minor"/>
          </rPr>
          <t>======
ID#AAABDq5TrSw
YULIED.PENARANDA    (2023-11-09 13:07:33)
Se suma los recursos presupuestales (vigencia + reservas)</t>
        </r>
      </text>
    </comment>
    <comment ref="D724" authorId="0" shapeId="0" xr:uid="{00000000-0006-0000-0500-0000D7020000}">
      <text>
        <r>
          <rPr>
            <sz val="11"/>
            <color theme="1"/>
            <rFont val="Calibri"/>
            <family val="2"/>
            <scheme val="minor"/>
          </rPr>
          <t>======
ID#AAABDq5TrXA
YULIED.PENARANDA    (2023-11-09 13:07:34)
Magnitud física de la meta proyecto de inversión, a programar o a realizar seguimiento, según la columna en que se reporte.</t>
        </r>
      </text>
    </comment>
    <comment ref="D725" authorId="0" shapeId="0" xr:uid="{00000000-0006-0000-0500-0000D8020000}">
      <text>
        <r>
          <rPr>
            <sz val="11"/>
            <color theme="1"/>
            <rFont val="Calibri"/>
            <family val="2"/>
            <scheme val="minor"/>
          </rPr>
          <t>======
ID#AAABDq5TrpY
YULIED.PENARANDA    (2023-11-09 13:07:33)
Recursos presupuestales asignados para la vigencia en programación  y/o seguimiento, según la columna en que se reporte</t>
        </r>
      </text>
    </comment>
    <comment ref="D726" authorId="0" shapeId="0" xr:uid="{00000000-0006-0000-0500-0000D9020000}">
      <text>
        <r>
          <rPr>
            <sz val="11"/>
            <color theme="1"/>
            <rFont val="Calibri"/>
            <family val="2"/>
            <scheme val="minor"/>
          </rPr>
          <t>======
ID#AAABDq5TrYw
YULIED.PENARANDA    (2023-11-09 13:07:34)
Magnitud física asociada a la reservas,  aplica para las meta con tipología suma, las cuales se pueden desagregar por los compromisos contraídos que al cierre de la vigencia fiscal no  se cumplierón.</t>
        </r>
      </text>
    </comment>
    <comment ref="D727" authorId="0" shapeId="0" xr:uid="{00000000-0006-0000-0500-0000DA020000}">
      <text>
        <r>
          <rPr>
            <sz val="11"/>
            <color theme="1"/>
            <rFont val="Calibri"/>
            <family val="2"/>
            <scheme val="minor"/>
          </rPr>
          <t>======
ID#AAABDq5Trkg
YULIED.PENARANDA    (2023-11-09 13:07:33)
Son compromisos legalmente contraídos que al cierre de la vigencia fiscal no se han atendido por no haberse completado las formalidades necesarias que hagan exigible el pago al terminarse el año.</t>
        </r>
      </text>
    </comment>
    <comment ref="D728" authorId="0" shapeId="0" xr:uid="{00000000-0006-0000-0500-0000DB020000}">
      <text>
        <r>
          <rPr>
            <sz val="11"/>
            <color theme="1"/>
            <rFont val="Calibri"/>
            <family val="2"/>
            <scheme val="minor"/>
          </rPr>
          <t>======
ID#AAABDq5TrAE
YULIED.PENARANDA    (2023-11-09 13:07:34)
Para las metas de tipología suma (vigencia *reservas). Para las demás tipos de metas se asocia el mismo dato de la vigencia.</t>
        </r>
      </text>
    </comment>
    <comment ref="D729" authorId="0" shapeId="0" xr:uid="{00000000-0006-0000-0500-0000DC020000}">
      <text>
        <r>
          <rPr>
            <sz val="11"/>
            <color theme="1"/>
            <rFont val="Calibri"/>
            <family val="2"/>
            <scheme val="minor"/>
          </rPr>
          <t>======
ID#AAABDq5Tre4
YULIED.PENARANDA    (2023-11-09 13:07:33)
Se suma los recursos presupuestales (vigencia + reservas)</t>
        </r>
      </text>
    </comment>
    <comment ref="D730" authorId="0" shapeId="0" xr:uid="{00000000-0006-0000-0500-0000DD020000}">
      <text>
        <r>
          <rPr>
            <sz val="11"/>
            <color theme="1"/>
            <rFont val="Calibri"/>
            <family val="2"/>
            <scheme val="minor"/>
          </rPr>
          <t>======
ID#AAABDq5TrlQ
YULIED.PENARANDA    (2023-11-09 13:07:33)
Magnitud física de la meta proyecto de inversión, a programar o a realizar seguimiento, según la columna en que se reporte.</t>
        </r>
      </text>
    </comment>
    <comment ref="D731" authorId="0" shapeId="0" xr:uid="{00000000-0006-0000-0500-0000DE020000}">
      <text>
        <r>
          <rPr>
            <sz val="11"/>
            <color theme="1"/>
            <rFont val="Calibri"/>
            <family val="2"/>
            <scheme val="minor"/>
          </rPr>
          <t>======
ID#AAABDq5TrnY
YULIED.PENARANDA    (2023-11-09 13:07:33)
Recursos presupuestales asignados para la vigencia en programación  y/o seguimiento, según la columna en que se reporte</t>
        </r>
      </text>
    </comment>
    <comment ref="D732" authorId="0" shapeId="0" xr:uid="{00000000-0006-0000-0500-0000DF020000}">
      <text>
        <r>
          <rPr>
            <sz val="11"/>
            <color theme="1"/>
            <rFont val="Calibri"/>
            <family val="2"/>
            <scheme val="minor"/>
          </rPr>
          <t>======
ID#AAABDq5Tq2Y
YULIED.PENARANDA    (2023-11-09 13:07:33)
Magnitud física asociada a la reservas,  aplica para las meta con tipología suma, las cuales se pueden desagregar por los compromisos contraídos que al cierre de la vigencia fiscal no  se cumplierón.</t>
        </r>
      </text>
    </comment>
    <comment ref="D733" authorId="0" shapeId="0" xr:uid="{00000000-0006-0000-0500-0000E0020000}">
      <text>
        <r>
          <rPr>
            <sz val="11"/>
            <color theme="1"/>
            <rFont val="Calibri"/>
            <family val="2"/>
            <scheme val="minor"/>
          </rPr>
          <t>======
ID#AAABDq5TrQQ
YULIED.PENARANDA    (2023-11-09 13:07:33)
Son compromisos legalmente contraídos que al cierre de la vigencia fiscal no se han atendido por no haberse completado las formalidades necesarias que hagan exigible el pago al terminarse el año.</t>
        </r>
      </text>
    </comment>
    <comment ref="D734" authorId="0" shapeId="0" xr:uid="{00000000-0006-0000-0500-0000E1020000}">
      <text>
        <r>
          <rPr>
            <sz val="11"/>
            <color theme="1"/>
            <rFont val="Calibri"/>
            <family val="2"/>
            <scheme val="minor"/>
          </rPr>
          <t>======
ID#AAABDq5TrGQ
YULIED.PENARANDA    (2023-11-09 13:07:34)
Para las metas de tipología suma (vigencia *reservas). Para las demás tipos de metas se asocia el mismo dato de la vigencia.</t>
        </r>
      </text>
    </comment>
    <comment ref="D735" authorId="0" shapeId="0" xr:uid="{00000000-0006-0000-0500-0000E2020000}">
      <text>
        <r>
          <rPr>
            <sz val="11"/>
            <color theme="1"/>
            <rFont val="Calibri"/>
            <family val="2"/>
            <scheme val="minor"/>
          </rPr>
          <t>======
ID#AAABDq5TrEA
YULIED.PENARANDA    (2023-11-09 13:07:33)
Se suma los recursos presupuestales (vigencia + reservas)</t>
        </r>
      </text>
    </comment>
    <comment ref="D736" authorId="0" shapeId="0" xr:uid="{00000000-0006-0000-0500-0000E3020000}">
      <text>
        <r>
          <rPr>
            <sz val="11"/>
            <color theme="1"/>
            <rFont val="Calibri"/>
            <family val="2"/>
            <scheme val="minor"/>
          </rPr>
          <t>======
ID#AAABDq5Trww
YULIED.PENARANDA    (2023-11-09 13:07:34)
Magnitud física de la meta proyecto de inversión, a programar o a realizar seguimiento, según la columna en que se reporte.</t>
        </r>
      </text>
    </comment>
    <comment ref="D737" authorId="0" shapeId="0" xr:uid="{00000000-0006-0000-0500-0000E4020000}">
      <text>
        <r>
          <rPr>
            <sz val="11"/>
            <color theme="1"/>
            <rFont val="Calibri"/>
            <family val="2"/>
            <scheme val="minor"/>
          </rPr>
          <t>======
ID#AAABDq5Tqzo
YULIED.PENARANDA    (2023-11-09 13:07:34)
Recursos presupuestales asignados para la vigencia en programación  y/o seguimiento, según la columna en que se reporte</t>
        </r>
      </text>
    </comment>
    <comment ref="D738" authorId="0" shapeId="0" xr:uid="{00000000-0006-0000-0500-0000E5020000}">
      <text>
        <r>
          <rPr>
            <sz val="11"/>
            <color theme="1"/>
            <rFont val="Calibri"/>
            <family val="2"/>
            <scheme val="minor"/>
          </rPr>
          <t>======
ID#AAABDq5TrOI
YULIED.PENARANDA    (2023-11-09 13:07:33)
Magnitud física asociada a la reservas,  aplica para las meta con tipología suma, las cuales se pueden desagregar por los compromisos contraídos que al cierre de la vigencia fiscal no  se cumplierón.</t>
        </r>
      </text>
    </comment>
    <comment ref="D739" authorId="0" shapeId="0" xr:uid="{00000000-0006-0000-0500-0000E6020000}">
      <text>
        <r>
          <rPr>
            <sz val="11"/>
            <color theme="1"/>
            <rFont val="Calibri"/>
            <family val="2"/>
            <scheme val="minor"/>
          </rPr>
          <t>======
ID#AAABDq5TrYk
YULIED.PENARANDA    (2023-11-09 13:07:34)
Son compromisos legalmente contraídos que al cierre de la vigencia fiscal no se han atendido por no haberse completado las formalidades necesarias que hagan exigible el pago al terminarse el año.</t>
        </r>
      </text>
    </comment>
    <comment ref="D740" authorId="0" shapeId="0" xr:uid="{00000000-0006-0000-0500-0000E7020000}">
      <text>
        <r>
          <rPr>
            <sz val="11"/>
            <color theme="1"/>
            <rFont val="Calibri"/>
            <family val="2"/>
            <scheme val="minor"/>
          </rPr>
          <t>======
ID#AAABDq5TrNI
YULIED.PENARANDA    (2023-11-09 13:07:34)
Para las metas de tipología suma (vigencia *reservas). Para las demás tipos de metas se asocia el mismo dato de la vigencia.</t>
        </r>
      </text>
    </comment>
    <comment ref="D741" authorId="0" shapeId="0" xr:uid="{00000000-0006-0000-0500-0000E8020000}">
      <text>
        <r>
          <rPr>
            <sz val="11"/>
            <color theme="1"/>
            <rFont val="Calibri"/>
            <family val="2"/>
            <scheme val="minor"/>
          </rPr>
          <t>======
ID#AAABDq5TruU
YULIED.PENARANDA    (2023-11-09 13:07:34)
Se suma los recursos presupuestales (vigencia + reservas)</t>
        </r>
      </text>
    </comment>
    <comment ref="D742" authorId="0" shapeId="0" xr:uid="{00000000-0006-0000-0500-0000E9020000}">
      <text>
        <r>
          <rPr>
            <sz val="11"/>
            <color theme="1"/>
            <rFont val="Calibri"/>
            <family val="2"/>
            <scheme val="minor"/>
          </rPr>
          <t>======
ID#AAABDq5Tq3c
YULIED.PENARANDA    (2023-11-09 13:07:34)
Magnitud física de la meta proyecto de inversión, a programar o a realizar seguimiento, según la columna en que se reporte.</t>
        </r>
      </text>
    </comment>
    <comment ref="D743" authorId="0" shapeId="0" xr:uid="{00000000-0006-0000-0500-0000EA020000}">
      <text>
        <r>
          <rPr>
            <sz val="11"/>
            <color theme="1"/>
            <rFont val="Calibri"/>
            <family val="2"/>
            <scheme val="minor"/>
          </rPr>
          <t>======
ID#AAABDq5TrR8
YULIED.PENARANDA    (2023-11-09 13:07:34)
Recursos presupuestales asignados para la vigencia en programación  y/o seguimiento, según la columna en que se reporte</t>
        </r>
      </text>
    </comment>
    <comment ref="D744" authorId="0" shapeId="0" xr:uid="{00000000-0006-0000-0500-0000EB020000}">
      <text>
        <r>
          <rPr>
            <sz val="11"/>
            <color theme="1"/>
            <rFont val="Calibri"/>
            <family val="2"/>
            <scheme val="minor"/>
          </rPr>
          <t>======
ID#AAABDq5Tqog
YULIED.PENARANDA    (2023-11-09 13:07:33)
Magnitud física asociada a la reservas,  aplica para las meta con tipología suma, las cuales se pueden desagregar por los compromisos contraídos que al cierre de la vigencia fiscal no  se cumplierón.</t>
        </r>
      </text>
    </comment>
    <comment ref="D745" authorId="0" shapeId="0" xr:uid="{00000000-0006-0000-0500-0000EC020000}">
      <text>
        <r>
          <rPr>
            <sz val="11"/>
            <color theme="1"/>
            <rFont val="Calibri"/>
            <family val="2"/>
            <scheme val="minor"/>
          </rPr>
          <t>======
ID#AAABDq5TqwQ
YULIED.PENARANDA    (2023-11-09 13:07:33)
Son compromisos legalmente contraídos que al cierre de la vigencia fiscal no se han atendido por no haberse completado las formalidades necesarias que hagan exigible el pago al terminarse el año.</t>
        </r>
      </text>
    </comment>
    <comment ref="D746" authorId="0" shapeId="0" xr:uid="{00000000-0006-0000-0500-0000ED020000}">
      <text>
        <r>
          <rPr>
            <sz val="11"/>
            <color theme="1"/>
            <rFont val="Calibri"/>
            <family val="2"/>
            <scheme val="minor"/>
          </rPr>
          <t>======
ID#AAABDq5Tq9o
YULIED.PENARANDA    (2023-11-09 13:07:33)
Para las metas de tipología suma (vigencia *reservas). Para las demás tipos de metas se asocia el mismo dato de la vigencia.</t>
        </r>
      </text>
    </comment>
    <comment ref="D747" authorId="0" shapeId="0" xr:uid="{00000000-0006-0000-0500-0000EE020000}">
      <text>
        <r>
          <rPr>
            <sz val="11"/>
            <color theme="1"/>
            <rFont val="Calibri"/>
            <family val="2"/>
            <scheme val="minor"/>
          </rPr>
          <t>======
ID#AAABDq5TrqQ
YULIED.PENARANDA    (2023-11-09 13:07:34)
Se suma los recursos presupuestales (vigencia + reservas)</t>
        </r>
      </text>
    </comment>
    <comment ref="D748" authorId="0" shapeId="0" xr:uid="{00000000-0006-0000-0500-0000EF020000}">
      <text>
        <r>
          <rPr>
            <sz val="11"/>
            <color theme="1"/>
            <rFont val="Calibri"/>
            <family val="2"/>
            <scheme val="minor"/>
          </rPr>
          <t>======
ID#AAABDq5TrQc
YULIED.PENARANDA    (2023-11-09 13:07:34)
Magnitud física de la meta proyecto de inversión, a programar o a realizar seguimiento, según la columna en que se reporte.</t>
        </r>
      </text>
    </comment>
    <comment ref="D749" authorId="0" shapeId="0" xr:uid="{00000000-0006-0000-0500-0000F0020000}">
      <text>
        <r>
          <rPr>
            <sz val="11"/>
            <color theme="1"/>
            <rFont val="Calibri"/>
            <family val="2"/>
            <scheme val="minor"/>
          </rPr>
          <t>======
ID#AAABDq5TrBs
YULIED.PENARANDA    (2023-11-09 13:07:33)
Recursos presupuestales asignados para la vigencia en programación  y/o seguimiento, según la columna en que se reporte</t>
        </r>
      </text>
    </comment>
    <comment ref="D750" authorId="0" shapeId="0" xr:uid="{00000000-0006-0000-0500-0000F1020000}">
      <text>
        <r>
          <rPr>
            <sz val="11"/>
            <color theme="1"/>
            <rFont val="Calibri"/>
            <family val="2"/>
            <scheme val="minor"/>
          </rPr>
          <t>======
ID#AAABDq5TrFU
YULIED.PENARANDA    (2023-11-09 13:07:33)
Magnitud física asociada a la reservas,  aplica para las meta con tipología suma, las cuales se pueden desagregar por los compromisos contraídos que al cierre de la vigencia fiscal no  se cumplierón.</t>
        </r>
      </text>
    </comment>
    <comment ref="D751" authorId="0" shapeId="0" xr:uid="{00000000-0006-0000-0500-0000F2020000}">
      <text>
        <r>
          <rPr>
            <sz val="11"/>
            <color theme="1"/>
            <rFont val="Calibri"/>
            <family val="2"/>
            <scheme val="minor"/>
          </rPr>
          <t>======
ID#AAABDq5Tq94
YULIED.PENARANDA    (2023-11-09 13:07:33)
Son compromisos legalmente contraídos que al cierre de la vigencia fiscal no se han atendido por no haberse completado las formalidades necesarias que hagan exigible el pago al terminarse el año.</t>
        </r>
      </text>
    </comment>
    <comment ref="D752" authorId="0" shapeId="0" xr:uid="{00000000-0006-0000-0500-0000F3020000}">
      <text>
        <r>
          <rPr>
            <sz val="11"/>
            <color theme="1"/>
            <rFont val="Calibri"/>
            <family val="2"/>
            <scheme val="minor"/>
          </rPr>
          <t>======
ID#AAABDq5TrTs
YULIED.PENARANDA    (2023-11-09 13:07:33)
Para las metas de tipología suma (vigencia *reservas). Para las demás tipos de metas se asocia el mismo dato de la vigencia.</t>
        </r>
      </text>
    </comment>
    <comment ref="D753" authorId="0" shapeId="0" xr:uid="{00000000-0006-0000-0500-0000F4020000}">
      <text>
        <r>
          <rPr>
            <sz val="11"/>
            <color theme="1"/>
            <rFont val="Calibri"/>
            <family val="2"/>
            <scheme val="minor"/>
          </rPr>
          <t>======
ID#AAABDq5Tq7U
YULIED.PENARANDA    (2023-11-09 13:07:34)
Se suma los recursos presupuestales (vigencia + reservas)</t>
        </r>
      </text>
    </comment>
    <comment ref="D754" authorId="0" shapeId="0" xr:uid="{00000000-0006-0000-0500-0000F5020000}">
      <text>
        <r>
          <rPr>
            <sz val="11"/>
            <color theme="1"/>
            <rFont val="Calibri"/>
            <family val="2"/>
            <scheme val="minor"/>
          </rPr>
          <t>======
ID#AAABDq5TrZE
YULIED.PENARANDA    (2023-11-09 13:07:34)
Magnitud física de la meta proyecto de inversión, a programar o a realizar seguimiento, según la columna en que se reporte.</t>
        </r>
      </text>
    </comment>
    <comment ref="D755" authorId="0" shapeId="0" xr:uid="{00000000-0006-0000-0500-0000F6020000}">
      <text>
        <r>
          <rPr>
            <sz val="11"/>
            <color theme="1"/>
            <rFont val="Calibri"/>
            <family val="2"/>
            <scheme val="minor"/>
          </rPr>
          <t>======
ID#AAABDq5Trts
YULIED.PENARANDA    (2023-11-09 13:07:34)
Recursos presupuestales asignados para la vigencia en programación  y/o seguimiento, según la columna en que se reporte</t>
        </r>
      </text>
    </comment>
    <comment ref="D756" authorId="0" shapeId="0" xr:uid="{00000000-0006-0000-0500-0000F7020000}">
      <text>
        <r>
          <rPr>
            <sz val="11"/>
            <color theme="1"/>
            <rFont val="Calibri"/>
            <family val="2"/>
            <scheme val="minor"/>
          </rPr>
          <t>======
ID#AAABDq5TrPY
YULIED.PENARANDA    (2023-11-09 13:07:33)
Magnitud física asociada a la reservas,  aplica para las meta con tipología suma, las cuales se pueden desagregar por los compromisos contraídos que al cierre de la vigencia fiscal no  se cumplierón.</t>
        </r>
      </text>
    </comment>
    <comment ref="D757" authorId="0" shapeId="0" xr:uid="{00000000-0006-0000-0500-0000F8020000}">
      <text>
        <r>
          <rPr>
            <sz val="11"/>
            <color theme="1"/>
            <rFont val="Calibri"/>
            <family val="2"/>
            <scheme val="minor"/>
          </rPr>
          <t>======
ID#AAABDq5TrCA
YULIED.PENARANDA    (2023-11-09 13:07:34)
Son compromisos legalmente contraídos que al cierre de la vigencia fiscal no se han atendido por no haberse completado las formalidades necesarias que hagan exigible el pago al terminarse el año.</t>
        </r>
      </text>
    </comment>
    <comment ref="D758" authorId="0" shapeId="0" xr:uid="{00000000-0006-0000-0500-0000F9020000}">
      <text>
        <r>
          <rPr>
            <sz val="11"/>
            <color theme="1"/>
            <rFont val="Calibri"/>
            <family val="2"/>
            <scheme val="minor"/>
          </rPr>
          <t>======
ID#AAABDq5Trkw
YULIED.PENARANDA    (2023-11-09 13:07:33)
Para las metas de tipología suma (vigencia *reservas). Para las demás tipos de metas se asocia el mismo dato de la vigencia.</t>
        </r>
      </text>
    </comment>
    <comment ref="D759" authorId="0" shapeId="0" xr:uid="{00000000-0006-0000-0500-0000FA020000}">
      <text>
        <r>
          <rPr>
            <sz val="11"/>
            <color theme="1"/>
            <rFont val="Calibri"/>
            <family val="2"/>
            <scheme val="minor"/>
          </rPr>
          <t>======
ID#AAABDq5TrU4
YULIED.PENARANDA    (2023-11-09 13:07:33)
Se suma los recursos presupuestales (vigencia + reservas)</t>
        </r>
      </text>
    </comment>
    <comment ref="D760" authorId="0" shapeId="0" xr:uid="{00000000-0006-0000-0500-0000FB020000}">
      <text>
        <r>
          <rPr>
            <sz val="11"/>
            <color theme="1"/>
            <rFont val="Calibri"/>
            <family val="2"/>
            <scheme val="minor"/>
          </rPr>
          <t>======
ID#AAABDq5TrLo
YULIED.PENARANDA    (2023-11-09 13:07:33)
Magnitud física de la meta proyecto de inversión, a programar o a realizar seguimiento, según la columna en que se reporte.</t>
        </r>
      </text>
    </comment>
    <comment ref="D761" authorId="0" shapeId="0" xr:uid="{00000000-0006-0000-0500-0000FC020000}">
      <text>
        <r>
          <rPr>
            <sz val="11"/>
            <color theme="1"/>
            <rFont val="Calibri"/>
            <family val="2"/>
            <scheme val="minor"/>
          </rPr>
          <t>======
ID#AAABDq5Tqyc
YULIED.PENARANDA    (2023-11-09 13:07:34)
Recursos presupuestales asignados para la vigencia en programación  y/o seguimiento, según la columna en que se reporte</t>
        </r>
      </text>
    </comment>
    <comment ref="D762" authorId="0" shapeId="0" xr:uid="{00000000-0006-0000-0500-0000FD020000}">
      <text>
        <r>
          <rPr>
            <sz val="11"/>
            <color theme="1"/>
            <rFont val="Calibri"/>
            <family val="2"/>
            <scheme val="minor"/>
          </rPr>
          <t>======
ID#AAABDq5TrMI
YULIED.PENARANDA    (2023-11-09 13:07:34)
Magnitud física asociada a la reservas,  aplica para las meta con tipología suma, las cuales se pueden desagregar por los compromisos contraídos que al cierre de la vigencia fiscal no  se cumplierón.</t>
        </r>
      </text>
    </comment>
    <comment ref="D763" authorId="0" shapeId="0" xr:uid="{00000000-0006-0000-0500-0000FE020000}">
      <text>
        <r>
          <rPr>
            <sz val="11"/>
            <color theme="1"/>
            <rFont val="Calibri"/>
            <family val="2"/>
            <scheme val="minor"/>
          </rPr>
          <t>======
ID#AAABDq5TrEs
YULIED.PENARANDA    (2023-11-09 13:07:33)
Son compromisos legalmente contraídos que al cierre de la vigencia fiscal no se han atendido por no haberse completado las formalidades necesarias que hagan exigible el pago al terminarse el año.</t>
        </r>
      </text>
    </comment>
    <comment ref="D764" authorId="0" shapeId="0" xr:uid="{00000000-0006-0000-0500-0000FF020000}">
      <text>
        <r>
          <rPr>
            <sz val="11"/>
            <color theme="1"/>
            <rFont val="Calibri"/>
            <family val="2"/>
            <scheme val="minor"/>
          </rPr>
          <t>======
ID#AAABDq5TrFA
YULIED.PENARANDA    (2023-11-09 13:07:34)
Para las metas de tipología suma (vigencia *reservas). Para las demás tipos de metas se asocia el mismo dato de la vigencia.</t>
        </r>
      </text>
    </comment>
    <comment ref="D765" authorId="0" shapeId="0" xr:uid="{00000000-0006-0000-0500-000000030000}">
      <text>
        <r>
          <rPr>
            <sz val="11"/>
            <color theme="1"/>
            <rFont val="Calibri"/>
            <family val="2"/>
            <scheme val="minor"/>
          </rPr>
          <t>======
ID#AAABDq5Trs8
YULIED.PENARANDA    (2023-11-09 13:07:34)
Se suma los recursos presupuestales (vigencia + reservas)</t>
        </r>
      </text>
    </comment>
    <comment ref="D766" authorId="0" shapeId="0" xr:uid="{00000000-0006-0000-0500-000001030000}">
      <text>
        <r>
          <rPr>
            <sz val="11"/>
            <color theme="1"/>
            <rFont val="Calibri"/>
            <family val="2"/>
            <scheme val="minor"/>
          </rPr>
          <t>======
ID#AAABDq5TrNc
YULIED.PENARANDA    (2023-11-09 13:07:34)
Magnitud física de la meta proyecto de inversión, a programar o a realizar seguimiento, según la columna en que se reporte.</t>
        </r>
      </text>
    </comment>
    <comment ref="D767" authorId="0" shapeId="0" xr:uid="{00000000-0006-0000-0500-000002030000}">
      <text>
        <r>
          <rPr>
            <sz val="11"/>
            <color theme="1"/>
            <rFont val="Calibri"/>
            <family val="2"/>
            <scheme val="minor"/>
          </rPr>
          <t>======
ID#AAABDq5Trrc
YULIED.PENARANDA    (2023-11-09 13:07:34)
Recursos presupuestales asignados para la vigencia en programación  y/o seguimiento, según la columna en que se reporte</t>
        </r>
      </text>
    </comment>
    <comment ref="D768" authorId="0" shapeId="0" xr:uid="{00000000-0006-0000-0500-000003030000}">
      <text>
        <r>
          <rPr>
            <sz val="11"/>
            <color theme="1"/>
            <rFont val="Calibri"/>
            <family val="2"/>
            <scheme val="minor"/>
          </rPr>
          <t>======
ID#AAABDq5TrRk
YULIED.PENARANDA    (2023-11-09 13:07:34)
Magnitud física asociada a la reservas,  aplica para las meta con tipología suma, las cuales se pueden desagregar por los compromisos contraídos que al cierre de la vigencia fiscal no  se cumplierón.</t>
        </r>
      </text>
    </comment>
    <comment ref="D769" authorId="0" shapeId="0" xr:uid="{00000000-0006-0000-0500-000004030000}">
      <text>
        <r>
          <rPr>
            <sz val="11"/>
            <color theme="1"/>
            <rFont val="Calibri"/>
            <family val="2"/>
            <scheme val="minor"/>
          </rPr>
          <t>======
ID#AAABDq5Tq0o
YULIED.PENARANDA    (2023-11-09 13:07:33)
Son compromisos legalmente contraídos que al cierre de la vigencia fiscal no se han atendido por no haberse completado las formalidades necesarias que hagan exigible el pago al terminarse el año.</t>
        </r>
      </text>
    </comment>
    <comment ref="D770" authorId="0" shapeId="0" xr:uid="{00000000-0006-0000-0500-000005030000}">
      <text>
        <r>
          <rPr>
            <sz val="11"/>
            <color theme="1"/>
            <rFont val="Calibri"/>
            <family val="2"/>
            <scheme val="minor"/>
          </rPr>
          <t>======
ID#AAABDq5TrOc
YULIED.PENARANDA    (2023-11-09 13:07:33)
Para las metas de tipología suma (vigencia *reservas). Para las demás tipos de metas se asocia el mismo dato de la vigencia.</t>
        </r>
      </text>
    </comment>
    <comment ref="D771" authorId="0" shapeId="0" xr:uid="{00000000-0006-0000-0500-000006030000}">
      <text>
        <r>
          <rPr>
            <sz val="11"/>
            <color theme="1"/>
            <rFont val="Calibri"/>
            <family val="2"/>
            <scheme val="minor"/>
          </rPr>
          <t>======
ID#AAABDq5TqqE
YULIED.PENARANDA    (2023-11-09 13:07:34)
Se suma los recursos presupuestales (vigencia + reservas)</t>
        </r>
      </text>
    </comment>
    <comment ref="D772" authorId="0" shapeId="0" xr:uid="{00000000-0006-0000-0500-000007030000}">
      <text>
        <r>
          <rPr>
            <sz val="11"/>
            <color theme="1"/>
            <rFont val="Calibri"/>
            <family val="2"/>
            <scheme val="minor"/>
          </rPr>
          <t>======
ID#AAABDq5TrC0
YULIED.PENARANDA    (2023-11-09 13:07:33)
Magnitud física de la meta proyecto de inversión, a programar o a realizar seguimiento, según la columna en que se reporte.</t>
        </r>
      </text>
    </comment>
    <comment ref="D773" authorId="0" shapeId="0" xr:uid="{00000000-0006-0000-0500-000008030000}">
      <text>
        <r>
          <rPr>
            <sz val="11"/>
            <color theme="1"/>
            <rFont val="Calibri"/>
            <family val="2"/>
            <scheme val="minor"/>
          </rPr>
          <t>======
ID#AAABDq5TrdQ
YULIED.PENARANDA    (2023-11-09 13:07:33)
Recursos presupuestales asignados para la vigencia en programación  y/o seguimiento, según la columna en que se reporte</t>
        </r>
      </text>
    </comment>
    <comment ref="D774" authorId="0" shapeId="0" xr:uid="{00000000-0006-0000-0500-000009030000}">
      <text>
        <r>
          <rPr>
            <sz val="11"/>
            <color theme="1"/>
            <rFont val="Calibri"/>
            <family val="2"/>
            <scheme val="minor"/>
          </rPr>
          <t>======
ID#AAABDq5TrVw
YULIED.PENARANDA    (2023-11-09 13:07:33)
Magnitud física asociada a la reservas,  aplica para las meta con tipología suma, las cuales se pueden desagregar por los compromisos contraídos que al cierre de la vigencia fiscal no  se cumplierón.</t>
        </r>
      </text>
    </comment>
    <comment ref="D775" authorId="0" shapeId="0" xr:uid="{00000000-0006-0000-0500-00000A030000}">
      <text>
        <r>
          <rPr>
            <sz val="11"/>
            <color theme="1"/>
            <rFont val="Calibri"/>
            <family val="2"/>
            <scheme val="minor"/>
          </rPr>
          <t>======
ID#AAABDq5TrbQ
YULIED.PENARANDA    (2023-11-09 13:07:34)
Son compromisos legalmente contraídos que al cierre de la vigencia fiscal no se han atendido por no haberse completado las formalidades necesarias que hagan exigible el pago al terminarse el año.</t>
        </r>
      </text>
    </comment>
    <comment ref="D776" authorId="0" shapeId="0" xr:uid="{00000000-0006-0000-0500-00000B030000}">
      <text>
        <r>
          <rPr>
            <sz val="11"/>
            <color theme="1"/>
            <rFont val="Calibri"/>
            <family val="2"/>
            <scheme val="minor"/>
          </rPr>
          <t>======
ID#AAABDq5Trco
YULIED.PENARANDA    (2023-11-09 13:07:34)
Para las metas de tipología suma (vigencia *reservas). Para las demás tipos de metas se asocia el mismo dato de la vigencia.</t>
        </r>
      </text>
    </comment>
    <comment ref="D777" authorId="0" shapeId="0" xr:uid="{00000000-0006-0000-0500-00000C030000}">
      <text>
        <r>
          <rPr>
            <sz val="11"/>
            <color theme="1"/>
            <rFont val="Calibri"/>
            <family val="2"/>
            <scheme val="minor"/>
          </rPr>
          <t>======
ID#AAABDq5Trzg
YULIED.PENARANDA    (2023-11-09 13:07:34)
Se suma los recursos presupuestales (vigencia + reservas)</t>
        </r>
      </text>
    </comment>
    <comment ref="D778" authorId="0" shapeId="0" xr:uid="{00000000-0006-0000-0500-00000D030000}">
      <text>
        <r>
          <rPr>
            <sz val="11"/>
            <color theme="1"/>
            <rFont val="Calibri"/>
            <family val="2"/>
            <scheme val="minor"/>
          </rPr>
          <t>======
ID#AAABDq5TrDU
YULIED.PENARANDA    (2023-11-09 13:07:33)
Magnitud física de la meta proyecto de inversión, a programar o a realizar seguimiento, según la columna en que se reporte.</t>
        </r>
      </text>
    </comment>
    <comment ref="D779" authorId="0" shapeId="0" xr:uid="{00000000-0006-0000-0500-00000E030000}">
      <text>
        <r>
          <rPr>
            <sz val="11"/>
            <color theme="1"/>
            <rFont val="Calibri"/>
            <family val="2"/>
            <scheme val="minor"/>
          </rPr>
          <t>======
ID#AAABDq5Trgc
YULIED.PENARANDA    (2023-11-09 13:07:34)
Recursos presupuestales asignados para la vigencia en programación  y/o seguimiento, según la columna en que se reporte</t>
        </r>
      </text>
    </comment>
    <comment ref="D780" authorId="0" shapeId="0" xr:uid="{00000000-0006-0000-0500-00000F030000}">
      <text>
        <r>
          <rPr>
            <sz val="11"/>
            <color theme="1"/>
            <rFont val="Calibri"/>
            <family val="2"/>
            <scheme val="minor"/>
          </rPr>
          <t>======
ID#AAABDq5Trcg
YULIED.PENARANDA    (2023-11-09 13:07:34)
Magnitud física asociada a la reservas,  aplica para las meta con tipología suma, las cuales se pueden desagregar por los compromisos contraídos que al cierre de la vigencia fiscal no  se cumplierón.</t>
        </r>
      </text>
    </comment>
    <comment ref="D781" authorId="0" shapeId="0" xr:uid="{00000000-0006-0000-0500-000010030000}">
      <text>
        <r>
          <rPr>
            <sz val="11"/>
            <color theme="1"/>
            <rFont val="Calibri"/>
            <family val="2"/>
            <scheme val="minor"/>
          </rPr>
          <t>======
ID#AAABDq5TrAw
YULIED.PENARANDA    (2023-11-09 13:07:33)
Son compromisos legalmente contraídos que al cierre de la vigencia fiscal no se han atendido por no haberse completado las formalidades necesarias que hagan exigible el pago al terminarse el año.</t>
        </r>
      </text>
    </comment>
    <comment ref="D782" authorId="0" shapeId="0" xr:uid="{00000000-0006-0000-0500-000011030000}">
      <text>
        <r>
          <rPr>
            <sz val="11"/>
            <color theme="1"/>
            <rFont val="Calibri"/>
            <family val="2"/>
            <scheme val="minor"/>
          </rPr>
          <t>======
ID#AAABDq5Trd4
YULIED.PENARANDA    (2023-11-09 13:07:33)
Para las metas de tipología suma (vigencia *reservas). Para las demás tipos de metas se asocia el mismo dato de la vigencia.</t>
        </r>
      </text>
    </comment>
    <comment ref="D783" authorId="0" shapeId="0" xr:uid="{00000000-0006-0000-0500-000012030000}">
      <text>
        <r>
          <rPr>
            <sz val="11"/>
            <color theme="1"/>
            <rFont val="Calibri"/>
            <family val="2"/>
            <scheme val="minor"/>
          </rPr>
          <t>======
ID#AAABDq5TrrA
YULIED.PENARANDA    (2023-11-09 13:07:33)
Se suma los recursos presupuestales (vigencia + reservas)</t>
        </r>
      </text>
    </comment>
    <comment ref="D784" authorId="0" shapeId="0" xr:uid="{00000000-0006-0000-0500-000013030000}">
      <text>
        <r>
          <rPr>
            <sz val="11"/>
            <color theme="1"/>
            <rFont val="Calibri"/>
            <family val="2"/>
            <scheme val="minor"/>
          </rPr>
          <t>======
ID#AAABDq5TqzM
YULIED.PENARANDA    (2023-11-09 13:07:33)
Magnitud física de la meta proyecto de inversión, a programar o a realizar seguimiento, según la columna en que se reporte.</t>
        </r>
      </text>
    </comment>
    <comment ref="D785" authorId="0" shapeId="0" xr:uid="{00000000-0006-0000-0500-000014030000}">
      <text>
        <r>
          <rPr>
            <sz val="11"/>
            <color theme="1"/>
            <rFont val="Calibri"/>
            <family val="2"/>
            <scheme val="minor"/>
          </rPr>
          <t>======
ID#AAABDq5TrHk
YULIED.PENARANDA    (2023-11-09 13:07:33)
Recursos presupuestales asignados para la vigencia en programación  y/o seguimiento, según la columna en que se reporte</t>
        </r>
      </text>
    </comment>
    <comment ref="D786" authorId="0" shapeId="0" xr:uid="{00000000-0006-0000-0500-000015030000}">
      <text>
        <r>
          <rPr>
            <sz val="11"/>
            <color theme="1"/>
            <rFont val="Calibri"/>
            <family val="2"/>
            <scheme val="minor"/>
          </rPr>
          <t>======
ID#AAABDq5TrVc
YULIED.PENARANDA    (2023-11-09 13:07:33)
Magnitud física asociada a la reservas,  aplica para las meta con tipología suma, las cuales se pueden desagregar por los compromisos contraídos que al cierre de la vigencia fiscal no  se cumplierón.</t>
        </r>
      </text>
    </comment>
    <comment ref="D787" authorId="0" shapeId="0" xr:uid="{00000000-0006-0000-0500-000016030000}">
      <text>
        <r>
          <rPr>
            <sz val="11"/>
            <color theme="1"/>
            <rFont val="Calibri"/>
            <family val="2"/>
            <scheme val="minor"/>
          </rPr>
          <t>======
ID#AAABDq5TrJ0
YULIED.PENARANDA    (2023-11-09 13:07:33)
Son compromisos legalmente contraídos que al cierre de la vigencia fiscal no se han atendido por no haberse completado las formalidades necesarias que hagan exigible el pago al terminarse el año.</t>
        </r>
      </text>
    </comment>
    <comment ref="D788" authorId="0" shapeId="0" xr:uid="{00000000-0006-0000-0500-000017030000}">
      <text>
        <r>
          <rPr>
            <sz val="11"/>
            <color theme="1"/>
            <rFont val="Calibri"/>
            <family val="2"/>
            <scheme val="minor"/>
          </rPr>
          <t>======
ID#AAABDq5TrTc
YULIED.PENARANDA    (2023-11-09 13:07:34)
Para las metas de tipología suma (vigencia *reservas). Para las demás tipos de metas se asocia el mismo dato de la vigencia.</t>
        </r>
      </text>
    </comment>
    <comment ref="D789" authorId="0" shapeId="0" xr:uid="{00000000-0006-0000-0500-000018030000}">
      <text>
        <r>
          <rPr>
            <sz val="11"/>
            <color theme="1"/>
            <rFont val="Calibri"/>
            <family val="2"/>
            <scheme val="minor"/>
          </rPr>
          <t>======
ID#AAABDq5TrTM
YULIED.PENARANDA    (2023-11-09 13:07:34)
Se suma los recursos presupuestales (vigencia + reservas)</t>
        </r>
      </text>
    </comment>
    <comment ref="D790" authorId="0" shapeId="0" xr:uid="{00000000-0006-0000-0500-000019030000}">
      <text>
        <r>
          <rPr>
            <sz val="11"/>
            <color theme="1"/>
            <rFont val="Calibri"/>
            <family val="2"/>
            <scheme val="minor"/>
          </rPr>
          <t>======
ID#AAABDq5Tq2w
YULIED.PENARANDA    (2023-11-09 13:07:33)
Magnitud física de la meta proyecto de inversión, a programar o a realizar seguimiento, según la columna en que se reporte.</t>
        </r>
      </text>
    </comment>
    <comment ref="D791" authorId="0" shapeId="0" xr:uid="{00000000-0006-0000-0500-00001A030000}">
      <text>
        <r>
          <rPr>
            <sz val="11"/>
            <color theme="1"/>
            <rFont val="Calibri"/>
            <family val="2"/>
            <scheme val="minor"/>
          </rPr>
          <t>======
ID#AAABDq5TrqE
YULIED.PENARANDA    (2023-11-09 13:07:34)
Recursos presupuestales asignados para la vigencia en programación  y/o seguimiento, según la columna en que se reporte</t>
        </r>
      </text>
    </comment>
    <comment ref="D792" authorId="0" shapeId="0" xr:uid="{00000000-0006-0000-0500-00001B030000}">
      <text>
        <r>
          <rPr>
            <sz val="11"/>
            <color theme="1"/>
            <rFont val="Calibri"/>
            <family val="2"/>
            <scheme val="minor"/>
          </rPr>
          <t>======
ID#AAABDq5Tq-g
YULIED.PENARANDA    (2023-11-09 13:07:34)
Magnitud física asociada a la reservas,  aplica para las meta con tipología suma, las cuales se pueden desagregar por los compromisos contraídos que al cierre de la vigencia fiscal no  se cumplierón.</t>
        </r>
      </text>
    </comment>
    <comment ref="D793" authorId="0" shapeId="0" xr:uid="{00000000-0006-0000-0500-00001C030000}">
      <text>
        <r>
          <rPr>
            <sz val="11"/>
            <color theme="1"/>
            <rFont val="Calibri"/>
            <family val="2"/>
            <scheme val="minor"/>
          </rPr>
          <t>======
ID#AAABDq5TrcI
YULIED.PENARANDA    (2023-11-09 13:07:34)
Son compromisos legalmente contraídos que al cierre de la vigencia fiscal no se han atendido por no haberse completado las formalidades necesarias que hagan exigible el pago al terminarse el año.</t>
        </r>
      </text>
    </comment>
    <comment ref="D794" authorId="0" shapeId="0" xr:uid="{00000000-0006-0000-0500-00001D030000}">
      <text>
        <r>
          <rPr>
            <sz val="11"/>
            <color theme="1"/>
            <rFont val="Calibri"/>
            <family val="2"/>
            <scheme val="minor"/>
          </rPr>
          <t>======
ID#AAABDq5Tqyo
YULIED.PENARANDA    (2023-11-09 13:07:34)
Para las metas de tipología suma (vigencia *reservas). Para las demás tipos de metas se asocia el mismo dato de la vigencia.</t>
        </r>
      </text>
    </comment>
    <comment ref="D795" authorId="0" shapeId="0" xr:uid="{00000000-0006-0000-0500-00001E030000}">
      <text>
        <r>
          <rPr>
            <sz val="11"/>
            <color theme="1"/>
            <rFont val="Calibri"/>
            <family val="2"/>
            <scheme val="minor"/>
          </rPr>
          <t>======
ID#AAABDq5Tq9I
YULIED.PENARANDA    (2023-11-09 13:07:34)
Se suma los recursos presupuestales (vigencia + reservas)</t>
        </r>
      </text>
    </comment>
    <comment ref="D796" authorId="0" shapeId="0" xr:uid="{00000000-0006-0000-0500-00001F030000}">
      <text>
        <r>
          <rPr>
            <sz val="11"/>
            <color theme="1"/>
            <rFont val="Calibri"/>
            <family val="2"/>
            <scheme val="minor"/>
          </rPr>
          <t>======
ID#AAABDq5TrE0
YULIED.PENARANDA    (2023-11-09 13:07:33)
Verificar que los totales coincidan con los reportados en el componente de inversión</t>
        </r>
      </text>
    </comment>
    <comment ref="D797" authorId="0" shapeId="0" xr:uid="{00000000-0006-0000-0500-000020030000}">
      <text>
        <r>
          <rPr>
            <sz val="11"/>
            <color theme="1"/>
            <rFont val="Calibri"/>
            <family val="2"/>
            <scheme val="minor"/>
          </rPr>
          <t>======
ID#AAABDq5Trpw
YULIED.PENARANDA    (2023-11-09 13:07:34)
Verificar que los totales coincidan con los reportados en el componente de inversión</t>
        </r>
      </text>
    </comment>
    <comment ref="D798" authorId="0" shapeId="0" xr:uid="{00000000-0006-0000-0500-000021030000}">
      <text>
        <r>
          <rPr>
            <sz val="11"/>
            <color theme="1"/>
            <rFont val="Calibri"/>
            <family val="2"/>
            <scheme val="minor"/>
          </rPr>
          <t>======
ID#AAABDq5TrJI
YULIED.PENARANDA    (2023-11-09 13:07:33)
Verificar que los totales coincidan con los reportados en el componente de inversión</t>
        </r>
      </text>
    </comment>
  </commentList>
</comments>
</file>

<file path=xl/sharedStrings.xml><?xml version="1.0" encoding="utf-8"?>
<sst xmlns="http://schemas.openxmlformats.org/spreadsheetml/2006/main" count="9771" uniqueCount="1647">
  <si>
    <t>DIRECCIONAMIENTO ESTRATÉGICO</t>
  </si>
  <si>
    <t>Formato: Programación, Actualización y Seguimiento del Plan de Acción -  Componente de gestión</t>
  </si>
  <si>
    <t>Código: PE01-PR02-F2</t>
  </si>
  <si>
    <t xml:space="preserve"> Versión : 14</t>
  </si>
  <si>
    <t>DEPENDENCIA:</t>
  </si>
  <si>
    <t>CÓDIGO Y NOMBRE PROYECTO:</t>
  </si>
  <si>
    <t>Proyecto 7794 - Fortalecimiento de la gestión ambiental sectorial, el ecourbanismo y cambio climático en el D.C.</t>
  </si>
  <si>
    <t>Propósito Plan de Desarrollo</t>
  </si>
  <si>
    <t>Propósito 02: Cambiar nuestros hábitos de vida para reverdecer a Bogotá y adaptarnos y mitigar la crisis climática</t>
  </si>
  <si>
    <t>Programa Plan de Desarrollo</t>
  </si>
  <si>
    <t>Programa Cambio Cultural para la gestión de la crisis climática</t>
  </si>
  <si>
    <t>1. ESTRUCTURA DEL PLAN DE DESARROLLO</t>
  </si>
  <si>
    <t>2. PROGRAMACIÓN Y EJECUCIÓN</t>
  </si>
  <si>
    <t>3, % CUMPLIMIENTO 
(En el periodo)</t>
  </si>
  <si>
    <t>4, % CUMPLIMIENTO ACUMULADO (al periodo)</t>
  </si>
  <si>
    <t>5, % CUMPLIMIENTO ACUMULADO (Vigencia) SEGPLAN</t>
  </si>
  <si>
    <r>
      <rPr>
        <b/>
        <sz val="14"/>
        <color theme="1"/>
        <rFont val="Arial"/>
        <family val="2"/>
      </rPr>
      <t xml:space="preserve">6, % CUMPLIMIENTO ACUMULADO (al periodo) </t>
    </r>
    <r>
      <rPr>
        <b/>
        <sz val="16"/>
        <color theme="1"/>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</si>
  <si>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</si>
  <si>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</si>
  <si>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</si>
  <si>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</si>
  <si>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</si>
  <si>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</si>
  <si>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</si>
  <si>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</si>
  <si>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</si>
  <si>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</si>
  <si>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</si>
  <si>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</si>
  <si>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</si>
  <si>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</si>
  <si>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</si>
  <si>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</si>
  <si>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</si>
  <si>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</si>
  <si>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</si>
  <si>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</si>
  <si>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</si>
  <si>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</si>
  <si>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</si>
  <si>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</si>
  <si>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</si>
  <si>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</si>
  <si>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</si>
  <si>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</si>
  <si>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</si>
  <si>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</si>
  <si>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</si>
  <si>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</si>
  <si>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</si>
  <si>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</si>
  <si>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</si>
  <si>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</si>
  <si>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</si>
  <si>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</si>
  <si>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</si>
  <si>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</si>
  <si>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</si>
  <si>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</si>
  <si>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</si>
  <si>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</si>
  <si>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</si>
  <si>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</si>
  <si>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</si>
  <si>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</si>
  <si>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</si>
  <si>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</si>
  <si>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</si>
  <si>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</si>
  <si>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</si>
  <si>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</si>
  <si>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</si>
  <si>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</si>
  <si>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</si>
  <si>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</si>
  <si>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</si>
  <si>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</si>
  <si>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</si>
  <si>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</si>
  <si>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</si>
  <si>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</si>
  <si>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</si>
  <si>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</si>
  <si>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2021</t>
  </si>
  <si>
    <t>EJECUTADO ACUMUALDO AL PERIODO
 AÑO 2021</t>
  </si>
  <si>
    <t>PROGRAMADO ACUMULADO SEGPLAN
AÑO 2021</t>
  </si>
  <si>
    <t>EJECUTADO ACUMUALDO  SEGPLAN
 AÑO 2021</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</si>
  <si>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</si>
  <si>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</si>
  <si>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</si>
  <si>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</si>
  <si>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</si>
  <si>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</si>
  <si>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</si>
  <si>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</si>
  <si>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</si>
  <si>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</si>
  <si>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</si>
  <si>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</si>
  <si>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</si>
  <si>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</si>
  <si>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</si>
  <si>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</si>
  <si>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</si>
  <si>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</si>
  <si>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</si>
  <si>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</si>
  <si>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</si>
  <si>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</si>
  <si>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</si>
  <si>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</si>
  <si>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</si>
  <si>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2022</t>
  </si>
  <si>
    <t>EJECUTADO ACUMUALDO AL PERIODO
 AÑO 2022</t>
  </si>
  <si>
    <t>PROGRAMADO ACUMULADO SEGPLAN
AÑO 2022</t>
  </si>
  <si>
    <t>EJECUTADO ACUMUALDO  SEGPLAN
 AÑO 2022</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</si>
  <si>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</si>
  <si>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</si>
  <si>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</si>
  <si>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</si>
  <si>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</si>
  <si>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</si>
  <si>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</si>
  <si>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</si>
  <si>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</si>
  <si>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</si>
  <si>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</si>
  <si>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</si>
  <si>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</si>
  <si>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</si>
  <si>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</si>
  <si>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</si>
  <si>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</si>
  <si>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</si>
  <si>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</si>
  <si>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</si>
  <si>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</si>
  <si>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</si>
  <si>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</si>
  <si>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</si>
  <si>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</si>
  <si>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2023</t>
  </si>
  <si>
    <t>EJECUTADO ACUMUALDO AL PERIODO
 AÑO 2023</t>
  </si>
  <si>
    <t>PROGRAMADO ACUMULADO SEGPLAN
AÑO 2023</t>
  </si>
  <si>
    <t>EJECUTADO ACUMUALDO  SEGPLAN
 AÑO 2023</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</si>
  <si>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</si>
  <si>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</si>
  <si>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</si>
  <si>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</si>
  <si>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</si>
  <si>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</si>
  <si>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</si>
  <si>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</si>
  <si>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</si>
  <si>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</si>
  <si>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</si>
  <si>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</si>
  <si>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</si>
  <si>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</si>
  <si>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</si>
  <si>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</si>
  <si>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</si>
  <si>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</si>
  <si>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</si>
  <si>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</si>
  <si>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</si>
  <si>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</si>
  <si>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</si>
  <si>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</si>
  <si>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</si>
  <si>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2024</t>
  </si>
  <si>
    <t>EJECUTADO ACUMUALDO AL PERIODO
 AÑO 2024</t>
  </si>
  <si>
    <t>PROGRAMADO ACUMULADO SEGPLAN
AÑO 2024</t>
  </si>
  <si>
    <t>EJECUTADO ACUMUALDO  SEGPLAN
 AÑO 2024</t>
  </si>
  <si>
    <t>Articular e implementar el Plan de Acción Climática Bogotá D.C. 2020-2050 incluyendo la gestión necesaria para lograr una reducción de por lo menos 15% en la emisión de gases de efecto invernadero de Bogotá para 2024, incluyendo herramientas como la participación de la ciudad en los mercados de carbono.</t>
  </si>
  <si>
    <t>Número de estrategias consolidadas e implementadas</t>
  </si>
  <si>
    <t>Número</t>
  </si>
  <si>
    <t>SUMA</t>
  </si>
  <si>
    <t>N/A</t>
  </si>
  <si>
    <t>Implementar una (1) Estrategia Distrital de Crecimiento Verde con enfoque de sostenibilidad ambiental e innovación que impulse la eficiencia energética, las fuentes no convencionales de energías renovables y la economía circular de manera articulada con los grandes y pequeños generadores y consumidores y que incorpore un sistema de
monitoreo para medir la transición hacia un crecimiento verde y el cumplimiento de los ODS</t>
  </si>
  <si>
    <t>Numero de estrategias distritales de crecimiento verde implementadas</t>
  </si>
  <si>
    <t>La implementación de una Estrategia Distrital de Crecimiento Verde permitirá realizar acciones que incentiven la competitividad en el sector empresarial con la sostenibilidad en el uso de los recursos, menor generación en impactos ambientales y con la promoción de nuevas oportunidades de negocios basados en el aprovechamiento sostenible del capital natural.</t>
  </si>
  <si>
    <t>Archivo de gestión SEGAE.</t>
  </si>
  <si>
    <t>Realizar la gestión y seguimiento a la aplicación de los  determinantes ambientales en 1.000 proyectos de ciudad tomando en cuenta medidas de adaptación y mitigación a la crisis climática.</t>
  </si>
  <si>
    <t>Número de proyectos de ciudad con gestión para la incorporación de determinantes ambientales con medidas de mitigación y adaptación al cambio climático.</t>
  </si>
  <si>
    <t>Numero</t>
  </si>
  <si>
    <t>La aplicación y seguimiento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</si>
  <si>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</si>
  <si>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Numero de proyectos de ciudad con seguimiento de la aplicación de los determinantes ambientales</t>
  </si>
  <si>
    <t>La Secretaría Distrital de Ambiente ha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</si>
  <si>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Reverdecer 20.000 m2 en la ciudad a través del fortalecimiento de la infraestructura vegetada</t>
  </si>
  <si>
    <t>M2 reverdecidos en la ciudad a través del fortalecimiento de la infraestructura vegetada (techos verdes y jardines verticales con acompañamiento técnico)</t>
  </si>
  <si>
    <t>M2</t>
  </si>
  <si>
    <t>El acompañamiento técnico a techos verdes y jardines verticales, promueve la conservación y mejoramiento de estas estructuras, las cuales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</si>
  <si>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</si>
  <si>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</si>
  <si>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</si>
  <si>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</si>
  <si>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</si>
  <si>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</si>
  <si>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</si>
  <si>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imponentes de Gestión e Inversión</t>
  </si>
  <si>
    <t>Radicado No. 2021IE106063 del 31 de mayo del 2021.</t>
  </si>
  <si>
    <t>Formato: Programación, Actualización y Seguimiento del Plan de Acción -Componente de Inversión</t>
  </si>
  <si>
    <t>Versión : 14</t>
  </si>
  <si>
    <t>SUBDIRECCION DE ECOURBANISMO Y GESTIÓN AMBIENTAL EMPRESARIAL</t>
  </si>
  <si>
    <t xml:space="preserve"> </t>
  </si>
  <si>
    <t>1,  INFORMACIÓN META DE PROYECTO</t>
  </si>
  <si>
    <t>2, PROGRAMACIÓN Y EJECUCIÓN</t>
  </si>
  <si>
    <t>6, % CUMPLIMIENTO ACUMULADO (al periodo)DEL CUATRIENIO</t>
  </si>
  <si>
    <t xml:space="preserve">9. RETRASOS 
</t>
  </si>
  <si>
    <t xml:space="preserve">10. SOLUCIONES PLANTEADAS </t>
  </si>
  <si>
    <t>11.  BENEFICIOS</t>
  </si>
  <si>
    <t>12.  FUENTE DE EVIDENCIAS</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</si>
  <si>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</si>
  <si>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</si>
  <si>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</si>
  <si>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</si>
  <si>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</si>
  <si>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</si>
  <si>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</si>
  <si>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</si>
  <si>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</si>
  <si>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</si>
  <si>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</si>
  <si>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</si>
  <si>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</si>
  <si>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</si>
  <si>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</si>
  <si>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</si>
  <si>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</si>
  <si>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</si>
  <si>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</si>
  <si>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</si>
  <si>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</si>
  <si>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</si>
  <si>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</si>
  <si>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</si>
  <si>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</si>
  <si>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</si>
  <si>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</si>
  <si>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</si>
  <si>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</si>
  <si>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</si>
  <si>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</si>
  <si>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</si>
  <si>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</si>
  <si>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</si>
  <si>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</si>
  <si>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</si>
  <si>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</si>
  <si>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</si>
  <si>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</si>
  <si>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</si>
  <si>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</si>
  <si>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</si>
  <si>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</si>
  <si>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</si>
  <si>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</si>
  <si>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</si>
  <si>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</si>
  <si>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</si>
  <si>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</si>
  <si>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</si>
  <si>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</si>
  <si>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</si>
  <si>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</si>
  <si>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</si>
  <si>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</si>
  <si>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</si>
  <si>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</si>
  <si>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</si>
  <si>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</si>
  <si>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</si>
  <si>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</si>
  <si>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</si>
  <si>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</si>
  <si>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</si>
  <si>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</si>
  <si>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</si>
  <si>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</si>
  <si>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</si>
  <si>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</si>
  <si>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</si>
  <si>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</si>
  <si>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</si>
  <si>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</si>
  <si>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</si>
  <si>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</si>
  <si>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</si>
  <si>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</si>
  <si>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</si>
  <si>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</si>
  <si>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</si>
  <si>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</si>
  <si>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 xml:space="preserve">PROGRAMADO </t>
    </r>
    <r>
      <rPr>
        <b/>
        <sz val="14"/>
        <color theme="1"/>
        <rFont val="Arial"/>
        <family val="2"/>
      </rPr>
      <t>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</si>
  <si>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</si>
  <si>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</si>
  <si>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</si>
  <si>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</si>
  <si>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</si>
  <si>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</si>
  <si>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</si>
  <si>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</si>
  <si>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</si>
  <si>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</si>
  <si>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</si>
  <si>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</si>
  <si>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</si>
  <si>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</si>
  <si>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</si>
  <si>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</si>
  <si>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</si>
  <si>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</si>
  <si>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</si>
  <si>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</si>
  <si>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</si>
  <si>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</si>
  <si>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</si>
  <si>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</si>
  <si>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</si>
  <si>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</si>
  <si>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</si>
  <si>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</si>
  <si>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</si>
  <si>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</si>
  <si>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</si>
  <si>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</si>
  <si>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</si>
  <si>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</si>
  <si>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</si>
  <si>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</si>
  <si>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</si>
  <si>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</si>
  <si>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</si>
  <si>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</si>
  <si>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</si>
  <si>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</si>
  <si>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Ecourbanismo y construcción sostenible</t>
  </si>
  <si>
    <t>Realizar a 600 proyectos de infraestructura, la gestión para la aplicación de determinantes ambientales.</t>
  </si>
  <si>
    <t>MAGNITUD  FÍSICA</t>
  </si>
  <si>
    <t>La aplicación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</si>
  <si>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Archivo de Gestión SEGAE.</t>
  </si>
  <si>
    <t>PRESUPUESTO VIGENCIA</t>
  </si>
  <si>
    <t>GIRO VIGENCIA</t>
  </si>
  <si>
    <t>MAGNITUD FÍSICA RESERVAS</t>
  </si>
  <si>
    <t>RESERVA PRESUPUESTAL</t>
  </si>
  <si>
    <t>TOTAL MAGNITUD FÍSICA</t>
  </si>
  <si>
    <t>TOTAL PRESUPUESTO DE LA META</t>
  </si>
  <si>
    <t>Realizar a 400 proyectos de infraestructura en etapa de operación, el seguimiento a la incorporación de determinantes ambientales.</t>
  </si>
  <si>
    <t>La Secretaría Distrital de Ambiente ha realizado importantes esfuerzos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</si>
  <si>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Realizar a 20000 m2 de techos verdes y jardines verticales, el acompañamiento técnico</t>
  </si>
  <si>
    <t>El acompañamiento técnico a techos verdes y jardines verticales, promueve la conservación y mejoramiento de estas estructuras, las cuales ofrecen múltiples beneficios ambientales (Ejemplo: Retienen el agua lluvia, mitigan el efecto isla de calor, absorben el ruido), sociales (Ejemplo: Mejoran el paisaje urbano, aumentan el área verde de la ciudad, mejoran la calidad de vida) y económicos (Ejemplo: Mantienen la comodidad térmica al interior de las edificaciones, evitando el uso de calefactores, valorizan el predio, permiten integrarse con sistemas de aprovechamiento de agua lluvia, ahorrando consumo de agua), para la ciudad y sus habitantes.</t>
  </si>
  <si>
    <t>Gestión Ambiental Empresarial</t>
  </si>
  <si>
    <t>Diseñar y hacer seguimiento a  1 estrategia de crecimiento verde con enfoque de sostenibilidad, economía circular  e innovación</t>
  </si>
  <si>
    <t>CRECIENTE</t>
  </si>
  <si>
    <t>Asistir a 800 proyectos participantes de programas voluntarios ofrecidos por la SEGAE, para el mejoramiento del desempeño ambiental.</t>
  </si>
  <si>
    <t xml:space="preserve">El mejoramiento ambiental de las organizaciones a partir de estrategias de prevención, que permitan minimizar el impacto ambiental generado en la ciudad. </t>
  </si>
  <si>
    <t>Acompañar y promover a 100 empresas en el proceso de verificación de los criterios de Negocios verdes.</t>
  </si>
  <si>
    <t>Permite promover el fortalecimiento de actividades económicas que ofrecen bienes o servicios que generan impactos ambientales positivos y que, además, incorpora buenas prácticas ambientales, sociales, económicas, con enfoque de ciclo de vida, contribuyendo al consumo sostenible y a la conservación del ambiente como capital natural que soporta el desarrollo de la región y la estrategia de crecimiento verde.</t>
  </si>
  <si>
    <t>Desarrollar 7 proyectos pilotos de economía circular en sectores productivos priorizados</t>
  </si>
  <si>
    <t>Avanza en la transición de una economía lineal hacía una economía circular en sectores económicos priorizados, a través de la reincorporación y valorización de materiales y residuos, así como en la incorporación de energías renovables y el uso eficiente de la energía eléctrica.</t>
  </si>
  <si>
    <t>Desarrollar 9 proyectos de producción más limpia en los sectores priorizados</t>
  </si>
  <si>
    <t>El principal beneficio asociado al desarrollo de 9 proyectos de producción más limpia en los sectores priorizados se encuentra relacionado con el apoyo a la ordenación de la cuenca del Río Bogotá con el ánimo de solucionar su estado de contaminación.  Es así como, a partir de la aprobación del ajuste y actualización del Plan de Ordenación y Manejo de la Cuenca Hidrográfica del río Bogotá - POMCA, se busca la implementación de proyectos de producción mas limpia a través de la optimización y desarrollo de buenas prácticas ambientales de los procesos industriales en Pymes de metalurgia y curtiembres en Bogotá, al igual que, el apoyo técnico y seguimiento socio ambiental de las actividades minero industriales; lo que a su vez contribuye con la descontaminación del río Bogotá.</t>
  </si>
  <si>
    <t>Archivos de gestión SEGAE</t>
  </si>
  <si>
    <t xml:space="preserve">Plan de Acción Climática para Bogotá D.C. 2020 - 2050. </t>
  </si>
  <si>
    <t xml:space="preserve">Articular y consolidar 1 Plan de Acción Climática para Bogotá D.C. 2020 - 2050.
</t>
  </si>
  <si>
    <t>Meta finalizada por cumplimiento al 100% en la vigencia 2021
Durante la vigencia 2021 se realizaron reuniones de socialización de las Acciones de Adaptación y Mitigación del Cambio climático que se caracterizaron en la versión inicial del Plan de Acción Climática para Bogotá 2020 - 2050 con el objetivo de ser validadas por los diferentes sectores responsables de su implementación. De manera adicional se validaron y consolidaron  las acciones de Adaptación y Mitigación que conforman el Plan de Acción Climática para Bogotá 2020 - 2050 con los actores de los diferentes sectores del Distrito capital. Con estas acciones se avanza en el 0,1 de ejecución logrando a cabalidad el cumplimiento de la meta.</t>
  </si>
  <si>
    <t>Los cambios que se presentan en el clima son tanto naturales como resultado de actividades humanas, pero últimamente son estos últimos los que más aceleran el proceso, conscientes de la situación y el escenario que ello genera, el Plan de Desarrollo Distrital determina avanzar en la estructuración de un plan de acción climática para Bogotá D.C., con un horizonte a 2050, que contribuya con lineamientos y acciones concretas de adaptación y mitigación, para hacer frente a los efectos del calentamiento global. Para ello, se tendrá como uno de los referentes principales el Plan Distrital de Gestión del Riesgo de Desastres y del Cambio Climático para Bogotá D.C., 2018-2030</t>
  </si>
  <si>
    <t>Archivo de gestión DCA</t>
  </si>
  <si>
    <t>Implementar al 100% de las acciones priorizadas del Plan de Acción Climática para Bogotá D.C. 2020 - 2050.</t>
  </si>
  <si>
    <t>La ciudad cuenta con un Plan de Acción Climática y con una Política Pública de Acción Climática con horizonte a 2050 que plantean acciones de mitigación y de adaptación al cambio climático, así como otras para la gobernanza y el conocimiento, a fin de enfrentar, de la mejor manera, sus efectos y favorecer la resiliencia.</t>
  </si>
  <si>
    <t>Presentaciones y actas de reuniones, documentos técnicos, informes de convenios y contratos, reportes de emergencias respondidas por la entidad, informes de seguimiento y de evaluación del PACA, informes de gestión, reportes de seguimiento, documento CONPES Distrital 31 .</t>
  </si>
  <si>
    <t>TOTAL PROYECTO</t>
  </si>
  <si>
    <t>TOTAL PRESUPUESTO VIGENCIA  DEL PROYECTO</t>
  </si>
  <si>
    <t>TOTAL RESERVA PRESUPUESTAL DEL PROYECTO</t>
  </si>
  <si>
    <t>TOTAL PROYECTO VIGENCIA + RESERVAS</t>
  </si>
  <si>
    <t>Formato: Programación, Actualización y Seguimiento del Plan de Acción - Componente de Actividades</t>
  </si>
  <si>
    <t>Codigo:PE01-PR02-F2</t>
  </si>
  <si>
    <r>
      <rPr>
        <b/>
        <sz val="20"/>
        <color theme="1"/>
        <rFont val="Arial"/>
        <family val="2"/>
      </rPr>
      <t>Versión:</t>
    </r>
    <r>
      <rPr>
        <b/>
        <sz val="20"/>
        <color rgb="FFFF0000"/>
        <rFont val="Arial"/>
        <family val="2"/>
      </rPr>
      <t xml:space="preserve"> </t>
    </r>
    <r>
      <rPr>
        <b/>
        <sz val="20"/>
        <color theme="1"/>
        <rFont val="Arial"/>
        <family val="2"/>
      </rPr>
      <t>14</t>
    </r>
  </si>
  <si>
    <t>7794 - Fortalecimiento de la gestión ambiental sectorial, el ecourbanismo y cambio climático en el D.C. Bogotá.</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</si>
  <si>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</si>
  <si>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</si>
  <si>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</si>
  <si>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</si>
  <si>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</si>
  <si>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</si>
  <si>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</si>
  <si>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</si>
  <si>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</si>
  <si>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</si>
  <si>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</si>
  <si>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</si>
  <si>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</si>
  <si>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</si>
  <si>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</si>
  <si>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</si>
  <si>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</si>
  <si>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</si>
  <si>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</si>
  <si>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</si>
  <si>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</si>
  <si>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</si>
  <si>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</si>
  <si>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Realizar el acompañamiento para la incorporación de criterios y determinantes ambientales en proyectos de construcción.</t>
  </si>
  <si>
    <t>X</t>
  </si>
  <si>
    <t>Programado</t>
  </si>
  <si>
    <t>Ejecutado</t>
  </si>
  <si>
    <t>2. Verificar  la incorporación de  criterios y determinantes ambientales en proyectos de construcción.</t>
  </si>
  <si>
    <t>3. Realizar el acompañamiento técnico a  techos verdes y jardines verticales en la Ciudad.</t>
  </si>
  <si>
    <t>6. Brindar asistencia técnica para la formulación y desarrollo de proyectos ambientales para el mejoramiento del desempeño ambiental en empresas participantes de programas voluntarios ofrecidos por la SEGAE.</t>
  </si>
  <si>
    <t>7. Desarrollar las actividades programadas en cada convocatoria del Programa de Excelencia Ambiental Distrital - PREAD.</t>
  </si>
  <si>
    <t>10. Verificación y seguimiento a los criterios de negocios verdes.</t>
  </si>
  <si>
    <t>11. Mesas de articulación con actores gremiales, académicos e interinstitucionales.</t>
  </si>
  <si>
    <t>15. Realizar acciones generales y orientadoras para la gestión del cambio climático.</t>
  </si>
  <si>
    <t>16. Ejecutar acciones de gestión del riesgo por incendio forestal.</t>
  </si>
  <si>
    <t>17. Activar la respuesta a las emergencias de los servicios básicos en los que la SDA actúa como responsable ejecutor.</t>
  </si>
  <si>
    <t>18. Promover la implementación de los instrumentos de planeación de gestión ambiental PIGA y PACA en las entidades del Distrito Capital.</t>
  </si>
  <si>
    <t>19. Implementación y seguimiento a las acciones orientados a recuperar, administrar y manejar ambientalmente los “Suelos de Protección por Riesgo no Mitigable” del Distrito Capital.</t>
  </si>
  <si>
    <t xml:space="preserve">TOTAL </t>
  </si>
  <si>
    <t>Formato: Programación, Actualización y Seguimiento del Plan de Acción - Componente de  Territorialización</t>
  </si>
  <si>
    <t>Versión: 14</t>
  </si>
  <si>
    <t>7794 - Fortalecimiento de la gestión ambiental sectorial, el ecourbanismo y cambio climático en el D.C.Bogotá</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</si>
  <si>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</si>
  <si>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</si>
  <si>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</si>
  <si>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</si>
  <si>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</si>
  <si>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</si>
  <si>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</si>
  <si>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</si>
  <si>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</si>
  <si>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</si>
  <si>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</si>
  <si>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</si>
  <si>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</si>
  <si>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</si>
  <si>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</si>
  <si>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</si>
  <si>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</si>
  <si>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</si>
  <si>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</si>
  <si>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</si>
  <si>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</si>
  <si>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</si>
  <si>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</si>
  <si>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</si>
  <si>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</si>
  <si>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</si>
  <si>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</si>
  <si>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</si>
  <si>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</si>
  <si>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</si>
  <si>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</si>
  <si>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</si>
  <si>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LOCALIDADES: Mediante esta meta se emitirán determinantes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</si>
  <si>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DISTRITAL</t>
  </si>
  <si>
    <t>DISTRITO CAPITAL</t>
  </si>
  <si>
    <t>1. Política Pública de Ecourbanismo y Construcción Sostenible, Política Distrital del Agua, Plan Distrital de Gestión del Riesgo de Desastres y del Cambio Climático – PDGRDCC.</t>
  </si>
  <si>
    <t>SIN DEFINIR</t>
  </si>
  <si>
    <t>Esta meta no realiza la definición de la población, dado que los determinantes ambientales se emiten en una etapa previa de diseño y formulación, por lo que no se tiene certeza de que el proyecto sea ejecutado, si sufrirá modificaciones y la población que será beneficiada finalmente,
 Esta meta es atendida por demanda, por lo que solo a finalizar cada mes se puede definir las zonas beneficiadas, la territorialización de la meta se realiza a escala de localidad, dado que  la incorporación de criterios de ecourbanismo y sostenibilidad ambiental en proyecto de infraestructura genera beneficios intrínsecos y complejos de definir su impacto, dado que no todos los proyectos incorporan los mismo determintes y requeriría de estudios especializados por cada proyecto, para calcular los beneficios ambientales y la población beneficiada, lo cual desborda lo programado en la meta.</t>
  </si>
  <si>
    <t>1-USAQUEN</t>
  </si>
  <si>
    <t>1- USAQUÉN</t>
  </si>
  <si>
    <t>Shapefile tipo polígono</t>
  </si>
  <si>
    <t xml:space="preserve"> (Remitirse a carpeta denominada:</t>
  </si>
  <si>
    <t>DISPONIBLE EN EL SIGUIENTE ENLACE: DRIVE SDA</t>
  </si>
  <si>
    <t xml:space="preserve">https://drive.google.com/drive/u/1/folders/1ni390p2SPGzsHn8uJ2qsVs4DLWMzmCEf      </t>
  </si>
  <si>
    <t xml:space="preserve">                        </t>
  </si>
  <si>
    <t>CANDELARIA</t>
  </si>
  <si>
    <t>17-LA CANDELARIA</t>
  </si>
  <si>
    <t>UPZ94</t>
  </si>
  <si>
    <t>SANTA BARBARA</t>
  </si>
  <si>
    <t>2-CHAPINERO</t>
  </si>
  <si>
    <t>2- CHAPINERO</t>
  </si>
  <si>
    <t>3- SANTA FE</t>
  </si>
  <si>
    <t>3- SANTA FÉ</t>
  </si>
  <si>
    <t>TMI  LAS CRUCES  CRUZA  PPRU CENTRO SAN BERNARDO</t>
  </si>
  <si>
    <t>4- SAN CRISTOBAL</t>
  </si>
  <si>
    <t>4-SAN CRISTOBAL</t>
  </si>
  <si>
    <t>(Remitirse a carpeta denominada:</t>
  </si>
  <si>
    <t>5-USME</t>
  </si>
  <si>
    <t>5- USME</t>
  </si>
  <si>
    <t>6-TUNJUELITO</t>
  </si>
  <si>
    <t xml:space="preserve">
UPZ 62
UPZ 42
</t>
  </si>
  <si>
    <t xml:space="preserve">
SANTA LUCIA
SAN CARLOS
TUNAL ORIENTAL
</t>
  </si>
  <si>
    <t xml:space="preserve">
PROYECTO JARDINERIA URNABA TUNJUELITO DENTRO TMI Rafael Uribe - Tunjuelito
 Barrio Vital San Carlos DENTRO MACROTERRITORIO (6) Rafael Uribe - Tunjuelito
TMI TUNJUELITO (Contrato de obra IDU 1639/2019)</t>
  </si>
  <si>
    <t>7- BOSA</t>
  </si>
  <si>
    <t>7-BOSA</t>
  </si>
  <si>
    <t>8-KENNEDY</t>
  </si>
  <si>
    <t>9- FONTIBÓN</t>
  </si>
  <si>
    <t>10-ENGATIVÁ</t>
  </si>
  <si>
    <t>10-ENGATIVA</t>
  </si>
  <si>
    <t>11-SUBA</t>
  </si>
  <si>
    <t>12-BARRIOS UNIDOS</t>
  </si>
  <si>
    <t>13-TEUSAQUILLO</t>
  </si>
  <si>
    <t xml:space="preserve">UPZ 100
UPZ 109
UPZ 104
UPZ 101
UPZ 107
</t>
  </si>
  <si>
    <t>GALERIAS
CIUDAD SALITRE SUR-ORIENTAL
CENTRO ADMINISTRATIVO OCC.
CAMPO EUCARISTICO
FLORIDA
ORTEZAL
CIUDAD SALITRE NOR-ORIENTAL</t>
  </si>
  <si>
    <t>14- LOS MARTIRES</t>
  </si>
  <si>
    <t>14-LOS MARTIRES</t>
  </si>
  <si>
    <t>UPZ 102</t>
  </si>
  <si>
    <t>SANTA FÉ
LA SABANA
PALOQUEMAO</t>
  </si>
  <si>
    <t>15- ANTONIO NARIÑO</t>
  </si>
  <si>
    <t>15-ANTONIO NARIÑO</t>
  </si>
  <si>
    <t>UPZ 35
UPZ 38</t>
  </si>
  <si>
    <t xml:space="preserve">LA HORTUA
SANTANDER SUR
RESTREPO
</t>
  </si>
  <si>
    <t>16-PUENTE ARANDA</t>
  </si>
  <si>
    <t>18-RAFAEL URIBE URIBE</t>
  </si>
  <si>
    <t xml:space="preserve">
UPZ 36
UPZ 54
UPZ 39
UPZ 55
UPZ 53
</t>
  </si>
  <si>
    <t xml:space="preserve">
ARBOLEDA SUR
LA PICOTA ORIENTAL
LIBERTADOR
SAN LUIS
CERROS DE ORIENTE
LIBERTADOR
ARBOLEDA SUR
QUIROGA I
QUIROGA CENTRAL
QUIROGA
PALERMO SUR
CERROS DE ORIENTE
SAN AGUSTIN
LA RESURRECCIÓN
</t>
  </si>
  <si>
    <t xml:space="preserve">PLAN PARCIAL DE DESARROLLO EL CINSUELO  DENTRO TMI 6-Rafael Uribe - Tunjuelito
REGULARIZACIÓN BARRIO LA RECONQUISTA DENTRO TMI 6-Rafael Uribe - Tunjuelito
PLAN PARCIAL DESARROLLO EL CONSUELO PROYECTO DENTRO TMI MARRUECOS
DISEÑO PISAJ Urbanización Zarazota I (18-038) PROYECTO DENTRO TMI MARRUECOS
DISEÑO PISAJ Urbanización Zarazota I (18-180) PROYECTO DENTRO TMI MARRUECOS
DIS PAISAJ Desarrollo Palermo Sur PROYECTO DENTRO TMI DIANA TURBAY
DISEÑO PAISAJÍSTICO PARQUE COD 18-326 PROYECTO DENTRO TMI MARRUECOS 
Contrato IDU 1599 de 2019 PROYECTO DENTRO TMI DIANA TURBAY 
DP zonas cesión Urb.ALAMEDA DE SAN JORGE PROYECTO DENTRO TMI MARCO FIDEL SUAREZ
PLAN PARCIAL DESARROLLO EL CONSUELO DENTRO TMI MARRUECOS
</t>
  </si>
  <si>
    <t>19- CIUDAD BOLIVAR</t>
  </si>
  <si>
    <t>DISTRITAL (Por Ejecutar)</t>
  </si>
  <si>
    <t>TOTAL LOCALIZACIONES META</t>
  </si>
  <si>
    <t>LOCALIDADES:La Secretaría Distrital de Ambiente ha realizado importantes esfuerzos incorporando criterios de ecourbanismo y construcción sostenible en proyectos urbanos y arquitectónicos en la Ciudad, por lo cual mediante esta meta se realiza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</si>
  <si>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Diseño Paisajístico Contrato de obra CVP No. 611 de 2015 DENTRO MACROTERRITORIO (2) Cerros - Limite Calera
Regularización del desarrollo Soratama DENTRO TMI SAN CRISTÓBAL NORTE
Regularización San Antonio Norte II Sector DENTRO TPI VERBENAL</t>
  </si>
  <si>
    <t>3-SANTA FÉ</t>
  </si>
  <si>
    <t xml:space="preserve">
UPZ 91
UPZ 96
UPZ 93
</t>
  </si>
  <si>
    <t xml:space="preserve">
SAN DIEGO
RAMIREZ
LAS NIEVES
SANTA INÉS
LOS LACHES
</t>
  </si>
  <si>
    <t xml:space="preserve">
PROYECTO Zonas de Cesión Proyecto Saldaña DENTRO TMI (5) Pieza Centro
PROYECTO Parque Zonal Los Laches La Mina  DENTRO TMI Pieza Centro</t>
  </si>
  <si>
    <t xml:space="preserve">UPZ 33
UPZ 51
UPZ 50
</t>
  </si>
  <si>
    <t xml:space="preserve">BUENOS AIRES
CALVO SUR
JUAN REY (LA PAZ)
LAS GUACAMAYAS I
EL PINAR UPZ 51
SOCIEGO UPZ 33
NUEVA DELHI 
</t>
  </si>
  <si>
    <t>DISEÑO PAISAJÍSTICO Urbanización Colmena DENTRO MACROTERRITORIO (1) Cable San Cristóbal
 PROYECTO PPD BOSQUES DE SAN JOSÉ CRUZA CON TMI LOS LIBERTADORES
TMI SAN BLAS CRUZA CON PROYECTO DISEÑO PAISAJÍSTICO BUENOS AIRES
DISEÑO PAISAJÍSTICO PROYECTO 20 DE JULIO DENTRO TPI 20 DE JULIO
Regularización Barrio Buenos Aires DENTRO DE TPI SAN BLAS
DP Jardín Infantil Arboleda Santa Teresita PROYECTO DENTRO DE TPI LOS LIBERTADORES</t>
  </si>
  <si>
    <t>6- TUNJUELITO</t>
  </si>
  <si>
    <t>UPZ 42</t>
  </si>
  <si>
    <t xml:space="preserve">VENECIA
MUZU
PARQUE EL TUNAL
ISLA DEL SOL
</t>
  </si>
  <si>
    <t>PROYECTO ALTOS DE SAN BERNO DENTRO TMI (4) Kennedy - Bosa
PROYRCTO DP URBANIZACIÓN PIAMONTE II SECTOR  DENTRO TPI BOSA CENTRAL
PROYECTO WR 834 Diseño Paisajístico Colegio Distrital Argelia DENTRO TMI Kennedy - Bosa</t>
  </si>
  <si>
    <t>KENNEDY</t>
  </si>
  <si>
    <t>8- KENNEDY</t>
  </si>
  <si>
    <t>PLAN DIRECTOR LAS MARGARITAS DENTRO TMI GRAN BRITALIA</t>
  </si>
  <si>
    <t>9-FONTIBÓN</t>
  </si>
  <si>
    <t xml:space="preserve"> 9-FONTIBÓN</t>
  </si>
  <si>
    <t>PROYECTO WR 850  Zonas Cesión Urb Mirador del Jaboque dentro TMI (7) Suba - Engativa</t>
  </si>
  <si>
    <t>10- ENGATIVÁ</t>
  </si>
  <si>
    <t xml:space="preserve">UPZ30
UPZ 29
UPZ 72
UPZ 73
UPZ 26
UPZ 74
</t>
  </si>
  <si>
    <t xml:space="preserve">BOYACA
EL MINUTO DE DIOS
SAN IGNACIO
LOS CEREZOS
CENTRO ENGATIVA II
LA CABAÑA
AUTOPISTA MEDELLIN
CIUDADELA COLSUBSIDIO
LOS ALAMOS
VILLA DEL MAR
EL GACO
BOSQUE POPULAR
LA FAENA
NORMANDÍA OCCIDENTAL
CENTRO ENGATIVÁ II
SANTA ROSA
</t>
  </si>
  <si>
    <t xml:space="preserve">Diseño paisajístico Parque Florida de Engativá 2 DENTRO DE TPI ENGATIVÁ
Proyecto WR 922 Diseño Paisajístico Urbanización Granjas del Dorado DENTRO TMI Suba - Engativá </t>
  </si>
  <si>
    <t>PROYECTO WR 1224 UAESP DENTRO  TMI (7) Suba - Engativa  
PROYECTO WR 818A Diseño Paisajístico del proyecto Centro de la Felicidad – CEFE del parque Fontanar del Río DENTRO  TMI (7) Suba - Engativa
PROYECTO WR 1081 Diseño paisajístico de las zonas de cesión del proyecto oka- urbanismo el pencil  DENTRO  TMI (7) Suba - Engativa   
  PROYECTO 902  Zonas Cesión Urb El Jordán dentro TMI (7) Suba - Engativa   PROYECTO ALMENARA,Diseño paisajístico Urb. Conjunto residencial Nuevo Veracruz Y DISEÑO PAISAJÍSTICO ARA FERRETERO DENTRO TMI Suba - Engativa 
Diseño paisajístico del Contrato IDU 1552 de 201 PROYECTO DENTRO TMI SUBA
DISEÑO PAISAJÍSTICO PARQUR FONTANA PROYECTO DENTRO TMI SUBA 
DIS PAISAJ CAMPO PREDIO EL CAMPITO PROYECTO DENTRO TMI 
TIBABUYES 
DIS PAISAJ ZONA CESIÓN PROY Punta del Este PROYECTO DENTRO TMI EL RINCÓN 
DP zonas cesión proyecto PP Bosque Sabana PROYECTO DENTRO TMI SUBA
Diseño Paisajístico del CPS 477/2020 DENTRO TMI SUBA
DP puente peatonal de la Av. Suba PROYECTO  DENTRO TMI SUBA
DP ZONAS DE CESIÓN PROYECTO ZIMA PROYECTO DENTRO TMI SUBA
Regularización Rincón de Suba DENTRO TMI EL RINCON
PROYECTO DP Proyecto Centro Empresarial Alpaso Plaza DENTRO TMI Suba - Engativa</t>
  </si>
  <si>
    <t>12- BARRIOS UNIDOS</t>
  </si>
  <si>
    <t xml:space="preserve">
UPZ 98
UPZ 22
UPZ103
UPZ 21
UPZ 98
</t>
  </si>
  <si>
    <t xml:space="preserve">
BENJAMIN HERRERA
QUINTA MUTIS
METROPOLIS
LOS ANDES
SAN FELIPE
SAN FERNANDO OCCIDENTAL
BOSQUE POPULAR
LA ESPERANZA
POLO CLUB
LA CASTELLANA
SANTA SOFÍA
POPULAR MODELO
</t>
  </si>
  <si>
    <t>13- TEUSAQUILLO</t>
  </si>
  <si>
    <t xml:space="preserve">UPZ 100
UPZ 106
UPZ 107
UPZ 109
</t>
  </si>
  <si>
    <t>CAMPIN
ALFONSO LOPEZ
NICOLAS DE FEDERMAN
CIUDAD SALITRE SUR-ORIENTAL
ORTEZAL</t>
  </si>
  <si>
    <t>16- PUENTE ARANDA</t>
  </si>
  <si>
    <t>16-PUNETE ARANDA</t>
  </si>
  <si>
    <t xml:space="preserve">UPZ40
UPZ 111
UPZ 43
UPZ 108
</t>
  </si>
  <si>
    <t xml:space="preserve">
PUENTE ARANDA
TIBANA
SALAZAR GOMEZ
SAN FRANCISCO
LOS EJIDOS
PENSILVANIA
</t>
  </si>
  <si>
    <t xml:space="preserve">PROYECTO WR 308B Diseño paisajístico Parque Vecinal Palermo Sur DENTRO TMI 6-Rafael Uribe - Tunjuelito
PROYECTO WR 873 Diseño Paisajístico Zonas de cesión Proyecto Caracas Avenida DENTRO TMI 6-Rafael Uribe - Tunjuelito
MARCO FIDEL SUAREZ (PLAN DIRECTOR PARQUE SANTA LUCÍA)
TMI MARRUECOS CRUZA CON PROY DP TRAMO 4
</t>
  </si>
  <si>
    <t>19-CIUDAD BOLIVAR</t>
  </si>
  <si>
    <t xml:space="preserve">
LOS PROYECTOS *WR 741A Diseño paisajístico de las zonas del Parque Zonal Buenavista El Porvenir PZ76
*WR 624 Diseño Paisajístico Proyecto Parque Zonal El Taller – El Ensueño PZ 74
*WR 16A Diseño paisajístico del Proyecto Bonavista Cesión 4
DENTRO TMI (3) Ciudad Bolivar Urbano Rural
Diseño Paisajístico Parque de bolsillo ID 19380 DENTRO MATROTERRITORIO (3) Ciudad Bolivar Urbano Rural
DISEÑO PAISAJISTICO  PARQUE ZONAL SIERRA MORENA DENTRO TMI (3) Ciudad Bolivar Urbano Rural
Diseño paisajístico proyecto Parque Vecinal Pilona 8
DENTRO TMI (3) Ciudad Bolivar Urbano Rural
DISEÑO PAISAJÍSTICO TANQUE EL VOLADOR EAAB PROYECTO DENTRO TMI LUCERO
DISEÑO PAISAJ FRANJA AMB U DISTRITAL EL ENSUEÑO PROYECTO DENTRO TMI JERUSALEM 
DIS PAISAJ ZONAS CESIÓN TORRES DE PORTAL PROYECTO DENTRO TMI ISMAEL PERDOMO 
DETERMINANTES PROYECTO Contrato CVP 415 de 2021 PROYECTO DENTRO TMI ISMAEL PERDOMO
DESARROLLO LEGALIZADO ARABIA PROYECTO DENTRO TMI EL TESORO
DP Acupuntura Urbana Grupo B DENTRO TMI LUCERO
PROYECTO DP Puente Peatonal Casa Grande DENTRO TMI Ciudad Bolivar Urbano Rural</t>
  </si>
  <si>
    <t>LOCALIDADES: Se realizará  acompañamiento técnico a techos verdes y jardines verticales, lo cual promueve la conservación y mejoramiento de estas estructuras que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</si>
  <si>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1. Política Pública de Ecourbanismo y Construcción Sostenible, Política de Biodiversidad</t>
  </si>
  <si>
    <t>La territorialización de la meta se realiza a escala de localidad, dado que la incorporación de criterios de ecourbanismo y sostenibilidad ambiental en proyecto de infraestructura genera beneficios intrínsecos y complejos de definir su impacto, dado que no todos los proyectos incorporan los mismo determintes y requeriría de estudios especializados por cada proyecto, para calcular los beneficios ambientales y la población beneficiada, lo cual desborda lo programado en la meta.</t>
  </si>
  <si>
    <t>CHAPINERO, EDIFICIO 14 - 97 PARK, Calle 97 A # 13 A - 57, AAA0092SLBR</t>
  </si>
  <si>
    <t xml:space="preserve">UPZ 99
</t>
  </si>
  <si>
    <t>CHAPINERO, UNIVERSIDAD JAVERIANA EDIFICIO CENTRAL (EDIFICIO INTERIOR), Cra 7 # 40 - 62, AAA0088CUDM.</t>
  </si>
  <si>
    <t>CHAPINERO, EDIFICIO URBAN PLAZA, Calle 90 # 11 - 13 GS 64, CHIP AAA0239NKKC</t>
  </si>
  <si>
    <t>UPZ 97</t>
  </si>
  <si>
    <t>EL CHICO</t>
  </si>
  <si>
    <t>TEUSQUILLO. PROYECTO FUNCENER, Calle 55 BIS # 16 - 32, AAA0084BMJZ</t>
  </si>
  <si>
    <t xml:space="preserve">UPZ 100
</t>
  </si>
  <si>
    <t>CHAPINERO</t>
  </si>
  <si>
    <t>CHAPINERO, UNIVERSIDAD JAVERIANA EDIFICIO CENTRAL CRA 7, Cra 7 # 40 - 62, AAA0088CUDM</t>
  </si>
  <si>
    <t>02- CHAPINERO</t>
  </si>
  <si>
    <t>CATALUNA</t>
  </si>
  <si>
    <t>USAQUÉN. EDIFICIO ASERETO, Calle 144 # 12 - 07, AAA0110YUEA</t>
  </si>
  <si>
    <t>01- USAQUEN</t>
  </si>
  <si>
    <t>UPZ 13</t>
  </si>
  <si>
    <t>CEDRO NARVAEZ</t>
  </si>
  <si>
    <t>USAQUÉN,CITY HUERTA CEDRO POING, Calle 140 # 10A - 48, AAA0239TKOM</t>
  </si>
  <si>
    <t>CEDRITOS</t>
  </si>
  <si>
    <t>SANTA FE, FACULTAD DE ARTES Y DISEÑO JORGE TADEO LOZANO. Calle 25A # 4 - 49</t>
  </si>
  <si>
    <t>03-Santa Fé</t>
  </si>
  <si>
    <t>UPZ 92</t>
  </si>
  <si>
    <t>LA MACARENA</t>
  </si>
  <si>
    <t>USME, ALCALDIA LOCAL DE USME TORRE CENTRAL COSTADO ORIENTE, KR 14A 137B 32 SUR, AAA0208ZWWW</t>
  </si>
  <si>
    <t>UPZ57</t>
  </si>
  <si>
    <t>LA CABANA</t>
  </si>
  <si>
    <t xml:space="preserve">USME, COLEGIO MONSEÑOR BERNARDO SANCHEZ, Calle 69 D BIS SUR # 1 - 5, </t>
  </si>
  <si>
    <t>ENGATIVÁ, CENTRO CRECER LOS ANGELES, Calle 71 A # 95 - 31, AAA0066BPXR</t>
  </si>
  <si>
    <t>10-ENGATIVÀ</t>
  </si>
  <si>
    <t>UPZ 30</t>
  </si>
  <si>
    <t>LOS ÁLAMOS</t>
  </si>
  <si>
    <t>ENGATIVÁ, EDIFICIO ELEMENTO - TORRE 1, Calle 26 # 69- 76,  AAA0259SAMS</t>
  </si>
  <si>
    <t>UPZ 105</t>
  </si>
  <si>
    <t>JARDIN BOTANICO</t>
  </si>
  <si>
    <t>ENGATIVÁ, PORTAL 80, Avenida Calle 80 # 100 - 52, AAA0185CNMR</t>
  </si>
  <si>
    <t>UPZ72</t>
  </si>
  <si>
    <t>BOCHICA II</t>
  </si>
  <si>
    <t>ENGATIVÁ, EDIFICIO ELEMENTO - TORRE 3, Calle 26 # 69- 76, AAA0259SAMS</t>
  </si>
  <si>
    <t>ENGATIVÁ, EDIFICIO ELEMENTO - TORRE 3 SECTOR ORIENTE, Calle 26 # 69- 76, AAA0259SAMS</t>
  </si>
  <si>
    <t>ENGATIVÁ, EDIFICIO ELEMENTO - TORRE 4, Calle 26 # 69- 76, AAA0259SAMS</t>
  </si>
  <si>
    <t>ENGATIVÁ, EDIFICIO ELEMENTO - TORRE 2, Calle 26 # 69- 76, AAA0259SAMS</t>
  </si>
  <si>
    <t>SUBA, JARDIN INFANTIL AURES, Calle 130 B # 96 - 57, AAA0133XBFZ</t>
  </si>
  <si>
    <t>UPZ 28</t>
  </si>
  <si>
    <t>TTES DE COLOMBIA</t>
  </si>
  <si>
    <t>SUBA, CENTRO COMERCIAL EL PASO, Calle 145 # 103 B - 69, AAA0235JFYX</t>
  </si>
  <si>
    <t>EL POA</t>
  </si>
  <si>
    <t>DISTRITAL
La Estrategia Distrital de Crecimiento Verde permitirá dinamizar en el corto y mediano plazo, acciones fundamentales, en torno al uso sostenible del capital natural, bioeconomía, sostenibilidad energética y economía circular, entre otras; soportadas en la ciencia, tecnología e innovación y la gobernanza entre el sector público y privado, para impulsar el crecimiento económico integrado con sostenibilidad ambiental, de manera que incida en la generación del conocimiento, generación de empleos verdes y valor agregado en la cadena de producción y consumo, para lograr una ciudad sostenible, eficiente y baja en carbono, y por ende el mejoramiento de la calidad de vida en el Distrito Capital.</t>
  </si>
  <si>
    <t>La reuniones realizadas en este periodo fueron de articulación:
 20/01/2022 - 8:30 am - 9:30: Presentación Estrategia Verde a Fenalco.
 21/01/2022 - 2:30 pm - 3:30 pm: Articulación PREAD - BIC. 
24/01/2022 - 11am - 12 pm: Empalme y avances en Bogotá Circular.
26/01/2022 - 9am: 10:00 am: Presentación Programa Gestión Ambiental Empresarial a CCB.
27/01/2022 - 11am: 12am: Actualización Bogotá Circular con SDDE
31/01/2022 - 11:30 am: 12:30pm: Red Moda SDA - CCB.</t>
  </si>
  <si>
    <t>ASISTIR A 800 PROYECTOS PARTICIPANTES DE PROGRAMAS VOLUNTARIOS OFRECIDOS POR LA SEGAE, PARA EL MEJORAMIENTO DEL DESEMPEÑO AMBIENTAL.</t>
  </si>
  <si>
    <t>DISTRITAL
La SDA desarrolla el Programa Gestión Ambiental Empresarial integrado por los mecanismos de fortalecimiento de capacidades para la sostenibilidad (ACERCAR, PREAD y PROREDES), el cual brinda acompañamiento profesional al sector empresarial ubicado en el perímetro urbano de Bogotá en el mejoramiento del desempeño ambiental, a través del diseño e implantación de proyectos dirigidos al uso eficiente de los recursos naturales agua, energía, aire y materiales, lo cual representa un aporte al mejoramiento del ambiente de la ciudad.</t>
  </si>
  <si>
    <t>USAQUÉN</t>
  </si>
  <si>
    <t>1. Política Distrital de Producción y Consumo Sostenible</t>
  </si>
  <si>
    <t>SAN CRISTOBAL</t>
  </si>
  <si>
    <t>UPZ50
UPZ51
UPZ32</t>
  </si>
  <si>
    <t xml:space="preserve">LAS GAVIOTAS
YOMASA
SANTA INES SUR II
</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</si>
  <si>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han sido:
Mayo 2022: 2 proyecto perteneciente a  2 empresas grande.
Agosto 2022: 1 proyecto perteneciente a  1 empresa grande.
No obstante, se tiene de esta localidad un acumulado de 3 proyectos pertenecientes a (3 grandes, 0 medianas y 0 pequeña).</t>
  </si>
  <si>
    <t>UPZ 91
UPZ 93</t>
  </si>
  <si>
    <t>SAMPER
LAS NIEVES, LA ALAMEDA, VERACRUZ, LA CAPUCHINA</t>
  </si>
  <si>
    <t>NA</t>
  </si>
  <si>
    <t>UPZ 34</t>
  </si>
  <si>
    <t>GRANADA SUR</t>
  </si>
  <si>
    <t>EL CURUBO</t>
  </si>
  <si>
    <t>ISLA DEL SOL, MUZU</t>
  </si>
  <si>
    <t>UPZ 85
UPZ 86</t>
  </si>
  <si>
    <t>SAN DIEGO-BOSA, BOSA, JIMENEZ DE QUESADA
EL CORZO</t>
  </si>
  <si>
    <t>UPZ 44
UPZ 45
UPZ 46
UPZ 78
UPZ 79
UPZ 81
UPZ 113</t>
  </si>
  <si>
    <t>HIPOTECHO OCCIDENTAL, PROVIVIENDA ORIENTAL
ALQUERIA LA FRAGUA II, PROVIVIENDA
VERGEL OCCIDENTAL
EL TINTAL IV
TINTALA
GRAN BRITALIA I
VILLA ALSACIA, LUSITANIA</t>
  </si>
  <si>
    <t>9- FONTIBON</t>
  </si>
  <si>
    <t>10- ENGATIVA</t>
  </si>
  <si>
    <t>11- SUBA</t>
  </si>
  <si>
    <t>14- LOS MÁRTIRES</t>
  </si>
  <si>
    <t>UPZ 35
UPZ 38</t>
  </si>
  <si>
    <t>LA HORTUA
RESTREPO OCCIDENTAL ,RESTREPO, SANTANDER, SANTANDER SUR</t>
  </si>
  <si>
    <t>17- LA CANDELARIA</t>
  </si>
  <si>
    <t>CENTRO ADMINISTRATIVO, SANTA BARBARA</t>
  </si>
  <si>
    <t>18- RAFAEL URIBE URIBE</t>
  </si>
  <si>
    <t>UPZ36</t>
  </si>
  <si>
    <t>GUSTAVO RESTREPO</t>
  </si>
  <si>
    <t>UPZ 65
UPZ 69</t>
  </si>
  <si>
    <t>EL ENSUEÑO, GUADALUPE, VERONA
LA ESTANCIA, BARLOVENTO, LOS TRES REYES</t>
  </si>
  <si>
    <t>CHAPINERO, BOSA, USME, PUENTE ARANDA, CIUDAD BOLIVAR, ENGATIVA, FONTIBÓN, KENNEDY, MARTIRES, RAFAEL URIBE URIBE, SAN CRISTOBAL, SUBA, TUNJUELITO, USAQUEN Y ESPECIAL</t>
  </si>
  <si>
    <t>Varias 
 (Remitirse a Generación de Shape)</t>
  </si>
  <si>
    <t>DISTRITAL: acompañamiento y verificación de los Negocios Verdes que se encuentran en la ciudad, por la  oferta de bienes y servicios de impacto ambiental positivo.</t>
  </si>
  <si>
    <t xml:space="preserve">DISTRITAL
</t>
  </si>
  <si>
    <t>Teniendo en cuenta que son negocios nuestra población objeto no se limita a algún grupo etario o con condición poblacional específica el alcance sino a toda la población de la localidad y/o el distrito capital</t>
  </si>
  <si>
    <t>1- USAQUEN</t>
  </si>
  <si>
    <t>USAQUEN</t>
  </si>
  <si>
    <t>13
14
16</t>
  </si>
  <si>
    <t>LAS MARGARITAS SECOR I
USAQUEN
SANTA BARBARA CENTRAL III SECTOR
SANTA BARBARA CENTRAL
CEDRITOS</t>
  </si>
  <si>
    <t>Punto.
PUN_7794_06_122023</t>
  </si>
  <si>
    <t>ANTIGUO COUNTRY
PORCIUNCULA
S.C EL CHICO</t>
  </si>
  <si>
    <t>Punto.
PUN_7794_06_102023</t>
  </si>
  <si>
    <t xml:space="preserve">LAS GUACAMAYAS
</t>
  </si>
  <si>
    <t>Punto.
PUN_7794_06_072023</t>
  </si>
  <si>
    <t>TUNJUELITO</t>
  </si>
  <si>
    <t>RINCON DE VENECIA
TUNAL SECTOR II</t>
  </si>
  <si>
    <t>Punto.
PUN_7794_06_082023</t>
  </si>
  <si>
    <t>BOSA</t>
  </si>
  <si>
    <t>LA PAZ</t>
  </si>
  <si>
    <t>VALLADOLID</t>
  </si>
  <si>
    <t>FONTIBON</t>
  </si>
  <si>
    <t>EL CHARCO</t>
  </si>
  <si>
    <t>ENGATIVA</t>
  </si>
  <si>
    <t>Punto.
PUN_7794_06_112023</t>
  </si>
  <si>
    <t>SUBA</t>
  </si>
  <si>
    <t>18
20
24
25</t>
  </si>
  <si>
    <t>NIZA
GILMAR
PUENTE LARGO
VISTA BELLA
POTOSI</t>
  </si>
  <si>
    <t>BARRIOS UNIDOS</t>
  </si>
  <si>
    <t>UPZ98</t>
  </si>
  <si>
    <t>SAN FELIPE</t>
  </si>
  <si>
    <t>LOS MARTIRES</t>
  </si>
  <si>
    <t xml:space="preserve">102
</t>
  </si>
  <si>
    <t>RICAURTE</t>
  </si>
  <si>
    <t>Los negocios verificados son microempresas, razón por la cual tiene pocas personas que la conforman. Se describe el género y el grupo etario de éstos.</t>
  </si>
  <si>
    <t>ANTONIO NARIÑO</t>
  </si>
  <si>
    <t xml:space="preserve">35
</t>
  </si>
  <si>
    <t xml:space="preserve">CIUDAD JARDIN DEL SUR
</t>
  </si>
  <si>
    <t>16 - PUENTE ARANDA</t>
  </si>
  <si>
    <t>PUENTE ARANDA</t>
  </si>
  <si>
    <t xml:space="preserve">41-43 - 46 - 77
</t>
  </si>
  <si>
    <t>LA FLORIDA OCCIDENTAL
EL JAZMIN II SECTOR
SAN FRANCISCO
OSPINA PEREZ SUR</t>
  </si>
  <si>
    <t>#REF!</t>
  </si>
  <si>
    <t>Desarrollar 6 proyectos pilotos de economía circular en sectores productivos priorizados</t>
  </si>
  <si>
    <t>DISTRITAL: se realiza un análisis e identificación de oportunidades en economía circular, para posteriormente formular proyectos pilotos en diferentes sectores económicos.</t>
  </si>
  <si>
    <t>Debido a que su aplicación en para toda la ciudad, no se indica la especificidad en la descripción de la población. La población relacionada con la localización corresponde a las localidades donde se encuentran las empresas inscritas a la fecha.</t>
  </si>
  <si>
    <t xml:space="preserve">DISTRITAL
Formulación del primer proyecto a realizar con el sector de curtiembres siendo uno de los tres sectores priorizados por el POMCA (Curtiembres, galvanoplastia y minería); razón por la cual, durante el reporte aún no se presenta resultados de territorialización, considerando la fase de formulación en la que se encuentra. Una vez, inicie la implementación de los proyectos se realizará el respectivo alcance territorial. </t>
  </si>
  <si>
    <t xml:space="preserve">Punto. https://drive.google.com/drive/u/5/folders/16UCIUekSew52hc5yuF8fx9d47pJapAxd
</t>
  </si>
  <si>
    <t>METALURGIA(GALVANICO)</t>
  </si>
  <si>
    <t>6
3</t>
  </si>
  <si>
    <t>MINERIA</t>
  </si>
  <si>
    <t>USME</t>
  </si>
  <si>
    <t>57- GRAN YOMASA</t>
  </si>
  <si>
    <t>Se encuentra en implementación el proyecto de ladrillos verdes</t>
  </si>
  <si>
    <t>CURTIEMBRES</t>
  </si>
  <si>
    <t>UPZ62</t>
  </si>
  <si>
    <t>SAN BENITO</t>
  </si>
  <si>
    <t>Se encuentran en etapa de ejecución los dos proyectos transversales sellos ambientales y banco de proyectos</t>
  </si>
  <si>
    <t>Articular y consolidar un (1) Plan de Acción Climática para Bogotá D.C. 2020 - 2050.</t>
  </si>
  <si>
    <t>DISTRITAL
consolidación de un documento que presente los ejes programáticos y el cronograma de un plan con acciones articuladas de gestión ambiental, gestión del cambio climático y gestión del riesgo de desastres, para que Bogotá se prepare con medidas de mitigación y de adaptación al cambio climático, en un periodo de 30 años (de 2020 a 2050).</t>
  </si>
  <si>
    <t>Política Nacional de Cambio Climático
Política Nacional de Gestión del Riesgo de Desastres</t>
  </si>
  <si>
    <t>DISTRITAL
Ejecución de acciones tanto de mitigación de gases de efecto invernadero, como de adaptación con resiliencia al cambio climático, asociados al Plan de Acción Climática</t>
  </si>
  <si>
    <t>TOTALES - PROYECTO</t>
  </si>
  <si>
    <t>TOTALES Rec. Vigencia</t>
  </si>
  <si>
    <t>TOTALES Rec. Reservas</t>
  </si>
  <si>
    <t>TOTAL PRESUPUESTO</t>
  </si>
  <si>
    <t>Se incluyen   columnas con nuevos patrones de medición en los componentes de Gestión e Inversión</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</si>
  <si>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</si>
  <si>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</si>
  <si>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</si>
  <si>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</si>
  <si>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</si>
  <si>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</si>
  <si>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</si>
  <si>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</si>
  <si>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</si>
  <si>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</si>
  <si>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</si>
  <si>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</si>
  <si>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</si>
  <si>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12-OTROS DISTRITO</t>
  </si>
  <si>
    <t>NOVIEMBRE</t>
  </si>
  <si>
    <t>DICIEMBRE</t>
  </si>
  <si>
    <t>I PRESUPUESTAL VIGENCIA 2021</t>
  </si>
  <si>
    <t>ENERO</t>
  </si>
  <si>
    <t>FEBRERO</t>
  </si>
  <si>
    <t>MARZO</t>
  </si>
  <si>
    <t>ABRIL</t>
  </si>
  <si>
    <t>MAYO</t>
  </si>
  <si>
    <t>JUNIO</t>
  </si>
  <si>
    <t>I PRESUPUESTAL VIGENCIA 2022</t>
  </si>
  <si>
    <t>1-100-F001-VA-RECURSOS DISTRITO</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</si>
  <si>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</si>
  <si>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</si>
  <si>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</si>
  <si>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</si>
  <si>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</si>
  <si>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</si>
  <si>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</si>
  <si>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</si>
  <si>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</si>
  <si>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</si>
  <si>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</si>
  <si>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</si>
  <si>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</si>
  <si>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</si>
  <si>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</si>
  <si>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</si>
  <si>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Promover el ecourbanismo y construcción sostenible</t>
  </si>
  <si>
    <t>Servicio de asistencia técnica para la incorporación de variables ambientales en la planificación sectorial</t>
  </si>
  <si>
    <t>Entidades y sectores asistidos técnicamente para la incorporación de variables ambientales en la planificación sectorial</t>
  </si>
  <si>
    <t>Durante el mes de octubre de 2020, se incorporó criterios de sostenibilidad ambiental a 11 proyectos, tanto en espacio público como en privado. Así mismo, se realizó la verificación a la incorporación de determinantes ambientales a 4 proyectos de infraestructura en el espacio público.</t>
  </si>
  <si>
    <t>Fortalecer las capacidades de las actividades económicas, hacia modelos con enfoque de sostenibilidad, economía circular  e innovación que permita la transición hacia un crecimiento verde</t>
  </si>
  <si>
    <t>Servicio de asistencia técnica para la consolidación de negocios verdes</t>
  </si>
  <si>
    <t xml:space="preserve">Negocios verdes consolidados </t>
  </si>
  <si>
    <t>Se reconoce a dos (2) negocios verdes en el mes de octubre que obtienen un puntaje mayor del 50% en los criterios evaluados, generando un acumulado de ocho (8) negocios verdes. Adicionalmente, 10 negocios verdes fueron aceptados en el marco de la convocatoria de Innpulsa -Cree.</t>
  </si>
  <si>
    <t>Intervenir  los sectores priorizados por el POMCA del Río Bogotá, a través de proyectos de producción más Limpia</t>
  </si>
  <si>
    <t>Servicio de divulgación de la incorporación de consideraciones ambientales en la planificación sectorial</t>
  </si>
  <si>
    <t>Campañas divulgadas</t>
  </si>
  <si>
    <t xml:space="preserve">Durante octubre se avanzó en la formulación del proyecto dirigido al sector de las curtiembres, se definieron los antecedentes, identificación de la problematica y una formulación preliminar de alternativas. Adicionalmente se avanzó en el inventario de curtiembres, se han identificado 309 usuarios. </t>
  </si>
  <si>
    <t>Articular, consolidar e iniciar la implementación de un plan de acción que oriente las acciones para afrontar los efectos del cambio climático en el Distrito Capital en el periodo 2020 - 2050</t>
  </si>
  <si>
    <t>Documentos de lineamientos técnicos para mejorar la calidad ambiental de las áreas urbanas</t>
  </si>
  <si>
    <t>Documentos de lineamientos técnicos para para mejorar la calidad ambiental de las áreas urbanas elaborados.</t>
  </si>
  <si>
    <t>Avance en la formulación del Plan de Acción Climática y en algunas acciones priorizadas, que contribuyen a mejorar la calidad ambiental y reducir los efectos del cambio climático, en especial, mediante medidas de adaptación.</t>
  </si>
  <si>
    <t>Durante el mes de noviembre de 2020, se incorporó criterios de sostenibilidad ambiental a 11 proyectos, tanto en espacio público como en privado. Así mismo, se realizó la verificación a la incorporación de determinantes ambientales a 6 proyectos de infraestructura en el espacio público - Parques Distritales.</t>
  </si>
  <si>
    <t>Se reconoce a UN (1) negocio verde en el mes de noviembre que obtienen un puntaje mayor del 53% en los criterios evaluados, generando un acumulado de nueve (9) negocios verdes. Adicionalmente, 10 negocios verdes fueron aceptados en el marco de la convocatoria de Innpulsa -Cree.</t>
  </si>
  <si>
    <t>Durante noviembre se avanzó en la formulación del proyecto dirigido al sector de las curtiembres, se definieron las alternativas de posibles proyectos, las cuales fueron priorizados a través de criterios, económicos, técnicos y legales. Esta priorización permitió establecer que la alternativa de mayor viabilidad es desarrollar un proyecto de  Fortalecimiento de la cadena de valor del cuero sostenible. Adicionalmente para avanzar en el censo de curtiembres, actualmente se esta procesando la base de datos recibida de la camara de comercio.</t>
  </si>
  <si>
    <t>Avance en la formulación del Plan de Acción Climática; el documento se encuentra al 80%. También, se han realizado acciones priorizadas, que contribuyen a mejorar la calidad ambiental y reducir los efectos del cambio climático, en especial, mediante medidas de adaptación.</t>
  </si>
  <si>
    <t>Durante el mes de diciembre de 2020, se incorporó y verifico criterios de sostenibilidad ambiental a diecinueve (19) proyectos. Así mismo, se brindo acompañamiento tecnico a 290 m2 de techos verdes y jardines verticales en la ciudad.</t>
  </si>
  <si>
    <t xml:space="preserve">Se reconoce a un (1) negocio verde en el mes de diciembre que obtienen un puntaje mayor del 57% en los criterios evaluados, generando un acumulado de diez (10) negocios verdes que permiten el cumplimiento de la meta. </t>
  </si>
  <si>
    <t xml:space="preserve">Durante el mes de diciembre se avanzó en la formulación del proyecto dirigido al sector de las curtiembres. Se definieron objetivo general, específicos y se concluyo la fase de formulacion del proyecto. Adicionalmente, se avanzó en el diagnóstico ambiental sectorial. Todo esto sumado a la operación de la mesa de curtiembres y las demás reuniones de gestión requeridas. Así mismo, se apoyo el proceso de votación en presupuestos participativos para el desarrollo del Centro de Innovación Ambiental y de calidad CINAC".
</t>
  </si>
  <si>
    <t>Plan de Acción Climática (versión 1) formulado.
Ejecución de algunas acciones de adaptación al cambio climatico priorizadas, para mejorar la calidad ambiental y reducir los efectos del cambio climático.</t>
  </si>
  <si>
    <t>II PRODUCTO (FÍSICO) VIGENCIA 2021</t>
  </si>
  <si>
    <t>% PESO 2021</t>
  </si>
  <si>
    <t>META VIGENCIA  2021</t>
  </si>
  <si>
    <t>AVANCE VIGENCIA 2021</t>
  </si>
  <si>
    <t>% AVANCE VIGENCIA 2021</t>
  </si>
  <si>
    <t>Durante el mes de enero de 2021, se incorporó y verifico criterios de sostenibilidad ambiental a diez (10) proyectos. Así mismo, se brindo acompañamiento tecnico a 245 m2 de techos verdes y jardines verticales en la ciudad.</t>
  </si>
  <si>
    <t xml:space="preserve">Se reconoce a un (1) negocio verde en el mes de enero que obtienen un puntaje mayor del 51% en los criterios evaluados, generando el cumplimiento de la meta. </t>
  </si>
  <si>
    <t>Durante el mes de enero se inició con la formulación del proyecto dirigido al sector de galvanoplastia, con quienes se desarrollo una agenda de 9 reuniones que pemitieron definir las lineas de acción para el proyecto de fortalecimiento del sector de recubrimientos electroliticos, con enfoque de cadena de valor. 
Para el sector de minería se realizó un conversatorio sobre la gobernanza de los recursos minerales, con la asistencia de 40 personas y permitió hacer un acercamiento con los empresarios de la mineria de la ciudad con el fin de difundir sus buenas practicas.</t>
  </si>
  <si>
    <t>Ejecución de algunas acciones de adaptación al cambio climático priorizadas del Plan de Acción Climática para Bogotá 2020-2050, para mejorar la calidad ambiental y reducir los efectos del cambio climático.</t>
  </si>
  <si>
    <t>Durante el mes de febrero de 2021, se incorporó y verifico criterios de sostenibilidad ambiental a catorce (14) proyectos. Así mismo, se brindo acompañamiento tecnico a 301 m2 de techos verdes y jardines verticales en la ciudad.</t>
  </si>
  <si>
    <t xml:space="preserve">Se reconoce a un (1) negocio verde en el mes de febrero que obtiene un puntaje del 58% en los criterios evaluados, generando el cumplimiento de la meta. </t>
  </si>
  <si>
    <t>El primer proyecto formulado fue del sector curtiembres y en este sentido una en la mesa distrital de curtiembres llevada a cabo el día 19 de febrero. Así mismo, se continuó con la formulación del proyecto dirigido al sector de galvanoplastia. Para el sector de minería se realizó reunión con la Secretaría Distrital de Planeación para analizar la inclusión de actividades mineras en el POT. Adicionalmente, se realizó la consolidación de necesidades y propuestas para el articulado del POT.</t>
  </si>
  <si>
    <t>Articular, consolidar e iniciar la implementación de un plan de acción que oriente las acciones para afrontar los efectos del cambio climático en el Distrito Capital en el periodo 2020 - 2051</t>
  </si>
  <si>
    <t>Durante el mes de marzo de 2021, se incorporó y verifico criterios de sostenibilidad ambiental a diecisiete (17) proyectos. Así mismo, se brindo acompañamiento tecnico a 296 m2 de techos verdes y jardines verticales en la ciudad.</t>
  </si>
  <si>
    <t xml:space="preserve">Se reconoce a un (1) negocio verde en el mes de marzo que obtiene un puntaje del 63% en los criterios evaluados, generando el cumplimiento de la meta. </t>
  </si>
  <si>
    <t xml:space="preserve">Se sustentó ante el panel de evaluadores de Innpulsa la formulación realizada conjuntamente con la Universidad de los Andes para el fortalecimiento de la innovación y los mercados sostenibles, en San Benito se definió conjutamente con la CAR, la jornada de capacitación en buenas practicas de PML dirigida a todas las curtiembres.
Para el sector de galvanoplastia, se inscribieron 11 empresas , a las cuales se les aplicó una encuesta que permitió definir las prioridades de las líneas de intervención del proyecto y los temas de asistencia técnica a desarrollar.   </t>
  </si>
  <si>
    <t>Ajustes al Plan de Acción Climática para Bogotá 2020-2050 y ejecución de algunas acciones de adaptación para mejorar la calidad ambiental y reducir los efectos del cambio climático.</t>
  </si>
  <si>
    <t>Durante el mes de abril de 2021, se incorporó y verifico criterios de sostenibilidad ambiental a diecisiete (17) proyectos. Así mismo, se brindo acompañamiento tecnico a 300 m2 de techos verdes y jardines verticales en la ciudad.</t>
  </si>
  <si>
    <t xml:space="preserve">Se reconocen 5 negocios verdes; 1 (ene), 1 (feb), 1 (mar) y 2 (abril), los cuales superaron el 51% de los criterios evaluados, logrando el cumplimiento de la meta. </t>
  </si>
  <si>
    <t>Se aprobó por INNPULSA el proyecto de fortalecimiento de valor de cuero y se gestionó documentación para su vinculación. En Galvánico se inició la documentación del proyecto con antecedentes y problemática central, y, para minería se gestionó el apoyo desde SRHS para capacitaciones al sector</t>
  </si>
  <si>
    <t>Ajuste final al Plan de Acción Climática para Bogotá 2020-2050 y lanzamiento del Plan a la ciudad. Ejecución de algunas acciones de adaptación para mejorar la calidad ambiental y reducir los efectos del cambio climático.</t>
  </si>
  <si>
    <t>Durante el mes de mayo de 2021, se incorporó y verifico criterios de sostenibilidad ambiental a diecisiete (17) proyectos. Así mismo, se brindo acompañamiento tecnico a 320 m2 de  jardines verticales en la ciudad.</t>
  </si>
  <si>
    <t xml:space="preserve">Se reconocen 7 negocios verdes; 1 (ene), 1 (feb), 1 (mar), 2 (abril) y 2 (mayo), los cuales en promedio lograron el 66% de los criterios evaluados, logrando el cumplimiento de la meta. </t>
  </si>
  <si>
    <t>En curtiembres se realizó la mesa interinstitucional para logística de la jornada de Benchmarking y se hizo inscripción al curso: Manipulación de RESPEL con un total de 34 inscritos del sector galvánico y curtiembres. En minería se realizó logística y convocatoria para capacitación a realizar.</t>
  </si>
  <si>
    <t>Inicio de la definición del esquema de seguimiento al Plan de Acción Climática para Bogotá 2020-2050  y lanzamiento del Plan a la ciudad. Ejecución de algunas acciones de adaptación para mejorar la calidad ambiental y reducir los efectos del cambio climático.</t>
  </si>
  <si>
    <t>Durante el mes de junio de 2021, se incorporó y verifico criterios de sostenibilidad ambiental a diecisiete (17) proyectos. Así mismo, se brindo acompañamiento tecnico a 297 m2 de  jardines verticales en la ciudad.</t>
  </si>
  <si>
    <t xml:space="preserve">Se reconocen 9 negocios verdes; 1 (ene), 1 (feb), 1 (mar), 2 (abril), 2 (mayo), 2 junio los cuales en promedio lograron el 65% de los criterios evaluados, logrando el cumplimiento de la meta. </t>
  </si>
  <si>
    <t>Se realizó el curso Manipulación de RESPEL e inició el de SUPERVISIÓN en RESPEL para los 3 sectores. Se brindó capacitación de desclasificación de RESPEL. Se hizó BENCHMARKING de experiencias nacionales en el sector curtidor y en minería el conversatorio para mejoras en la presentación de PML</t>
  </si>
  <si>
    <t>Avance en el esquema de seguimiento del Plan de Acción Climática para Bogotá 2020-2050. Ejecución de algunas acciones de adaptación para mejorar la calidad ambiental y reducir los efectos del cambio climático.</t>
  </si>
  <si>
    <t>Durante el mes de julio de 2021, se incorporó y verifico criterios de sostenibilidad ambiental a diecisiete (17) proyectos. Así mismo, se brindo acompañamiento tecnico a 293 m2 de  techos verde y jardines verticales en la ciudad.</t>
  </si>
  <si>
    <t>Se reconocen 11 negocios verdes; 1 (ene), 1 (feb), 1 (mar), 2 (abril), 2 (mayo), 2 (junio) y  2 julio, los cuales en promedio lograron el 62,5% de los criterios evaluados, logrando el cumplimiento de la meta.</t>
  </si>
  <si>
    <t xml:space="preserve">Se dio continuidad al curso de supervisión de residuos peligrosos para los tres sectores de galvánico, minería y curtiembres. Así mismo, se dio lanzamiento al programa piloto de proveedores verdes para el sector de recubrimientos electrolíticos </t>
  </si>
  <si>
    <t>Avance en el esquema de seguimiento del Plan de Acción Climática para Bogotá 2020-2050. Realización de algunas acciones de adaptación para mejorar la calidad ambiental y reducir los efectos del cambio climático.</t>
  </si>
  <si>
    <t>Durante el mes de agosto de 2021, se incorporó y verifico criterios de sostenibilidad ambiental a diecisiete (17) proyectos. Así mismo, se brindo acompañamiento tecnico a 311 m2 de  jardines verticales en la ciudad.</t>
  </si>
  <si>
    <t xml:space="preserve">Se reconocen 13 negocios verdes; 1 (ene), 1 (feb), 1 (mar), 2 (abril), 2 (mayo), 2 (junio), 2 j(ulio) y 2 (agosto) los cuales en promedio lograron el 58% de los criterios evaluados, logrando el cumplimiento de la meta. </t>
  </si>
  <si>
    <t>Se realizó programación y socializó las fechas para talleres de economia circular para las curtiembres. Adicionalmente, se realizó la primera jornada de sensibilización sobre el proyecto de la PTAR de San Benito, con el fin de vincular mas empresas al cumplimiento de la sentencia Río Bogotá.</t>
  </si>
  <si>
    <t>Avance en la batería de indicadores para el seguimiento del PAC. Ejecución de acciones de adaptación para mejorar la calidad ambiental y reducir los efectos del cambio climático.</t>
  </si>
  <si>
    <t>Durante el mes de septiembre de 2021, se incorporó y verifico criterios de sostenibilidad ambiental a diecisiete (17) proyectos. Así mismo, se brindo acompañamiento tecnico a 295 m2 de  jardines verticales en la ciudad.</t>
  </si>
  <si>
    <t>Se reconocen 15 negocios verdes -NV-; 1 (ene), 1 (feb), 1 (mar), 2 (abril), 2 (mayo), 2 (junio), 2 j(ulio), 2 (agosto) y 2 (septiembre), los cuales en promedio lograron el 64% de los criterios evaluados logrando el cumplimiento de la meta, adicionalmente, los NV del último mes hacen parte de la categoría de Ecoproductos Industriales.</t>
  </si>
  <si>
    <t>Se realizaron 2 talleres de economía circular y jornadas individuales de acompañamiento a empresas del proyecto de fortalecimiento de la cadena de valor. Se hizo jornada de formulación de proyectos con empresarios a través de la CCB y 2da jornada de sensibilización sobre PTAR de San Benito</t>
  </si>
  <si>
    <t>Avance en la definición del Monitoreo, Evaluación y Reporte del PAC. Ejecución de acciones de adaptación para mejorar la calidad ambiental y reducir los efectos del cambio climático.</t>
  </si>
  <si>
    <t>Durante el mes de octubre de 2021, se incorporó y verifico criterios de sostenibilidad ambiental a diecisiete (17) proyectos. Así mismo, se brindo acompañamiento técnico a 292 m2 de  jardines verticales en la ciudad.</t>
  </si>
  <si>
    <t>Se reconocen 17 negocios verdes -NV-; 1 (ene), 1 (feb), 1 (mar), 2 (abril), 2 (mayo), 2 (junio), 2 j(ulio), 2 (agosto), 2 (septiembre) y 2 (octubre), los cuales en promedio lograron el 57% de los criterios evaluados logrando el cumplimiento de la meta, adicionalmente, los NV del último mes hacen parte de la categoría de Ecoproductos Industriales.</t>
  </si>
  <si>
    <t xml:space="preserve">Se realizó 2 talleres en herramientas de formulación para proyectos de economía circular para curtiembres, en galvánico se gestionó capacitación para el manejo de sustancias químicas y se realizó planeación para el programa de proveedores verdes. Para minería se brindó capacitación en la NTC 6033 </t>
  </si>
  <si>
    <t>Ajuste de acciones para CONPES. Ejecución de acciones de adaptación para mejorar la calidad ambiental y reducir los efectos del cambio climático.</t>
  </si>
  <si>
    <t>Durante el mes de noviembre de 2021, se incorporó y verifico criterios de sostenibilidad ambiental a quince (15) proyectos. Así mismo, se brindo acompañamiento tecnico a 291 m2 de  jardines verticales en la ciudad.</t>
  </si>
  <si>
    <t>Se reconocen 17 negocios verdes -NV-; 1 (ene), 1 (feb), 1 (mar), 2 (abril), 2 (mayo), 2 (junio), 2 j(ulio), 2 (agosto), 2 (septiembre), 2 (octubre) y 2 (noviembre), los cuales en promedio lograron el 60,5% de los criterios evaluados logrando el cumplimiento de la meta, adicionalmente, los NV del último mes hacen parte de la categoría de bienes y servicios sostenibles provenientes de recursos naturales</t>
  </si>
  <si>
    <t xml:space="preserve">Se hizo 3 capacitaciones con enfoque hacia la identificación de iniciativas de economía circular para el sector curtidor y se gestionó asesoría individual con la CCB para formulación del proyecto de ASOPIESB. En galvánico se realizó jornada de benchmarking para tratamientos con tecnología nano </t>
  </si>
  <si>
    <t>Ajuste final de resultados, productos e indicadores del PAC. Ejecución de acciones de adaptación para mejorar la calidad ambiental y reducir los efectos del cambio climático.</t>
  </si>
  <si>
    <t>Durante el mes de diciembre de 2021, se incorporó y verifico criterios de sostenibilidad ambiental a dieciseis (16) proyectos. Así mismo, se brindo acompañamiento tecnico a 298 m2 de  techos verdes en la ciudad.</t>
  </si>
  <si>
    <t>Se reconocen 20 negocios verdes -NV-; 1 (ene), 1 (feb), 1 (mar), 2 (abril), 2 (mayo), 2 (junio), 2 j(ulio), 2 (agosto), 2 (septiembre), 2 (octubre), 2 (noviembre) y 1 (diciembre), el cual hace parte de la categoría de bienes y servicios sostenibles provenientes de recursos naturales</t>
  </si>
  <si>
    <t>Se realizó reunión con la empresa Colmena para los resultados del proyecto; se hizo visita a la empresa INDUSEL con el comité verificador de la sentencia para conocer las prácticas de PML. En minería se trabajó con la CAR la herramienta de autodiagnóstico para el proyecto de “Ladrillos verdes”</t>
  </si>
  <si>
    <t>Consolidación de propuesta de Monitoreo, Evaluación y Reporte del componente de mitigación del PAC. Ejecución de acciones de adaptación para mejorar la calidad ambiental y reducir los efectos del cambio climático.</t>
  </si>
  <si>
    <t>II PRODUCTO (FÍSICO) VIGENCIA 2022</t>
  </si>
  <si>
    <t>% PESO 2022</t>
  </si>
  <si>
    <t>META VIGENCIA  2022</t>
  </si>
  <si>
    <t>AVANCE VIGENCIA 2022</t>
  </si>
  <si>
    <t>% AVANCE VIGENCIA 2022</t>
  </si>
  <si>
    <t>Durante el mes deenero de 2022, se  adelanto las actividades contractuales requeridas para la contratación del equipo técnico y administrativo necesario para la ejecución de la meta; sin embago, se brindo acompañamiento tecnico a 40 m2 de  jardines verticales en la ciudad.</t>
  </si>
  <si>
    <t xml:space="preserve">"Para el presente mes se realizó la validación final de la verificación de los criterios de negocios verdes, realizada a 2 empresas que son: DEKONCIENCIA SAS e
IBON TATIANA ARIZA RIBON (JÜPPA ECO SHOES)
</t>
  </si>
  <si>
    <t>Se llevan a cabo dos talleres presenciales los días 18 y 25 de enero en el marco del proyecto  “Fortalecimiento de la Innovación y los mercados sostenibles del clúster del cuero en el barrio San Benito”, abarcando las temáticas de modelos de negocios sostenibles y metodología CANVAS</t>
  </si>
  <si>
    <t>Ejecución de acciones de adaptación para mejorar la calidad ambiental y reducir los efectos del cambio climático.</t>
  </si>
  <si>
    <t>#DIV/0!</t>
  </si>
  <si>
    <t>Durante el mes de febrero de 2022, se incorporó y verifico criterios de sostenibilidad ambiental a veinticuatro (24) proyectos. Así mismo, se brindo acompañamiento tecnico a 464 m2 de  techos verdes en la ciudad.</t>
  </si>
  <si>
    <t xml:space="preserve">"Para el presente mes se realizó la verificación de los criterios de negocios verdes de otras 2 empresas para acumular 4 en la vigencia: DEKONCIENCIA SAS e IBON TATIANA ARIZA RIBON (JÜPPA ECO SHOES), RECUPERACIÓN DE CARTON CORRUGADO SAS y EMPAQUES Y PROYECTOS SACKPROM SAS. "
</t>
  </si>
  <si>
    <t>Se participó de la Feria Internacional del Cuero, calzado y marroquinería del 8 al 11 de febrero en el marco del proyecto de fortalecimiento de la cadena de valor del cuero</t>
  </si>
  <si>
    <t>Durante el mes de marzo de 2022, se incorporó y verifico criterios de sostenibilidad ambiental a veinticuatro (24) proyectos. Así mismo, se brindo acompañamiento tecnico a 452 m2 de techos verdes y jardines verticales en la ciudad.</t>
  </si>
  <si>
    <t xml:space="preserve">Se reconoce a un (1) negocio verde: Fundación alianza Buitakien, el mes de marzo que obtiene un puntaje del 61% en los criterios evaluados, generando el cumplimiento de la meta. </t>
  </si>
  <si>
    <t>Se realizó jornada con empresas pertenecientes a la cadena de valor del cuero para vincularse al proyecto de San Benito Circular buscando establecer diferentes conexiones comerciales bajo estrategias de sostenibilidad.</t>
  </si>
  <si>
    <t>Ejecución de acciones de adaptación al cambio climático, priorizadas del Plan de Acción Climática para Bogotá 2020-2050, para mejorar la calidad ambiental y reducir los efectos del cambio climático.</t>
  </si>
  <si>
    <t>Durante el mes de abril de 2022, se incorporó y verifico criterios de sostenibilidad ambiental a veinticuatro (24) proyectos. Así mismo, se brindo acompañamiento tecnico a 448 m2 de jardines verticales en la ciudad.</t>
  </si>
  <si>
    <t>En el mes de abril se reconocieron tres negocios verdes: ARTE LUZ-KA., con un puntaje de 51,26%  Radicado 2022ER58365, LIZARD MOTORS SAS, con un puntaje de 57% Rad 2022ER57588 y MAS COMPOST SAS con un puntaje de 65,95% Rad 2022ER54160, dando cumplimiento a la meta.</t>
  </si>
  <si>
    <t>Se realizó taller de estrategias de sostenibilidad para posicionamiento de empresas del sector curtidor frente a clientes y consumidores. Así mismo, se realizó curso de formación en alianza con el SENA en manipulación de residuos peligrosos para el sector curtidor y recubrimientos electrolíticos</t>
  </si>
  <si>
    <t>Durante el mes de mayo de 2022, se incorporó y verifico criterios de sostenibilidad ambiental a veinticuatro (24) proyectos. Así mismo, se brindo acompañamiento tecnico a 457 m2 de jardines verticales en la ciudad.</t>
  </si>
  <si>
    <t>En el mes de mayo se reconocieron dos  negocios verdes: PATASOLATREKK SAS., con un puntaje de 51.18%   y REEMADE SAS BIC, con un puntaje de 66.39% , dando cumplimiento a la meta.</t>
  </si>
  <si>
    <t>Se participó de la apertura de Bogotá Fashion Week, de la celebración del día del río Bogotá y recorrido con socialización en el barrio San Benito para socializar resultados del proyecto San Benito Circular. Así mismo, finalizó la capacitación en manipulación de residuos peligrosos</t>
  </si>
  <si>
    <t>Acciones de adaptación al cambio climático priorizadas del Plan de Acción Climática para Bogotá 2020-2050, ejecutadas en la ciudad para mejorar su calidad ambiental y reducir los efectos del cambio climático.</t>
  </si>
  <si>
    <t>Durante el mes de junio de 2022, se incorporó y verifico criterios de sostenibilidad ambiental a veinticuatro (24) proyectos. Así mismo, se brindo acompañamiento tecnico a 451 m2 de techos verdes y jardines verticales en la ciudad.</t>
  </si>
  <si>
    <t>En el mes de junio se reconocieron dos  negocios verdes: AKORAZADOS SAS., con un puntaje de 51.12%   y TE SIRVE BIORECICLA S.A.S, con un puntaje de 51% , dando cumplimiento a la meta.</t>
  </si>
  <si>
    <t>Se participó de evento con ACOLCUR para presentar resultados del proyecto de fortalecimiento de la cadena de valor del cuero. Así mismo, se realizó capacitación para el buen uso del sistema de alcantarillado y reporte de caracterizaciones</t>
  </si>
  <si>
    <t>Acciones priorizadas de adaptación al cambio climático, ejecutadas en la ciudad para aportar al mejoramiento de la calidad ambiental y reducir los efectos del cambio climático.</t>
  </si>
  <si>
    <t>Durante el mes de julio de 2022, se incorporó y verifico criterios de sostenibilidad ambiental a veinticuatro (24) proyectos. Así mismo, se brindo acompañamiento tecnico a 455 m2 de techos verdes y jardines verticales en la ciudad.</t>
  </si>
  <si>
    <t>En el mes de julio se reconocieron dos  negocios verdes: BICIMAIL SAS., con un puntaje de 63,58%   y LAURA AÑEZ TEXTILES, con un puntaje de 55,65 , dando cumplimiento a la meta.</t>
  </si>
  <si>
    <t>Se participó de la feria de ExpoCircular y Carbono Neutro para socialización de resultados del proyecto de fortalecimiento de la cadena de valor del cuero. Así mismo, se realizó la primera jornada de benchmarking con empresas de recubrimientos electrolíticos para presentar experiencias exitosas.</t>
  </si>
  <si>
    <t>Ejecución de acciones de adaptación al cambio climático en la ciudad, para aportar al mejoramiento de la calidad ambiental y reducir los efectos del cambio climático.</t>
  </si>
  <si>
    <t>Durante el mes de septiembre de 2022, se incorporó y verifico criterios de sostenibilidad ambiental a veinticuatro (24) proyectos. Así mismo, se brindo acompañamiento tecnico a 460 m2 de techos verdes y jardines verticales en la ciudad.</t>
  </si>
  <si>
    <t>De acuerdo a lo establecido en el Plan Nacional de Negocios Verdes se realizó la verificación de un negocio, el cual fue establecido como negocios verdes, por cumplir con los criterios necesarios para ser negocio verde, 2022ER211733 FONDOTUR con un puntaje total de 55.36 %</t>
  </si>
  <si>
    <t>Se participó de la jornada de benchmarking para identificación de buenas prácticas ambientales del sector curtidor así como, capacitación al sector galvánico en Economía Circular.</t>
  </si>
  <si>
    <t>Acciones ejecutadas para la adaptación de la ciudad al cambio climático y para aportar al mejoramiento de la calidad ambiental. Formulación de la Política Pública para la Acción Climática en proceso.</t>
  </si>
  <si>
    <t>Durante el mes de octubre de 2022, se incorporó y verifico criterios de sostenibilidad ambiental a veinticuatro (24) proyectos. Así mismo, se brindo acompañamiento tecnico a 450 m2 de jardines verticales en la ciudad.</t>
  </si>
  <si>
    <t>Se realizó la verificación de un negocio verde, el cual fue establecido como negocios verdes, por cumplir con los criterios necesarios para ser negocio verde A continuación se relaciona:
• 2022ER222284- 2022EE265619 CLARA INTENCION con un puntaje total de 60.24 %</t>
  </si>
  <si>
    <t>Se realizó la feria interinstitucional para el sector curtidor brindando asesoría y acompañamiento técnico a las diferentes industrias en San Benito, así mismo, se continuó con plan de capacitación para el sector galvánico</t>
  </si>
  <si>
    <t>Durante el mes de noviembre de 2022, se incorporó y verifico criterios de sostenibilidad ambiental a veinticuatro (23) proyectos. Así mismo, se brindo acompañamiento tecnico a 450 m2 de jardines verticales y techos verdes en la ciudad.</t>
  </si>
  <si>
    <t>De acuerdo a lo establecido en el Plan Nacional de Negocios Verdes se realizó la verificación de un negocio, el cual fue establecido como negocios verdes, por cumplir con los criterios necesarios para ser negocio verde:
• 2022EE305820 NAPGUANA SAS con un puntaje total de 65.8 %</t>
  </si>
  <si>
    <t>Se realizó conversatorio en innovación y sostenibilidad en los procesos al interior de las curtiembres y el evento de casos exitosos en los procesos de recubrimientos electrolíticos de sustitución de insumos químicos y buenas prácticas ambientales</t>
  </si>
  <si>
    <t>Acciones ejecutadas para la adaptación de la ciudad al cambio climático y para aportar al mejoramiento de la calidad ambiental. Política Pública para la Acción Climática en proceso de formulación.</t>
  </si>
  <si>
    <t>Durante el mes de Diciembre de 2022, se incorporó y verifico criterios de sostenibilidad ambiental a veinte (20) proyectos. Así mismo, se brindo acompañamiento tecnico a 460 m2 de jardines verticales en la ciudad.</t>
  </si>
  <si>
    <t>De acuerdo a lo establecido en el Plan Nacional de Negocios Verdes se realizó la verificación de un negocio, el cual cumplió con los criterios necesarios para ser negocio verde: 2022EE327629 ZHANASOLUTIONS GREEN ENGINEERING SAS con un puntaje total de 68,44%, en un nivel Satisfactorio</t>
  </si>
  <si>
    <t>Se realizó divulgación de la guía de tratamiento de aguas residuales para el sector curtidor. Así mismo, en mesa de sectores productivos se socializó las acciones realizadas para los tres sectores productivos (minería, galvánico y curtiembres)</t>
  </si>
  <si>
    <t>II PRODUCTO (FÍSICO) VIGENCIA 2023</t>
  </si>
  <si>
    <t>% PESO 2023</t>
  </si>
  <si>
    <t>META VIGENCIA  2023</t>
  </si>
  <si>
    <t>AVANCE VIGENCIA 2023</t>
  </si>
  <si>
    <t>% AVANCE VIGENCIA 2023</t>
  </si>
  <si>
    <t xml:space="preserve">Durante el mes de enero de 2023, se incorporó y verifico criterios de sostenibilidad ambiental a cinco (5) proyectos. </t>
  </si>
  <si>
    <t>En el mes de enero no se presentó avance en el número de negocios verdes consolidados, dado que se está adelantando el proceso de contratación del equipo de Negocios Verdes</t>
  </si>
  <si>
    <t>Durante el periodo de enero no fueron programadas actividades de divulgación</t>
  </si>
  <si>
    <t>Acciones para la adaptación de la ciudad al cambio climático y para aportar al mejoramiento de la calidad ambiental.</t>
  </si>
  <si>
    <t>Durante el mes de febrero de 2023, se incorporó y verifico criterios de sostenibilidad ambiental a treinta (30) proyectos. Así mismo, se brindo acompañamiento tecnico a 600 m2 de  techos verdes en la ciudad.</t>
  </si>
  <si>
    <t>En el mes de febrero de 2023 fueron verificados y aprobados 2 empresas R3CO ROPA RESPONSABLE y COMPAÑIA SERIVICIOS LOGISTICOS.</t>
  </si>
  <si>
    <t>Para el sector curtidor se realizó la reunión de articulación con la CCB; para galvánico se realizó reunión de las actividades del proyecto con empresas vinculadas y de química verde y para el sector minero se adelantó una reunión con las ladrilleras vinculadas al proyecto de ladrillo verde.</t>
  </si>
  <si>
    <t>Acciones para la adaptación de la ciudad al cambio climático y para aportar al mejoramiento de la calidad ambiental.
Política Pública para la Acción Climática en proceso de formulación.</t>
  </si>
  <si>
    <t>Durante el mes de marzo de 2023, se incorporó y verifico criterios de sostenibilidad ambiental a treinta y un (31) proyectos. Así mismo, se brindo acompañamiento tecnico a 650 m2 de  techos verdes en la ciudad.</t>
  </si>
  <si>
    <t xml:space="preserve">En el mes de marzo de 2023 se realizó la verificación de cuatro negocios,:
• 2023EE59976 KULTY COLOMBIA SAS.
• 2023EE60643 AQSTICA SAS. 
• 2023EE63249 ECO-TRICILOS SAS 
• 2023EE65400 JENNY CATALINA CASTRO BARON. </t>
  </si>
  <si>
    <t>Para el sector curtidor se realizó la Mesa distrital de Curtiembres; para el sector galvánico se realizaron la mesa distrital de Producción Más Limpia, la apertura de PREAD y 2 socializaciones a empresas y para el sector minero se adelantó la reunión con las ladrilleras vinculadas a "ladrillo verde"</t>
  </si>
  <si>
    <t>Acciones para que la ciudad se adapte al cambio climático.
Política Pública para la Acción Climática en proceso de formulació</t>
  </si>
  <si>
    <t>Durante el mes de abril de 2023, se incorporó y verifico criterios de sostenibilidad ambiental a treinta  (30) proyectos. Así mismo, se brindo acompañamiento tecnico a 600 m2 de  techos verdes en la ciuda</t>
  </si>
  <si>
    <t xml:space="preserve">4 fueron verificados y aprobados en el mes de abril del año 2023 y corresponde a los siguientes negocios:
NANOMAC DC SAS BIC, MOLIPLASTICOS LYF SAS., URBAN CAR BAG SAS y SADORA MARTIN </t>
  </si>
  <si>
    <t>Para el sector curtidor se realizó la mesa distrital de curtiembres y visitas técnicas a empresas vinculadas al proyecto San Benito Circular II; para el sector metalurgia se adelantó la mesa distrital de Producción Más Limpia y reuniones de acompañamiento individual; y para el sector minero se adelantó la visita de campo a las ladrilleras vinculadas al proyecto de ladrillos verdes</t>
  </si>
  <si>
    <t>Acciones para aportar a la adaptación y resiliencia de la ciudad ante el cambio climático.
Política Pública para la Acción Climática en proceso de formulación.</t>
  </si>
  <si>
    <t>Durante el mes de mayo de 2023, se incorporó y verifico criterios de sostenibilidad ambiental a treinta y un  (31) proyectos. Así mismo, se brindo acompañamiento tecnico a 600 m2 de  techos verdes en la ciuda</t>
  </si>
  <si>
    <t>4 negocios verdes fueron verificados y aprobados en el mes de mayo  del año 2023:
ASOCIACIÓN DE RECICLADORES WAY OF HOPE puntaje: 51.36%
CAMALEON BAG SAS puntaje: 60.03%
CATALINA MOSSOS CASTRO puntaje:67.27%
TRENDIER COLOMBIA SAS puntaje: 72.60%</t>
  </si>
  <si>
    <t xml:space="preserve">Para el sector curtidor se realizó la mesa distrital de curtiembres y visitas técnicas; para el sector metalurgia la mesa distrital de Producción Más Limpia, la jornada de benchmarking y visitas a las empresas; y para el sector minero socialización del proyecto a dos ladrilleras nueva para vincularlas al proyecto de ladrillos verdes.
</t>
  </si>
  <si>
    <t>Acciones para aportar a la adaptación y resiliencia de la ciudad ante el cambio climático.
Avances en la formulación de la Política Pública para la Acción Climática Bogotá 2050.</t>
  </si>
  <si>
    <t>Durante el mes de junio de 2023, se incorporó y verifico criterios de sostenibilidad ambiental a treinta y un  (31) proyectos. Así mismo, se brindo acompañamiento tecnico a 615 m2 de  techos verde y jardines verticales en la ciudad</t>
  </si>
  <si>
    <t>3 negocios verdes fueron verificados y aprobados en el mes de junio  del año 2023:
AGROCOLOMBIAEXPORT SAS, puntaje: 60,15% 
AV AGUA Y VIDA SAS, puntaje: 58,82%
ARTP INVERSIONES SAS , puntaje: 78,59%</t>
  </si>
  <si>
    <t xml:space="preserve">Para el sector curtidor se realizó la mesa distrital de curtiembres y visitas técnicas; para el sector metalurgia se adelantó la mesa distrital de Producción Más Limpia y visitas a las empresas; y para el sector minero se realizó la mesa distrital de minería y mesas de trabajo con las ladrilleras
</t>
  </si>
  <si>
    <t>Acciones para aportar a la adaptación y resiliencia de la ciudad ante el cambio climático.</t>
  </si>
  <si>
    <t>Durante el mes de julio de 2023, se incorporó y verifico criterios de sostenibilidad ambiental a treinta y un  (31) proyectos. Así mismo, se brindo acompañamiento tecnico a 575 m2 de  techos verde y jardines verticales en la ciudad</t>
  </si>
  <si>
    <t>3 negocios verdes fueron verificados y aprobados en el mes de julio  del año 2023:
 Radicado 2023ER137859 BOLSA VIDA Informe 2023EE166367 Puntaje 63.31
 Radicado 2023ER135307 NEOTROPICO COLOMBIA S.A.S SANTO REMEDIO 2023EE154361 Puntaje 65.80
 Radicado 2023ER145159 COLIBRI HONEY BEE Puntaje 76.81</t>
  </si>
  <si>
    <t>Para el sector curtidor se realizaron visitas técnicas de seguimiento; para el sector metalurgia la mesa distrital de Producción Más Limpia y visitas a las empresas; y para el sector minero mesa distrital de minería y dos mesas de trabajo con las ladrilleras vinculadas al proyecto.</t>
  </si>
  <si>
    <t>Ejecución de acciones para aportar a la adaptación al cambio climático, al mejoramiento de la calidad ambiental y reducir los efectos del cambio climático. Avance en la formulación de la Política Pública de Acción Climática.</t>
  </si>
  <si>
    <t>Durante el mes de agosto de 2023, se incorporó y verifico criterios de sostenibilidad ambiental a treinta y un  (31) proyectos. Así mismo, se brindo acompañamiento tecnico a 671 m2 de  techos verde en la ciudad</t>
  </si>
  <si>
    <t>Negocios Verdes Verificados: 
Vegan Mix, Puntaje 80.60.
D`Classe, Puntaje 61.71
NUEVAS TECNOLOGÍAS FISICOQUÍMICAS S.A.S. B.I.C.  Puntaje 65.92.</t>
  </si>
  <si>
    <t>Para el sector curtidor se realizó una visita técnica para la guía de tratamiento; para el sector metalurgia la mesa distrital de Producción Más Limpia y seguimiento a las empresas; y para el sector minero mesa distrital de minería y dos mesas de trabajo con las ladrilleras vinculadas al proyecto.</t>
  </si>
  <si>
    <t>Ejecución de acciones para aportar a la adaptación al cambio climático, al mejoramiento de la calidad ambiental y reducir los efectos del cambio climático. Ajustes finales a la Política Pública de Acción Climática.</t>
  </si>
  <si>
    <t>Durante el mes de septiembre de 2023, se incorporó y verifico criterios de sostenibilidad ambiental a treinta y un  (31) proyectos. Así mismo, se brindo acompañamiento tecnico a 585 m2 de  techos verde en la ciudad</t>
  </si>
  <si>
    <t>Negocios Verdes Verificados: 
JOYAS DE ARTE SOSTENIBLE-2023EE218269 Puntaje 57.14
ESENCIA SOSTENIBLE -2023EE223756 Puntaje 51.76
KOJI ES TRANSFORMACION S.A.S-2023EE223759 Puntaje. 73.55</t>
  </si>
  <si>
    <t>Para el sector curtidor se realizaron sesiones de seguimiento a los proyectos y taller de herramientas de apropiación; para el sector metalurgia la mesa distrital de Producción Más Limpia; y para el sector minero mesa distrital de minería y dos mesas de trabajo con las ladrilleras vinculadas.</t>
  </si>
  <si>
    <t xml:space="preserve">Política Pública Acción Climática aprobada y ejecución de acciones para aportar a la adaptación al cambio climático, al mejoramiento de la calidad ambiental y reducir los efectos del cambio climático. </t>
  </si>
  <si>
    <t>Durante el mes de octubre de 2023, se incorporó y verifico criterios de sostenibilidad ambiental a treinta y un  (31) proyectos. Así mismo, se brindo acompañamiento tecnico a 611 m2 de  techos verde en la ciudad</t>
  </si>
  <si>
    <t>En octubre se verificaron tres negocios verdes, por cumplir con los criterios necesarios:
•CALIPSO CONSULTORIA SAS BIC-2023EE252095 Puntaje 76.88%
• GOLDENSEC -2023EE252645 Puntaje 68.98%
• ORGANIC MODE SAS-2023EE252678 Puntaje. 59.30%</t>
  </si>
  <si>
    <t>Para el sector curtidor se realizó seguimiento a los proyectos formulados ; para el sector metalurgia la mesa distrital de Producción Más Limpia y las sesiones de retroalimentación a los proyectos individuales ; y para el sector minero mesa distrital y 2 mesas de trabajo con las ladrilleras.</t>
  </si>
  <si>
    <t xml:space="preserve">Ejecución de acciones para aportar a la adaptación al cambio climático, al mejoramiento de la calidad ambiental y reducir los efectos del cambio climático. </t>
  </si>
  <si>
    <t>Durante el mes de noviembre de 2023, se incorporó y verifico criterios de sostenibilidad ambiental a veinte  (20) proyectos. Así mismo, se brindo acompañamiento tecnico a 223 m2 de  techos verde en la ciudad</t>
  </si>
  <si>
    <t>En noviembre se verificaron tres negocios verdes, por cumplir con los criterios necesarios:
AKASHA DESIGN LAB S.A.S - 2023EE278883 Puntaje 64.87%
NATALIA SERNA BUENO – 2023EE278846 Puntaje 64.51%
DESTINOS TOUR COLOMBIA SAS BIC- 2023EE278885 Puntaje. 57.47%</t>
  </si>
  <si>
    <t>En el sector curtidor se realizó seguimiento a los proyectos formulados ; para el sector metalurgia evento de cierre del proyecto y las sesiones de socialización de puntajes; y para el sector minero mesa distrital, 2 mesas de trabajo con las ladrilleras y la CAR.</t>
  </si>
  <si>
    <t>Ejecución de acciones para aportar a la adaptación al cambio climático, al mejoramiento de la calidad ambiental y reducir los efectos del cambio climático.</t>
  </si>
  <si>
    <t>Durante el mes de diciembre de 2023, se incorporó y verifico criterios de sostenibilidad ambiental a veinte  (20) proyectos. Así mismo, se brindo acompañamiento tecnico a 192 m2 de  jardines verticales en la ciudad</t>
  </si>
  <si>
    <t>En diciembre se verificaron dos negocios verdes, por cumplir con los criterios necesarios:
• AMARALIA BM S.A.S 2023EE302091 Puntaje 54.89%
•CONSENTIDOS POR LA NATURALEZA S.A.S– 2023EE302085 Puntaje 74.93%</t>
  </si>
  <si>
    <t>Para el sector curtidor se socializó la guía de compras sostenibles;para el sector metalurgia se participó en la mesa de PML del sector; y para el sector minero mesa distrital, 1 mesa de trabajo con la CAR y una reunión con una empresa ladrillera con Sello Ambiental Colombiano</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</si>
  <si>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</si>
  <si>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</si>
  <si>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</si>
  <si>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</si>
  <si>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</si>
  <si>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</si>
  <si>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</si>
  <si>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</si>
  <si>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</si>
  <si>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</si>
  <si>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 xml:space="preserve"> Asistir a 800 proyectos participantes de programas voluntarios ofrecidos por la SEGAE, para el mejoramiento del desempeño ambiental.</t>
  </si>
  <si>
    <t xml:space="preserve">Acompañar y promover a 100 empresas en el proceso de verificación de los criterios de Negocios verdes.
</t>
  </si>
  <si>
    <t>Desarrollar 9 proyectos de producción más limpia en los sectores priorizados.</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</si>
  <si>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</si>
  <si>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</si>
  <si>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</si>
  <si>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</si>
  <si>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</si>
  <si>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</si>
  <si>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</si>
  <si>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</si>
  <si>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</si>
  <si>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</si>
  <si>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</si>
  <si>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</si>
  <si>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</si>
  <si>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</si>
  <si>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0900G149-conceptos técnicos emitidos frente a requerimientos de otras instituciones</t>
  </si>
  <si>
    <t>Durante el mes de diciembre de 2020, se incorporó criterios de sostenibilidad ambiental a 11 proyectos, tanto en espacio público como en privado. Así mismo, se realizó la verificación a la incorporación de determinantes ambientales a 8 proyectos de infraestructura en el espacio público</t>
  </si>
  <si>
    <t>0900G107-Hectareas monitoreadas</t>
  </si>
  <si>
    <t>Ha</t>
  </si>
  <si>
    <t>Durante el mes de diciembre de 2020 se ha realizado el acompañamiento técnico a 290 m2 correspondientes a jardines verticales, en proyectos existentes en espacio público y privado de las localidades de San Cristobal, Chapinero, Engativá y Puente Aranda  de la Ciudad de Bogotá.</t>
  </si>
  <si>
    <t>0900G113-Planes De Acción O Gestión Con Seguimiento.</t>
  </si>
  <si>
    <t>En 2020 acorde a lo planeado se lleva un acumulado de 0,1. En diciembre, se envió a revisión para observaciones capítulos 1,2 y 3 del documento preliminar de la EDCV. Mapeo entidades de financiamiento a proyectos verdes. Se continuó articulación de agendas con la academia y con SDDE a quien se invitó a participar del curso Ecodiseño en la economía Circular.</t>
  </si>
  <si>
    <t>0900G024- Seguimiento A La Formulación Del Proyecto De Procesos De Tecnologías Limpias</t>
  </si>
  <si>
    <t>Se realiza seguimiento a la formulación de los proyectos de producción más limpia, encontrando que la formulación del primer proyecto a desarrollar esta enfocado a las curtiembres de San Benito y se realizó la definición de objetivos completando su fase de formulacion. De otra parte se formulo un proyecto presentado en diciembre a la convocatoria de Innovacluster. Así mismo, se dará continuidad al inventario de curtiembres.</t>
  </si>
  <si>
    <t>0900G112- Planes De Acción O Gestión Formulados.</t>
  </si>
  <si>
    <t>Culminó la formulación de la primera versión del Plan de Acción Climática. 
Ejecución de algunas acciones de adaptación priorizadas: proyectos de adaptación al cambio climático; Gestión del riesgo por incendio forestal; Respuesta a emergencias; Implementación de instrumentos (PIGA y PACA); Seguimiento para recuperar y manejar suelos de protección por riesgo no mitigable.</t>
  </si>
  <si>
    <t>IV GESTIÓN  (FÍSICO) VIGENCIA 2021</t>
  </si>
  <si>
    <t>META VIGENCIA 2021</t>
  </si>
  <si>
    <t>AVANCE META VIGENCIA 2021</t>
  </si>
  <si>
    <t>% AVANCE META VIGENCIA 2021</t>
  </si>
  <si>
    <t>Durante el mes de febrero de 2021, se incorporó criterios de sostenibilidad ambiental a ocho (8)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y seis (06) Diseños paisajísticos de parques y zonas verdes.
Así mismo, se realizó la verificación a la incorporación de determinantes ambientales a seis (6) proyectos de infraestructura en el espacio público, correspondientes a Planes Directores para Parques.</t>
  </si>
  <si>
    <t>Durante el mes defebrero de 2021 se ha realizado el acompañamiento técnico a 301 m2 correspondientes a jardines verticales, en proyectos existentes en espacio público y  privado de las localidades de Chapinero y Santa Fé.</t>
  </si>
  <si>
    <t>Con avance 2020, se consolidó árbol de problemas de la Estrategia Distrital de Crecimiento Verde (EDCV) según metodología CONPES, se desarrolló agenda de articulación con Secretaría de Desarrollo Económico y Cámara de Comercio de Bogotá. Se aplicaron encuestas de la EDCV a empresas del Programa GAE.</t>
  </si>
  <si>
    <t>Se realizó seguimiento a la formulación de los proyectos de producción más limpia, encontrando que para el sector curtiembres se encuentra avance al informar al sector de curtiembres a través de ASOPIESB sobre las mejoras requeriddas respecto a su propuesta de PTAR  para San Benito, de acuerdo a lo conceptuado por la EAAB . De otra parte se evidenció el inicio de la agenda para definir los lineamientos para las actividades posmineria presentes en Bogotá y para el sector de galvanoplastia se inicio la implementación de visitas y jornadas de trabajo virtuales para avanzar en la formulación del proyecto.</t>
  </si>
  <si>
    <t>Ejecución de acciones de adaptación priorizadas del Plan de Acción Climática para Bogotá 2020-2050: Gestión del riesgo por incendio forestal; Respuesta a emergencias; Implementación de instrumentos (PIGA y PACA); Seguimiento para recuperar y manejar suelos de protección por riesgo no mitigable.</t>
  </si>
  <si>
    <t>Durante el mes de Marzo de 2021, se incorporó criterios de sostenibilidad ambiental a diez (10)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un (01) Plan de Implantación y siete (07) Diseños paisajísticos de parques y zonas verdes. 
Así mismo, se realizó la verificación a la incorporación de determinantes ambientales a siete (7) proyectos de infraestructura en el espacio público, correspondientes a Diseños paisajisticos de parques y zonas verdes.</t>
  </si>
  <si>
    <t>Durante el mes de MARZO de 2021 se ha realizado el acompañamiento técnico a 296 m2 correspondientes a jardines verticales, en proyectos existentes en espacio público y  privado de las localidades de Martires y Puente Aranda.</t>
  </si>
  <si>
    <t xml:space="preserve">Se envió la versión 3 del árbol de problemas de la Estrategia Distrital de Crecimiento Verde al área de políticas de la Secretaria de Desarrollo Económico para sus comentarios y acuerdos, se detalló puntos focales de agenda con Cámara de Comercio de Bogotá. Se aplicó encuesta a empresas ACERCAR. </t>
  </si>
  <si>
    <t>Se realizó seguimiento al proyecto de fortalecimiento de la cadena de valor del cuero y se realizó planeación de capacitaciones para las curtiembres. Para galvanoplastia se recibio inscripción de 11 empresas y se aplico encuesta para priorizar lineas de intervención en PML. Para mineria se definieron lineas gruesas de intervención para el 2021.</t>
  </si>
  <si>
    <t>Ajustes al Plan de Acción Climática para Bogotá 2020-2050 y ejecución de algunas: Gestión del riesgo por incendio forestal; Respuesta a emergencias; Instrumentos (PIGA y PACA); Seguimiento para recuperar y manejar suelos de protección por riesgo no mitigable.</t>
  </si>
  <si>
    <t>Se incorporó criterios de sostenibilidad ambiental a 10 proyectos de diferentes escalas, tanto en espacio público como en privado.
Así mismo, se realizó la verificación a la incorporación de determinantes ambientales a 7 proyectos de infraestructura en el espacio público.</t>
  </si>
  <si>
    <t>Durante el mes de Abril de 2021 se ha realizado el acompañamiento técnico a 300 m2 correspondientes a jardines verticales, en un proyecto existente en espacio  privado pero abierto al publico de la localidad de Engativá.</t>
  </si>
  <si>
    <t>Se avanzó en el documento con la reestructuración del índice y en la consolidación para infografía del capítulo de antecedentes. Se orientó al equipo de líderes de los diferentes componentes de la estrategia para la elaboración del documento técnico. Se continuó con articulación interinstitucional.</t>
  </si>
  <si>
    <t>Ajuste final del Plan de Acción Climática para Bogotá 2020-2050 y lanzamiento. Ejecución de acciones de adaptación: Gestión del riesgo por incendio forestal; Respuesta a emergencias; Instrumentos (PIGA y PACA); Seguimiento para recuperar y manejar suelos de protección por riesgo no mitigable.</t>
  </si>
  <si>
    <t>Se incorporó criterios de sostenibilidad ambiental a 10 proyectos de de parques y zonas verdes en espacio público .
Así mismo, se realizó la verificación a la incorporación de determinantes ambientales a 7 proyectos de infraestructura en el espacio público.</t>
  </si>
  <si>
    <t>Durante el mes de mayo de 2021 se ha realizado el acompañamiento técnico a 320 m2 correspondientes a jardines verticales, en un proyecto existente en espacio  privado de la localidad de Chapinero.</t>
  </si>
  <si>
    <t>Participación en el plan de acción de la Política de desarrollo Económico articulando la Estrategia Distrital de Crecimiento Verde. Árbol de objetivos en versión final. Desarrollo de documentos técnicos que soportan los componentes de la estrategia. Avance en indicadores de medición.</t>
  </si>
  <si>
    <t xml:space="preserve">Se gestionó en el marco de la convocatoria de INNPULSA la documentación para la contratación del profesional por parte de la SDA para el proyecto de fortalecimiento de valor del cuero . En galvánico, se continuó la documentación del proyecto con formulación de alternativas.  </t>
  </si>
  <si>
    <t>Inicio del esquema para la definición del seguimiento al PACB 2020-2050. Ejecución de acciones de adaptación: Gestión del riesgo por incendio forestal; Respuesta a emergencias; Instrumentos PIGA y PACA; Seguimiento para recuperar y manejar suelos de protección por riesgo no mitigable.</t>
  </si>
  <si>
    <t>Se incorporó criterios de sostenibilidad ambiental a 10 proyectos de parques y zonas verdes en espacio público .
Así mismo, se realizó la verificación a la incorporación de determinantes ambientales a 7 proyectos de infraestructura en el espacio público.</t>
  </si>
  <si>
    <t>Durante el mes de junio de 2021 se ha realizado el acompañamiento técnico a 297 m2 correspondientes a jardines verticales, en un proyecto existente en espacio  privado de la localidad de Chapinero.</t>
  </si>
  <si>
    <t>Se avanzó en el desarrollo del documento, consolidación de capítulo 3 y capitulo 4, en este último se establecen de manera preliminar acciones de ciudad e instrumentales que implementan la estrategia. Se aplicó encuesta a ciudadanía y se continua articulación interinstitucional.</t>
  </si>
  <si>
    <t>Se realizó apertura con empresas del proyecto de fortalecimiento de valor del cuero, el cual está en proceso de formalización para la adjudicación de recursos. En galvánico se definió objetivos, metas e indicadores. En minería se gestionó articulación con el MinMinas para priorización de acciones.</t>
  </si>
  <si>
    <t>Avance en el esquema de seguimiento del PACB 2020-2050. Ejecución de acciones de adaptación: Gestión del riesgo por incendio forestal; Respuesta a emergencias; Instrumentos PIGA y PACA; Seguimiento para recuperar y manejar suelos de protección por riesgo no mitigable.</t>
  </si>
  <si>
    <t>Se incorporó criterios de sostenibilidad ambiental a 10 proyectos.
Así mismo, se realizó la verificación a la incorporación de determinantes ambientales a 7 proyectos de infraestructura en el espacio público.</t>
  </si>
  <si>
    <t>Durante el mes de julio de 2021 se ha realizado el acompañamiento técnico a 293 m2 correspondientes a jardines verticales y techos verdes, en siete proyecto existente en espacio público y privado de las localidades de Chapinero, Puente Aranda, San Cristóbal, Santa Fé, Suba y Teusaquillo.</t>
  </si>
  <si>
    <t>En julio, fue enviado para revisión y aprobación el documento técnico de la EDCV, este producto fue el resultado de la articulación y desarrollo técnico. Se elaboró y entrego para diseño el documento aprobado de resumen de la EDCV. Se continuó articulación de actores externos.</t>
  </si>
  <si>
    <t>Se firmó el acta de inicio para el proyecto de fortalecimiento de valor del cuero, se planeó el proyecto con la Embajada de Holanda con selección de empresas, estado del arte y propuesta de intervención. Para galvánico se continuo con mesas de trabajo para identificación de acciones con el secto</t>
  </si>
  <si>
    <t>Avance en el esquema de seguimiento del Plan de Acción Climática (PAC) 2020-2050. Realización de acciones de adaptación: Gestión del riesgo por incendio forestal; Respuesta a emergencias; Instrumentos PIGA y PACA; Seguimiento para recuperar y manejar suelos de protección por riesgo no mitigable.</t>
  </si>
  <si>
    <t>Durante el mes de agosto de 2021 se ha realizado el acompañamiento técnico a 311 m2 correspondientes a jardines verticales, en un proyecto existente en espacio público de la localidad de Santa Fé.</t>
  </si>
  <si>
    <t>En agosto, se consolidaron los comentarios para fortalecer el documento técnico de la EDCV, fue logrado el documento resumen de la estrategia por el diseñador, se gestionaron y entregaron insumos para preparar el evento de lanzamiento.</t>
  </si>
  <si>
    <t>Se inició el proyecto con la Embajada de Holanda para la asistencia técnica en tratamiento de aguas residuales, con la contratación del experto técnico, una reunión de inicio y la elaboración de un informe con el estado de las curtiembres de San Benito, como insumo. El proyecto del sector galvanico, inicio visitas de autodiagnóstico para validar el inventario de empresas, antes de continuar su implementación.</t>
  </si>
  <si>
    <t>Avance en la batería de indicadores del esquema de seguimiento del PAC. Realización de acciones de adaptación: Gestión del riesgo por incendio forestal; Respuesta a emergencias; Instrumentos PIGA y PACA; Seguimiento para recuperar y manejar suelos de protección por riesgo no mitigable.</t>
  </si>
  <si>
    <t>Durante el mes de septiembre de 2021 se ha realizado el acompañamiento técnico a 295 m2 correspondientes a jardines verticales, en un proyecto existente en espacio público de la localidad de Santa Fé.</t>
  </si>
  <si>
    <t xml:space="preserve">En septiembre, se realizó revisión de estilo al documento técnico de la EDCV, se realizaron ajustes y se obtuvo final del resumen. Se consolidaron temas de articulación a trabajar en el marco del memorando de entendimiento con SDDE y CCB. </t>
  </si>
  <si>
    <t>Se inició la fase de identificación y evaluación de soluciones técnicas con la Embajada de Holanda realizando una primera reunión de acercamiento eInició fase de evaluación de soluciones técnicas con la Embajada de Holanda, por lo cual se hizo reunión de acercamiento con ASOPIESB. En galvánico continuó las visitas para inventario y en minería se revisó requisitos para la certificación en el Sello Ambiental Colombiano de ladrillos y arcillas ntre la Embajada y ASOPIESB</t>
  </si>
  <si>
    <t>Revisión de indicadores del Monitoreo, Evaluación y Reporte del PAC. Realización de acciones de adaptación: Gestión del riesgo por incendio forestal; Respuesta a emergencias; Instrumentos PIGA y PACA; Seguimiento para recuperar y manejar suelos de protección por riesgo no mitigable.</t>
  </si>
  <si>
    <t>Durante el mes de octubre de 2021 se ha realizado el acompañamiento técnico a 292 m2 correspondientes a jardines verticales, en un proyecto existente en espacio público de la localidad de Santa Fé.</t>
  </si>
  <si>
    <t>En octubre, se obtuvo diseño del documento técnico de la EDCV en versión inicial. Se realizó articulación que direccionó la caracterización de los indicadores de resultado y de publicación en el Observatorio Ambiental de Bogotá. Se modeló el plan de seguimiento de las acciones de la estrategia.</t>
  </si>
  <si>
    <t xml:space="preserve">Continuó el proyecto con la Embajada de Holanda para lo cual la Embajada realizó visitas y se preparó la logística para capacitaciones a realizar. En galvánico se realizó acompañamiento para proyectos individuales de las empresas y se presentó el proyecto de sello verde para empresas ladrilleras </t>
  </si>
  <si>
    <t>Ajuste de acciones para CONPES. Realización de acciones de adaptación: Gestión del riesgo por incendio forestal; Respuesta a emergencias; Instrumentos PIGA y PACA; Seguimiento para recuperar y manejar suelos de protección por riesgo no mitigable.</t>
  </si>
  <si>
    <t>Se incorporó criterios de sostenibilidad ambiental a 10 proyectos.
Así mismo, se realizó la verificación a la incorporación de determinantes ambientales a 5 proyectos de infraestructura en el espacio público.</t>
  </si>
  <si>
    <t>Durante el mes de noviembre de 2021 se ha realizado el acompañamiento técnico a 291 m2 correspondientes a jardines verticales, en un proyecto existente en espacio público de las localidades de Santa Fé, teusaquillo, san cristobal, kennedy, engativa, chapinero y candelaria.</t>
  </si>
  <si>
    <t>En noviembre, se realizaron mesas de trabajo con el equipo técnico para estructurar el plan de acción de la estrategia para el 2022 y se envió a comentarios. Se revisó la aplicación de la formulación de los indicadores, realizando ajustes a los iniciales. Se continuó con articulación de actores.</t>
  </si>
  <si>
    <t>Se realizó 2 talleres con la Embajada de Holanda para presentar tecnologías sostenibles para la industria del cuero con expertos . En galvánico se hizo lanzamiento del programa proveedores verdes y se finalizaron visitas y minería se realizó versión preliminar de la lista de chequeo de la NTC 6033</t>
  </si>
  <si>
    <t>Revisión y ajuste final de resultados, productos e indicadores del PAC. Realización de acciones de adaptación: Gestión del riesgo por incendio forestal; Respuesta a emergencias; Instrumentos PIGA y PACA; Seguimiento para recuperar y manejar suelos de protección por riesgo no mitigable.</t>
  </si>
  <si>
    <t>Se incorporó criterios de sostenibilidad ambiental a 10 proyectos.
Así mismo, se realizó la verificación a la incorporación de determinantes ambientales a 6 proyectos de infraestructura en el espacio público.</t>
  </si>
  <si>
    <t>Durante el mes de diciembre de 2021 se ha realizado el acompañamiento técnico a 298 m2 correspondientes a techos verdes, en un proyecto existente en espacio público de las localidades de Santa Fé, teusaquillo, san cristobal, kennedy, engativa, chapinero y candelaria.</t>
  </si>
  <si>
    <t>En diciembre, se realizó el lanzamiento de la EDCV en el marco de la XXI ceremonia del PREAD. Se obtuvo el diseño definitivo del documento técnico de la estrategia. Se pactó plan de trabajo con el OAB para realizar el montaje de información e indicadores. Se continuó con articulación de actores.</t>
  </si>
  <si>
    <t xml:space="preserve">Se finalizó proyecto con la Embajada de Holanda, se realizó la presentación de proyectos individuales formulados en el proyecto de la cadena de valor del cuero. En galvánico se hizo apertura para el proyecto de fortalecimiento de la cadena del sector de recubrimientos con las empresas inscritas </t>
  </si>
  <si>
    <t>Consolidación de propuesta de Monitoreo, Evaluación y Reporte del componente de mitigación del PAC. Acciones de adaptación: Gestión del riesgo por incendio forestal; Respuesta a emergencias; Instrumentos PIGA y PACA; Seguimiento para recuperar y manejar suelos de protección por riesgo no mitigable.</t>
  </si>
  <si>
    <t>IV GESTIÓN  (FÍSICO) VIGENCIA 2022</t>
  </si>
  <si>
    <t>META VIGENCIA 2022</t>
  </si>
  <si>
    <t>AVANCE META VIGENCIA 2022</t>
  </si>
  <si>
    <t>% AVANCE META VIGENCIA 2022</t>
  </si>
  <si>
    <t>Durante el mes de enero se adelanto las actividades contractuales requeridas para la contratación del equipo técnico y administrativo necesario para la ejecución de la meta en la vigencia 2022</t>
  </si>
  <si>
    <t>Durante el mes de enero de la vigencia 2022, se ha realizado acompañamiento técnico a 40 m2 de jardines verticales, promovidos en las siguientes localidades: Suba (20 m2) y Chapinero (20 m2).</t>
  </si>
  <si>
    <t>En Enero de 2022 se avanzó con un 0,01, se realizó la planeación de los mecanismos de implementación de la Estrategia, los actores requeridos y se avanzó en la formulación de Bogotá Circular, uno de los cuatro pilares de la Estrategia.</t>
  </si>
  <si>
    <t>Se inicia reporte de la implementación del proyecto  “Fortalecimiento de la Innovación y los mercados sostenibles del clúster del cuero en el barrio San Benito”. Durante enero se lleva a cabo reunión entre la Universidad de los Andes y SDA para coordinar actividades del año 2022</t>
  </si>
  <si>
    <t>Realización de acciones de adaptación al cambio climático: Gestión del riesgo por incendio forestal; Respuesta a emergencias; Instrumentos PIGA y PACA; implementación y seguimiento para recuperar y manejar suelos de protección por riesgo no mitigable.</t>
  </si>
  <si>
    <t>Se incorporó criterios de sostenibilidad ambiental a 14 proyectos.
Así mismo, se realizó la verificación a la incorporación de determinantes ambientales a 10 proyectos de infraestructura en el espacio público.</t>
  </si>
  <si>
    <t>Durante el mes de febrero de 2022 se ha realizado el acompañamiento técnico a 464 m2 correspondientes a techos verdes, en un proyecto existente en espacio privado de la localidad de fontibón.</t>
  </si>
  <si>
    <t>Se realizó la planeación y articulación de los mecanismos de implementación de la Estrategia, los actores requeridos, negocios verdes verificados y se avanzó en la estructuración de los cuatro pilares de la Estrategia.</t>
  </si>
  <si>
    <t>En el proyecto de fortalecimiento de la cadena de valor del cuero se realizó 2 talleres en modelos de negocio y con empresas de galvánico se realizó 2 mesas de trabajo con empresas interesadas en participar en el 2022. Se inicia formulación del proyecto ladrillos verdes</t>
  </si>
  <si>
    <t>Durante el mes de marzo 2022, se incorporó criterios de sostenibilidad ambiental a catorce (14)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nueve (09) Diseños paisajísticos de parques y zonas verdes y tres (03) legalizaciones y regularizaciones de barrios.
Así mismo, se realizó la verificación a la incorporación de determinantes ambientales a diez (10) proyectos de infraestructura en el espacio público, correspondientes a Diseños Paisajisticos de Parques y Zonas Verdes.</t>
  </si>
  <si>
    <t>Durante el mes de marzo de 2022 se ha realizado el acompañamiento técnico a 452 m2 correspondientes a jardines verticales, en proyectos existentes en espacio público y  privado de las localidades de Suba y Chapinetro.</t>
  </si>
  <si>
    <t>En el primer trimestre de 2022 se avanzó a través de las siguientes acciones:
Definición de acciones prioritarias y actores estratégicos.
Impulso a la formulación y desarrollo de proyectos por parte de empresas participantes en GAE.
Reuniones de concertación de proyectos prioritarios para la Estrategia Distrital de Crecimiento Verde en los siguientes temas: Red Moda, Ruta de Emprendimiento, Innovación Sostenible, Bogotá Circular y articulación GAE - Clusters CCB.</t>
  </si>
  <si>
    <t>En el proyecto de fortalecimiento de la cadena de valor del cuero se realizó mesa de trabajo con comité asesor y con empresas de galvánico se realizó acompañamiento individual a las empresas para verificar avance en los proyectos individuales. Se continua la formulación del proyecto ladrillos verdes</t>
  </si>
  <si>
    <t>Ejecución de acciones de adaptación priorizadas: Gestión del riesgo por incendio forestal; Respuesta a emergencias; Implementación de instrumentos (PIGA y PACA); Seguimiento para recuperar y manejar suelos de protección por riesgo no mitigable. Gestión para avanzar en otras acciones de adaptación.</t>
  </si>
  <si>
    <t>Durante el mes de abril 2022, se incorporó criterios de sostenibilidad ambiental a catorce (14) proyectos de diferentes escalas, tanto en espacio público como en privado, promoviendo la construcción sostenible y el ecourbanismo en la ciudad. 
Así mismo, se realizó la verificación a la incorporación de determinantes ambientales a diez (10) proyectos de infraestructura en el espacio público, correspondientes a Diseños Paisajisticos de Parques y Zonas Verdes.</t>
  </si>
  <si>
    <t>Durante el mes de abril de 2022 se ha realizado el acompañamiento técnico a 448 m2 correspondientes a jardines verticales, en proyectos existentes en espacio público y  privado de las localidades de Teusaquillo y Chapinetro.</t>
  </si>
  <si>
    <t>Se inició la construcción del Plan de Acció0n de la EDCV con visión 2030. Adicionalmente se gestionó la vinculación de la SDH a la iniciativa de Bogotá Circular y se avanzó en la consolidación de los proyectos interinstitucionales que se vienen desarrollando. Con las empresas participantes en el PGAE, se realizó un taller para la formulación de proyectos.</t>
  </si>
  <si>
    <t>En el proyecto de fortalecimiento de la cadena de valor del cuero se realizó taller de estrategias de sostenibilidad, se realizó reunión de apertura de proyecto con empresas de galvánico y se continua con la formulación del proyecto ladrillos verdes</t>
  </si>
  <si>
    <t>Durante el mes de mayo 2022, se incorporó criterios de sostenibilidad ambiental a catorce (14) proyectos de diferentes escalas. 
Así mismo, se realizó la verificación a la incorporación de determinantes ambientales a diez (10) proyectos de infraestructura en el espacio público.</t>
  </si>
  <si>
    <t>Durante el mes de mayo de 2022 se ha realizado el acompañamiento técnico a 457 m2 correspondientes a techos verdes y jardines verticales, en proyectos existentes en espacio público y  privado de las localidades de fontibon, engativa, chapinero y santa fé.</t>
  </si>
  <si>
    <t>Se continuó con la construcción del Plan de Acción de la EDCV. Adicionalmente se gestionó la vinculación de la SDHT, la UAESP, la ANDI y el apoyo de GIZ a la iniciativa de Bogotá Circular. Con las empresas participantes en el PGAE, se inició un proyecto piloto de Huertas empresariales.</t>
  </si>
  <si>
    <t>En el proyecto de fortalecimiento de la cadena de valor del cuero se realizó retroalimentación a la guía de criterios de compras sostenibles, en galvánico se realizó reunión con socialización de criterios de participación y se continuó la formulación del proyecto de ladrillos verdes</t>
  </si>
  <si>
    <t>Acciones de adaptación priorizadas en ejecución: gestión del riesgo por incendio forestal; respuesta a emergencias; implementación de instrumentos (PIGA y PACA); seguimiento para recuperar y manejar suelos de protección por riesgo no mitigable. Gestión para avanzar en otras acciones de adaptación.</t>
  </si>
  <si>
    <t>Durante el mes de junio 2022, se incorporó criterios de sostenibilidad ambiental a catorce (14) proyectos de diferentes escalas. 
Así mismo, se realizó la verificación a la incorporación de determinantes ambientales a diez (10) proyectos de infraestructura en el espacio público</t>
  </si>
  <si>
    <t>Durante el mes de junio de 2022 se ha realizó el acompañamiento técnico a 451 m2 correspondientes a techos verdes y jardines verticales, en proyectos existentes en espacio público y  privado de las localidades de chapinero, Engativá, Fontibón y Teusaquillo.</t>
  </si>
  <si>
    <t>Se está construyendo un borrador de Plan de Acción de la Estrategia Distrital de Crecimiento Verde con Visión 2030, en la cual se definan los principales proyectos y líneas de acción a desarrollar en los siguientes años. Igualmente, se conformó el Comité Técnico de Bogotá Circular</t>
  </si>
  <si>
    <t xml:space="preserve">En el proyecto de fortalecimiento de la cadena de valor del cuero se realizó reunión con Bancoldex para alternativas de financiación a proyectos, en galvánico se realizó visitas técnicas para seguimiento a proyectos formulados e ideación para otros y se continuó la formulación de ladrillos verdes </t>
  </si>
  <si>
    <t>Ejecución de acciones de adaptación priorizadas: gestión del riesgo por incendio forestal; respuesta a emergencias; implementación de instrumentos (PIGA y PACA); seguimiento para recuperar y manejar suelos de protección por riesgo no mitigable. Gestión en otros aspectos para la adaptación.</t>
  </si>
  <si>
    <t>Durante el mes de julio 2022, se incorporó criterios de sostenibilidad ambiental a catorce (14) proyectos de diferentes escalas. 
Así mismo, se realizó la verificación a la incorporación de determinantes ambientales a diez (10) proyectos de infraestructura en el espacio público.</t>
  </si>
  <si>
    <t>Durante el mes de julio de 2022 se ha realizó el acompañamiento técnico a 455 m2 correspondientes a techos verdes y jardines verticales, en proyectos existentes en espacio público y  privado de las localidades de engativa, suba, ciudad bolivar, usaquen, fontibón y bosa.</t>
  </si>
  <si>
    <t>Se está definiendo el alcance de la Estrategia Distrital para el Plan de Acción  con Visión 2030, así como su articulación con políticas distritales que están en construcción, como la de Producción y Consumo Sostenible y el Plan de Acción de Cambio Climático</t>
  </si>
  <si>
    <t xml:space="preserve">En el proyecto de recubrimientos electrolíticos se consolidaron los formatos con proyectos individuales formulados y aquellos que se encuentran para seguimiento. Así mismo, se continuó la formulación del proyecto de ladrillos verdes </t>
  </si>
  <si>
    <t>Realización de acciones relacionadas con gestión del riesgo por incendio forestal; respuesta a emergencias; implementación de instrumentos (PIGA y PACA); seguimiento para recuperar y manejar suelos de protección por riesgo no mitigable; y otra gestión para la adaptación al cambio climático.</t>
  </si>
  <si>
    <t>Durante el mes de septiembre 2022, se incorporó criterios de sostenibilidad ambiental a catorce (14) proyectos de diferentes escalas. 
Así mismo, se realizó la verificación a la incorporación de determinantes ambientales a diez (10) proyectos de infraestructura en el espacio público.</t>
  </si>
  <si>
    <t>Durante el mes de septiembre de 2022 se ha realizado el acompañamiento técnico a 460 m2 correspondientes a techos verdes y jardines verticales, en proyectos existentes en espacio público y  privado de las localidades de engativa, candelaria y  Fontibón</t>
  </si>
  <si>
    <t>Se está articulando las acciones de la estrategia distrital de crecimiento verde con la formulación de la política de economía circular que recoje las políticas de producción y consumo sostenible y de residuos</t>
  </si>
  <si>
    <t xml:space="preserve">Se continua la implementación del proyecto para el sector galvánico con enfoque de cadena de valor a través del seguimiento a compromisos de las empresas, así como, a través de la realización de la mesa distrital de PML. Por otro lado, se continuó con la formulación del proyecto de ladrillos verdes </t>
  </si>
  <si>
    <t>Acciones para la adaptación al cambio climático: gestión del riesgo por incendio forestal; respuesta a emergencias; implementación de instrumentos (PIGA y PACA); seguimiento para recuperar y manejar suelos de protección por riesgo no mitigable. Proceso formulación política pública cambio climático.</t>
  </si>
  <si>
    <t>Durante el mes de octubre 2022, se incorporó criterios de sostenibilidad ambiental a catorce (14) proyectos de diferentes escalas. 
Así mismo, se realizó la verificación a la incorporación de determinantes ambientales a diez (10) proyectos de infraestructura en el espacio público.</t>
  </si>
  <si>
    <t xml:space="preserve">Durante el mes de octubre de 2022 se ha realizado el acompañamiento técnico a 450 m2 correspondientes a jardines verticales, en proyectos existentes en espacio  privado de las localidad de Chapinero. </t>
  </si>
  <si>
    <t>Se está coordinando con CCB y SDDE el impulso a temas adicionales al de Economía Circular, como lo son Innovación Sostenible y Negocios Verdes. Adicionalmente se está gestionando la incorporación de otros temas a la agenda pública, como lo son las compras circulares.</t>
  </si>
  <si>
    <t xml:space="preserve">Se continua la implementación del proyecto para el sector galvánico con enfoque de cadena de valor otorgando puntajes a las empresas participantes, así como, a través de la realización de la mesa distrital de PML. Por otro lado, se continuó con la formulación del proyecto de ladrillos verdes </t>
  </si>
  <si>
    <t>Durante el mes de noviembre 2022, se incorporó criterios de sostenibilidad ambiental a catorce (14) proyectos de diferentes escalas. 
Así mismo, se realizó la verificación a la incorporación de determinantes ambientales a nueve (9) proyectos de infraestructura en el espacio público.</t>
  </si>
  <si>
    <t xml:space="preserve">Durante el mes de noviembre de 2022 se ha realizado el acompañamiento técnico a 450 m2 correspondientes a jardines verticales y techos verdes, en proyectos existentes en espacio  privado de las localidad de Chapinero. </t>
  </si>
  <si>
    <t>Se logró la vinculación de Bogotá a la red de ciudades circulares de américa latina, liderada por la CEPAL y se dio inicio al proyecto de Compras públicas circulares. También se definieron las líneas estratégicas de acción para Bogotá Circular.</t>
  </si>
  <si>
    <t xml:space="preserve">Se continua la implementación del proyecto para el sector galvánico. Se continuó con la formulación del proyecto de ladrillos verdes y se realizó reunión con la Universidad de los Andes para continuar el proyecto San Benito Circular y con la Gobernación para la formulación de un banco de proyectos </t>
  </si>
  <si>
    <t>Proceso de formulación de la Política Pública de Acción Climática y acciones para la adaptación: gestión del riesgo por incendio forestal; respuesta a emergencias; implementación de instrumentos (PIGA y PACA); seguimiento para recuperar y manejar suelos de protección por riesgo no mitigable.</t>
  </si>
  <si>
    <t>Durante el mes de diciembre 2022, se incorporó criterios de sostenibilidad ambiental a diez (10) proyectos de diferentes escalas. 
Así mismo, se realizó la verificación a la incorporación de determinantes ambientales a diez (10) proyectos de infraestructura en el espacio público.</t>
  </si>
  <si>
    <t xml:space="preserve">Durante el mes de diciembre de 2022 se ha realizado el acompañamiento técnico a 460 m2 correspondientes a jardines verticales, en proyectos existentes en espacio  privado de las localidades de Chapinero, Fontibón y Engativá. </t>
  </si>
  <si>
    <t>Para cada una de las líneas estratégicas de Bogotá Circular, se definieron acciones a corto, mediano y largo plazo y se defieron compromisos por entidad, se tiene un primer borrador de hoja de ruta de Bogotá Circular para el año 2023, se está construyendo la hoja de ruta de la EDCV para el año 2023.</t>
  </si>
  <si>
    <t>Se continua la implementación del proyecto para el sector galvánico y con la formulación del proyecto de ladrillos verdes. Se realizó socialización de la guía de tratamiento de aguas residuales y herramienta de selección de unidades con dos curtiembres</t>
  </si>
  <si>
    <t>Avance en la formulación de la Política Pública de Acción Climática y acciones de adaptación: gestión del riesgo por incendio forestal; respuesta a emergencias; implementación de instrumentos (PIGA y PACA); seguimiento para recuperar y manejar suelos de protección por riesgo no mitigable.</t>
  </si>
  <si>
    <t>IV GESTIÓN  (FÍSICO) VIGENCIA 2023</t>
  </si>
  <si>
    <t>META VIGENCIA 2023</t>
  </si>
  <si>
    <t>AVANCE META VIGENCIA 2023</t>
  </si>
  <si>
    <t>% AVANCE META VIGENCIA 2023</t>
  </si>
  <si>
    <t>Durante el periodo de enero no fueron programadas actividades.</t>
  </si>
  <si>
    <t>En enero, se realizó la planeación de actividades - hoja de ruta - para el año 2023, dentro de las cuales se destaca un comité de nivel estratégico con directivos de las entidades participantes en Bogotá Circular y un proyecto de articulación al apoyo empresarial con CCB y SDDE.</t>
  </si>
  <si>
    <t>Se inició la formulación de tres proyectos de PML, dos transversales al sectores priorizados curtiembres, metalurgia (galvánico) y Minería relacionados con actividades del POMCA y  sellos ambientales aplicables a cada sector y uno para el sector de metalurgia(galvánico).</t>
  </si>
  <si>
    <t>Acciones de adaptación al cambio climático: gestión para financiación de proyectos, gestión del riesgo por incendio forestal; respuesta a emergencias; e implementación de instrumentos (PIGA y PACA).</t>
  </si>
  <si>
    <t xml:space="preserve">Durante el mes de febrero 2023, se incorporó criterios de sostenibilidad ambiental a diecisiete (17) proyectos de diferentes escalas. 
Así mismo, se realizó la verificación a la incorporación de determinantes ambientales a trece (13) proyectos de infraestructura en el espacio público. </t>
  </si>
  <si>
    <t xml:space="preserve">Durante el mes de febrero de 2023 se ha realizado el acompañamiento técnico a 600 m2 correspondientes a techos verdes, en proyectos existentes en espacio  privado de las localidad de Engativá. </t>
  </si>
  <si>
    <t>En febrero se realizó la reunión del comité de nivel estratégico con directivos de las entidades participantes en Bogotá Circular y se avanzó en el proyecto de articulación al apoyo empresarial con CCB y SDDE.</t>
  </si>
  <si>
    <t xml:space="preserve">Para el sector curtidor se realizó el informe de  actividades  para el CECH y para la CCB; para el sector galvánico se inició con el proyecto de fortalecimiento con empresas vinculadas y de química verde y para el sector minero con las ladrilleras vinculadas al proyecto de ladrillos verdes.
</t>
  </si>
  <si>
    <t>Avance en la formulación de la Política Pública de Acción Climática y acciones de adaptación: gestión del riesgo por incendio forestal; respuesta a emergencias; implementación de instrumentos (PIGA y PACA).</t>
  </si>
  <si>
    <t>Durante el mes de marzo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</si>
  <si>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marzo de 2023 se ha realizado el acompañamiento técnico a 650 m2 correspondientes a techos verdes, en proyectos existentes en espacio  privado de las localidad de Engativá. </t>
  </si>
  <si>
    <t>Se avanzó en  la construcción de hoja de ruta de Bogotá Circular y la presentación de la misma, se realizó la presentación de los programas adelantadas con el sector empresarial: CCB: Fábricas de productividad y Empresas BIC, SDDE: Proyectos de Alto Impacto y SDA: PREAD y ACERCAR.</t>
  </si>
  <si>
    <t xml:space="preserve">
Para el sector curtidor se inició con el proyecto de San Benito Circular II; para el sector galvánico se continuó con el proyecto de Producción Mas Limpia con las empresas vinculadas; y para el sector minero se continuó con el proyecto de ladrillos verdes.
</t>
  </si>
  <si>
    <t>Avance en la formulación de la Política Pública de Acción Climática y acciones de adaptación: gestión del riesgo por incendio forestal; respuesta a emergencias; implementación de instrumentos (PIGA y PACA), gestión en zonas de alto riesgo no mitigable.</t>
  </si>
  <si>
    <t>Durante el mes de abril 2023, se incorporó criterios de sostenibilidad ambiental a diecisiete (17) proyectos de diferentes escalas. 
Así mismo, se realizó la verificación a la incorporación de determinantes ambientales a trece (13) proyectos de infraestructura en el espacio público.</t>
  </si>
  <si>
    <t xml:space="preserve">Durante el mes de abril de 2023 se ha realizado el acompañamiento técnico a 600 m2 correspondientes a techos verdes, en proyectos existentes en espacio  privado de las localidad de Engativá. </t>
  </si>
  <si>
    <t>se inició la consolidación del plan de acción para definir una hoja de ruta única para el programa de ciudades circulares. Adicionalmente, la articulación de los programas que cada una de las entidades adelanta con el sector empresarial: CCB: Fábricas de productividad y Empresas BIC, SDDE: Proyectos de Alto Impacto y SDA: PREAD y ACERCAR.</t>
  </si>
  <si>
    <t>En cada uno de los sectores priorizados se avanzó en los respectivos proyectos de producción más limpia; para el sector curtidor se continuó con el proyecto de San Benito Circular II; para el sector galvánico se adelantaron actividades con el proyecto de fortalecimiento con enfoque de cadena de valor; y para el sector minero con el proyecto de ladrillos verdes</t>
  </si>
  <si>
    <t>Avance en la formulación de la Política Pública de Acción Climática. Realización de acciones de adaptación: gestión del riesgo por incendio forestal; respuesta a emergencias; implementación de instrumentos (PIGA y PACA), gestión en zonas de alto riesgo no mitigable.</t>
  </si>
  <si>
    <t>Durante el mes de mayo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</si>
  <si>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mayo de 2023 se ha realizado el acompañamiento técnico a 600 m2 correspondientes a techos verdes, en proyectos existentes en espacio  privado de las localidad de Engativá. </t>
  </si>
  <si>
    <t>Se realizó la propuesta de metas para Bogotá Circular y se vinculó a la entidad al Cluster CLEAN TECH. se vinculó a ENEL a la mesa técnica de Bogotá Circular y se realizó taller de evaluación de avances. se gestionó con la DRI,  con el programa Bogotá Sostenible, la articulación de las acciones desde la EDCV.</t>
  </si>
  <si>
    <t>Para el sector curtidor se continuó con el proyecto de San Benito Circular II; para el sector galvánico se adelantaron actividades con el proyecto de fortalecimiento con enfoque de cadena de valor; y para el sector minero con el proyecto de ladrillos verdes</t>
  </si>
  <si>
    <t>Durante el mes de junio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</si>
  <si>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junio de 2023 se ha realizado el acompañamiento técnico a 615 m2 correspondientes a techos verdes y jardines verticales, en proyectos existentes en espacio  privado de las localidades de Teusaquillo y Usaquen. </t>
  </si>
  <si>
    <t>Se dio inicio a la consultoría para el fortalecimiento de Bogotá Circular, se realizó presentación de Enel de su proyecto ciudades circulares (seanexa presentación) y se avanzó en la integración de acciones entre SDA, SDDE y CCB. Igualmente se hizo seguimiento a los indicadores de la EDCV.</t>
  </si>
  <si>
    <t>Acciones de adaptación: gestión del riesgo por incendio forestal; respuesta a emergencias; implementación de instrumentos (PIGA y PACA), gestión en zonas de alto riesgo no mitigable.</t>
  </si>
  <si>
    <t>Durante el mes de julio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</si>
  <si>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julio de 2023 se ha realizado el acompañamiento técnico a 575 m2 correspondientes a techos verdes y jardines verticales, en proyectos existentes en espacio  publico y privado de las localidades de Chapinero, Engativá y Usme. </t>
  </si>
  <si>
    <t>Se dio continuidad a la consultoría para el fortalecimiento de Bogotá Circular. Se adjudicó el contrato para el diseño y desarrollo de una plataforma regional de economía circular - Convenio BID y se está formulando la propuesta con Inexmoda y CLEAN para la convocatoria Al Invest.</t>
  </si>
  <si>
    <t>Para el sector curtidor se avanza con el proyecto de San Benito Circular II; para el sector galvánico se continúan las actividades del proyecto de fortalecimiento con enfoque de cadena de valor; y para el sector minero con el desarrollo del proyecto de ladrillos verdes.</t>
  </si>
  <si>
    <t>Acciones de adaptación: gestión del riesgo por incendio forestal; respuesta a emergencias; implementación de instrumentos (PIGA y PACA), gestión en zonas de alto riesgo no mitigable. Ajustes a Política Pública de Acción Climática</t>
  </si>
  <si>
    <t>Durante el mes de agosto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</si>
  <si>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agosto de 2023 se ha realizado el acompañamiento técnico a 671 m2 correspondientes a techos verdes , en un proyecto existente en espacio  privado en la localidad de Santa Fé. </t>
  </si>
  <si>
    <t>Se presentó la propuesta para la convocatoria Al Invest y se articuló con la Agencia Atenea para que desde Bogotá Circular se puedan presentar proyectos al sistema nacional de regalías. Se tienen avances del primer entregable de la caracterización de ciudades para el diseño de la plataforma regional de EC.</t>
  </si>
  <si>
    <t>Para el sector curtidor se avanza con el proyecto de San Benito Circular II; para el sector galvánico se continúan las actividades del proyecto de fortalecimiento con enfoque de cadena de valor; y para el sector minero con el desarrollo del proyecto de ladrillos verdes</t>
  </si>
  <si>
    <t>Acciones de adaptación: gestión del riesgo por incendio forestal; respuesta a emergencias; implementación de instrumentos (PIGA y PACA), gestión en zonas de alto riesgo no mitigable. Ajustes fianales a la Política Pública de Acción Climática</t>
  </si>
  <si>
    <t>Durante el mes de septiembre 2023, se incorporó criterios de sostenibilidad ambiental a dieciocho (18) proyectos de diferentes escalas. 
Así mismo, se realizó la verificación a la incorporación de determinantes ambientales a trece (13) proyectos de infraestructura en el espacio público.</t>
  </si>
  <si>
    <t xml:space="preserve">Durante el mes de septiembre de 2023 se ha realizado el acompañamiento técnico a 585 m2 correspondientes a techos verdes , en un proyecto existente en espacio  privado en la localidad de Chapinero. </t>
  </si>
  <si>
    <t>Se firmó el memorando de Entendimiento con SDDE y CCB, se acordo fortalecer los Negocios Verdes, realizar de una encuesta que permita mapear los avances en sostenibilidad y crecimiento verde y definición de estrategia de promoción del memorando de entendimiento.</t>
  </si>
  <si>
    <t xml:space="preserve">Para el sector curtidor se continúa con el proyecto de San Benito Circular II; para el sector galvánico se adelantaron las actividades del proyecto de fortalecimiento con enfoque de cadena de valor; y para el sector minero con la ejecución del proyecto de ladrillos verdes
</t>
  </si>
  <si>
    <t>Aprobación de la Política Pública de Acción Climática por parte del Comité Distrital del CONPES y realización de acciones de adaptación al cambio climático.</t>
  </si>
  <si>
    <t>Durante el mes de noviembre 2023, se incorporó criterios de sostenibilidad ambiental a diez (10) proyectos de diferentes escalas. 
Así mismo, se realizó la verificación a la incorporación de determinantes ambientales a diez (10) proyectos de infraestructura en el espacio público.</t>
  </si>
  <si>
    <t xml:space="preserve">Durante el mes de noviembre de 2023 se ha realizado el acompañamiento técnico a 223 m2 correspondientes a techos verdes , en un proyecto existente en espacio  privado en la localidad de Usme. </t>
  </si>
  <si>
    <t>Se concertó la continuidad del memorando de entendimiento por el término de un año y se definieron proyectos prioritarios y plan de acción para Bogotá Circular, como propuesta para la nueva administración.</t>
  </si>
  <si>
    <t>Para el sector curtidor se continúa con el proyecto de San Benito Circular II; para el sector galvánico se adelantaron las actividades del proyecto de fortalecimiento con enfoque de cadena de valor; y para el sector minero con la ejecución del proyecto de ladrillos verdes</t>
  </si>
  <si>
    <t>Ejecución de acciones de adaptación al cambio climático: activación/respuesta a emergencias, gestión del riesgo por incendio forestal, instrumentos ambientales y manejo en zonas de alto riesgo no mitigable.</t>
  </si>
  <si>
    <t>Durante el mes de diciembre 2023, se incorporó criterios de sostenibilidad ambiental a diez (10) proyectos de diferentes escalas. 
Así mismo, se realizó la verificación a la incorporación de determinantes ambientales a diez (10) proyectos de infraestructura en el espacio público.</t>
  </si>
  <si>
    <t xml:space="preserve">Durante el mes de diciembre de 2023 se ha realizado el acompañamiento técnico a 192 m2 correspondientes a jardines verticales, en dos proyectos existentes en espacio  privado en las localidades de Chapinero y Engativá. </t>
  </si>
  <si>
    <t>Se realizó la firma de la prorroga por un año delMemorando de Entendimiento y se realizó reunión de planeación estratégica de proyectos de Bogotá Circular para el 2024.</t>
  </si>
  <si>
    <t>Para el sector curtidor se realizó el informe de resultados del proyecto San Benito Circular II y se enviaron los oficios a las entidades participantes en la Mesa Distrital de Curtiembres, con el estudio de prefactibilidad y el análisis financiero de la PTAR; para el sector metalurgia se elaboraron los informes finales del proyecto y se participó en la mesa PML del sector; y para el sector minero mesa distrital, 1 mesa de trabajo con la CAR.</t>
  </si>
  <si>
    <t>IV GESTIÓN  (FÍSICO) VIGENCIA 2024</t>
  </si>
  <si>
    <t>META VIGENCIA 2024</t>
  </si>
  <si>
    <t>AVANCE META VIGENCIA 2024</t>
  </si>
  <si>
    <t>% AVANCE META VIGENCIA 2024</t>
  </si>
  <si>
    <r>
      <rPr>
        <b/>
        <sz val="12"/>
        <color theme="1"/>
        <rFont val="Arial"/>
        <family val="2"/>
      </rPr>
      <t>CORTE A__MAYO___</t>
    </r>
    <r>
      <rPr>
        <b/>
        <u/>
        <sz val="12"/>
        <color theme="1"/>
        <rFont val="Arial"/>
        <family val="2"/>
      </rPr>
      <t xml:space="preserve"> </t>
    </r>
    <r>
      <rPr>
        <b/>
        <sz val="12"/>
        <color theme="1"/>
        <rFont val="Arial"/>
        <family val="2"/>
      </rPr>
      <t xml:space="preserve"> AÑO</t>
    </r>
    <r>
      <rPr>
        <sz val="12"/>
        <color theme="1"/>
        <rFont val="Arial"/>
        <family val="2"/>
      </rPr>
      <t xml:space="preserve"> _2021___</t>
    </r>
  </si>
  <si>
    <t>1, COD. META</t>
  </si>
  <si>
    <t>2, Meta Proyecto</t>
  </si>
  <si>
    <t>3. Identificación del punto de invesión</t>
  </si>
  <si>
    <t>4, Variable</t>
  </si>
  <si>
    <t>5. PROGRAMACIÓN INICIAL AÑO 2021</t>
  </si>
  <si>
    <t>11, LECCIONES APRENDIDAS - OBSERVACIONES</t>
  </si>
  <si>
    <t>LOCALIDADES: Mediante esta meta se emitirán determinnates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</si>
  <si>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Meta cumplida deacuerdo con lo programado</t>
  </si>
  <si>
    <t>El ejecutado durante la vigencia 2021 corresponde a cuarenta y tres (43) proyectos, (5 proyecto en enero, 8 en febrero, 10 en marzo, 10 en abril y 10 en mayo), a los cuales se les ha incorporado criterios de sostenibilidad y corresponden a: Cinco (05) Plan Parcial de Desarrollo, seis (06) Planes Parciales de Renovación Urbana, dos (02) Planes de Implantación, un (01) proyectos de compatibilidad de uso de vivienda en suelo restringido y veintinueve (29) Diseños paisajísticos de parques y zonas verdes.</t>
  </si>
  <si>
    <t>Bosa, Usaquen, Ciudad Bolívar y Fontibón, Usme, San Cristobal, Bosa, Fontibón, Suba, Antonio Nariño, Puente Aranda, Rafael Uribe Uribe</t>
  </si>
  <si>
    <t>total upz territorializadas (Ene-may2021) =35</t>
  </si>
  <si>
    <t>total barrios territorializados (Ene-May 2021)= 42</t>
  </si>
  <si>
    <t xml:space="preserve">polígono
 (Remitirse a Generación de Shape  carpeta denominada:
SHP META 1_2021)                               
</t>
  </si>
  <si>
    <t>1. Politica Pública de Ecourbanismo y Construcción Sostenible, Politica Distrtial del Agua, Plan Distrital de Gestión del Riesgo de Desastres y del Cambio Climático – PDGRDCC.</t>
  </si>
  <si>
    <t>Esta meta no realiza la definición de la población, dado que los determinantes ambientales se emiten en una etapa previa de diseño y formulacion, por lo que no se tiene certeza de que el proyecto sea ejecutado, si sufrira modificaciones y la población que sera beneficiada finalmente,
 Esta meta es atendida por demanda, por lo que solo a finalizar cada mes se puede definir las zonas beneficiadas, la territorialización de la meta se realiza a escala de localidad, dado que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</si>
  <si>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En la localidad de Usaquén se ha emitido determianntes ambientales al Plan Parcial de Desarrollo Tibabita y al diseño paisajistico de parques y zonas verdes del proyecto renovación Edificio Concord Center 122,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</si>
  <si>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USAQUÉN</t>
  </si>
  <si>
    <t>UPZ 1
UPZ 16</t>
  </si>
  <si>
    <t>TIBABITA RURAL
SANTA BARBARA OCCIDENTAL</t>
  </si>
  <si>
    <t>En la localidad de Usme se ha emitido determinantes ambientales al Plan Parcial de Desarrollo poligono 3 y Plan de Implantación Nuevo Hospital de Usme,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</si>
  <si>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USME</t>
  </si>
  <si>
    <t>UPZ 64
UPZ 61</t>
  </si>
  <si>
    <t>MOCHUELO ALTO RURAL
PUERTA AL LLANO</t>
  </si>
  <si>
    <t>LA CANDELARIA</t>
  </si>
  <si>
    <t>UPZ 94</t>
  </si>
  <si>
    <t>LA CATEDRAL
SANTA BARBARA</t>
  </si>
  <si>
    <t xml:space="preserve">polígono
 (Remitirse a Generación de Shape,
Meta 1_Julio 2020),                                Meta 1_Agosto2020), 
Meta 1_Septiembre2020),
Meta 1_Octubre2020),
Meta 1_Noviembre2020),
Meta 1_Diciembre2020)
</t>
  </si>
  <si>
    <t>En la localidad de Chapinero se ha emitido determinantes ambientales al Diseño Paisajístico de la propuesta de compensación del Contrato EAAB 1-01-32100-1290-2017 Obras de Rehabilitación de los Colectores La Vieja y Las Delicias,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</si>
  <si>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90</t>
  </si>
  <si>
    <t>MARÍA CRISTINA</t>
  </si>
  <si>
    <t xml:space="preserve">polígono
 (Remitirse a Generación de Shape  carpeta denominada:
SHP META 1_2021)     </t>
  </si>
  <si>
    <t>SANTA FE</t>
  </si>
  <si>
    <t>En la localidad de Santa Fé se ha emitido determinantes ambientales al Plan Parcial de Renovación Urbana Centro San Bernanrdo,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</si>
  <si>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</si>
  <si>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 xml:space="preserve">UPZ 91
UPZ 95
</t>
  </si>
  <si>
    <t>LA MERCED
SAN BERNARDO</t>
  </si>
  <si>
    <t>En la localidad de San Cristobal se ha emitido determinantes ambientales al Plan Parcial de Desarrollo Bosques de San José y Diseño paisajístico de las zonas de cesión del Proyecto Urbanístico Buenos Aires (WR 1130),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</si>
  <si>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51
UPZ 32</t>
  </si>
  <si>
    <t>LAS GAVIOTAS
BUENOS AIRES</t>
  </si>
  <si>
    <t xml:space="preserve"> PROYECTO PPD BOSQUES DE SAN JOSÉ CRUZA CON TMI LOS LIBERTADORES
TMI SAN BLAS CRUZA CON PROYECTO DISEÑO PAISAJÍSTICO BUENOS AIRES</t>
  </si>
  <si>
    <t xml:space="preserve">Punto 
 (Remitirse a Generación de Shape,
Meta 1_Julio 2020),                                Meta 1_Agosto2020), 
Meta 1_Septiembre2020),
Meta 1_Octubre2020),
Meta 1_Noviembre2020),
Meta 1_Diciembre2020)
</t>
  </si>
  <si>
    <t xml:space="preserve">UPZ 42
UPZ 62
</t>
  </si>
  <si>
    <t>SAN CARLOS
PARQUE EL TUNAL</t>
  </si>
  <si>
    <t>TMI TUNJUELITO (Contrato de obra IDU 1639/2019)</t>
  </si>
  <si>
    <t>En la localidad de Bosa se ha emitido determinantes ambientales al Plan Parcial de Desarrollo Eden El Descanso y Diseño paisajístico de la franja de control ambiental (área anexa) de la Sede Ciudadela Educativa El Porvenir de la Universidad Distrital Francisco José de Caldas (WR 1131),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</si>
  <si>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87
UPZ 86</t>
  </si>
  <si>
    <t>S.BERNARDINO XVIII
PARCELA EL PORVENIR</t>
  </si>
  <si>
    <t>TMI BOSA OCCIDENTAL CRUZA CON PPD EDÉN EL DESCANSO</t>
  </si>
  <si>
    <t>En la localidad de Kennedy se ha emitido determinantes ambientales Diseño Paisajístico de la propuesta de compensación del proyecto “ESTUDIOS Y DISEÑOS
 COMPLEMENTARIOS PARA EL TRASLADO ANTICIPADO DE REDES MATRICES Y REDES MENORES DE
 ACUEDUCTO, ASOCIADAS A LA PRIMERA LÍNEA DEL METRO DE BOGOTÁ, UBICADAS EN LA AV. 1 DE MAYO
 CON AV. CARRERA 68,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</si>
  <si>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86</t>
  </si>
  <si>
    <t>OSORIO XXIII</t>
  </si>
  <si>
    <t xml:space="preserve">polígono
 (Remitirse a Generación de Shape  carpeta denominada:
SHP META 1_2021)    </t>
  </si>
  <si>
    <t>FONTIBÓN</t>
  </si>
  <si>
    <t>En la localidad de Fontibón se ha emitido determinantes ambientales  para uso de vivienda en Suelo Restringido del predio con CHIIP AAA0140JNNX y determinantes ambientales en los diseños paisajisticos de parques y zonas verdes del proyecto VERNAZZA y el proyecto CONTRATO DE OBRA No. 1-01-25400-1493-2019- OBJETO: GRUPO 3 DE LAS OBRAS PARA EL TRASLADO ANTICIPADO DE REDES MATRICES DE ACUEDUCTO, REDES TRONCALES DE ALCANTARILLADO Y REDES MENORES Y LOCALES DE ACUEDUCTO Y ALCANTARILLADO ASOCIADAS, QUE INTERFIEREN CON LA PRIMERA LÍNEA DEL METRO DE BOGOTÁ, EN EL CORREDOR DE LA AV. 1° MAYO, ENTRE LA AV. VILLAVICENCIO Y LA AV. CARRERA 68 y Diseño paisajístico de las zonas de cesión de la Urbanización El Montijo, Control Ambiental y Desaceleración,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</si>
  <si>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FONTIBÓN</t>
  </si>
  <si>
    <t>UPZ 77
UPZ 114
UPZ 112</t>
  </si>
  <si>
    <t>EL CHANCO I
CAPELLANÍA
VILLA ALSACIA
EL TINTAL CENTRAL</t>
  </si>
  <si>
    <t>ENGATIVÁ</t>
  </si>
  <si>
    <t>En la localidad de Engativá se ha emitido determinantes ambientales al Plan de Implantación Universidad Minuto de Dios, UNIMINUTO - sede calle 90 y Diseño paisajístico de las zonas de cesión del Proyecto Urbanístico Área Occidente (WR1129),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</si>
  <si>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29
UPZ 74</t>
  </si>
  <si>
    <t>LOS CEREZOS
VILLA GLADYS</t>
  </si>
  <si>
    <t xml:space="preserve">polígono
 (Remitirse a Generación de Shape  carpeta denominada:
SHP META 1_2021)      </t>
  </si>
  <si>
    <t>TMI ENGATIVÁ CRUZA CON DISEÑO PAISAJÍSTICO PROYECTO URBANÍSTICO ÁREA OCCIDENTE</t>
  </si>
  <si>
    <t>En la localidad de Suba se ha emitido determinantes ambientales al Diseño paisajístico del Contrato IDU 1552 de 2018, Estudios y diseños para la ampliación y mejoramiento de los cicloparqueaderos asociados a la infraestructura física de TransMilenio en la ciudad de Bogotá y al Diseño paisajístico cuenca Torca - CONTRATO DE PRESTACIÓN DE SERVICIOS No. 1-05-
 24300-1498-2019, Diseño paisajístico de las zonas de cesión del proyecto local colina-av Boyacá 152,  Diseño paisajístico de los parques del Contrato 429 de 2019 FDLS Alcaldía de Suba. Parque
 Fontana, Diseño paisajístico de los parques del Contrato 429 de 2019 FDLS Alcaldía de Suba. Parque
 Arovi y Diseño paisajístico del proyecto “ESTUDIO, DISEÑO Y CONSTRUCCIÓN DE LAS MEJORAS GEOMÉTRICAS Y NUEVA SALIDA PORTAL TRONCAL 80, EN LA CIUDAD DE BOGOTÁ D.C.”, Diseño Paisajistico PARQUE URBANIZACION PARQUES DE CAMPO PREDIO EL CAMPITO 11-671, Diseño paisajístico de las zonas de cesión del proyecto Punta del Este, Diseño paisajístico de las zonas de cesión Andén Kr 74 y Cll 167 del proyecto Corporación
 Escuela Ecuestre Bacatá,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</si>
  <si>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27
UPZ 2
UPZ 23
UPZ 18
UPZ 72
UPZ 71
UPZ 28
UPZ 23</t>
  </si>
  <si>
    <t>EL POA
CASABLANCA SUBA URBANO
EL PLAN
PINOS DE LOMBARDIA
GRANADA NORTE
BOCHICA II
SABANA DE TIBABUYES
CLUB DE LOS LAGARTOS
CASABLANCA SUBA</t>
  </si>
  <si>
    <t xml:space="preserve"> PROYECTO Diseño paisajístico del Contrato IDU 1552 de 2018 CRUZA CON TMI SUBA
TMI SUBA CRUZA CON PROY DISEÑO PAISAJÍSTICO PARQUE FONTANA
TPI TIBABUYES CRUZA CON PROYECTO EL CAMPITO
TPI EL RINCÓN CRUZA CON PROYESTO Punta del Este</t>
  </si>
  <si>
    <t>SIN TERRITORIALIZAR</t>
  </si>
  <si>
    <t xml:space="preserve">SIN TERRITORIALIZAR(pertenece a proyectos del la meta 1_Agosto 2020, sin territorializar)
</t>
  </si>
  <si>
    <t>TEUSAQUILLO</t>
  </si>
  <si>
    <t>UPZ 101
UPZ 109</t>
  </si>
  <si>
    <t>LA SOLEDAD
CIUDAD SALITRE NOR-ORIENTAL</t>
  </si>
  <si>
    <t>En la localidad de Antonio Nariño se ha emitido determinantes ambientales al Diseño Paisajistico Balance de zonas verdes del contrato IDU 973 de 2020 CONSTRUCCIÓN DE LA AMPLIACIÓN DE ESTACIONES DEL SISTEMA TRANSMILENIO EN TRONCALES FASE I Y FASE II, POR EMERGENCIA EN BOGOTÁ D.C. – GRUPO III,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</si>
  <si>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38</t>
  </si>
  <si>
    <t>VILLA MAYOR ORIENTAL</t>
  </si>
  <si>
    <t>En la localidad de Puente Aranda se ha emitido determinantes ambientales al Plan Parcial de  renovacion urbana Avenida Colon, Plan Parcial de  renovacion urbana Cartón Colombia, Plan Parcial de Renovación Urbana Los Comuneros, Plan Parcila de Renovacion Urbana Pensilvania y Plan Parcila de Renovacion Urbana San Rafael, Diseño paisajístico de las zonas de cesión del proyecto MAZZARO y diseños paisajísticos contrato IDU-1624 de 2019 ESTUDIOS, DISEÑOS Y CONSTRUCCIÓN DE PASEOS COMERCIALES FASE II, EN LAS LOCALIDADES DE PUENTE ARANDA EN LA CIUDAD DE BOGOTÁ D. C.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</si>
  <si>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UPZ43
UPZ 108
UPZ 40
UPZ 41
</t>
  </si>
  <si>
    <t xml:space="preserve">SAN RAFAEL INDUSTRIAL
LOS EJIDOS
COMUNEROS
PENSILVANIA
ALQUERÍA
</t>
  </si>
  <si>
    <t>RAFAEL URIBE URIBE</t>
  </si>
  <si>
    <t>En la localidad de Rafael Uribe Uribe se ha emitido determinantes ambientales al Plan Parcial Desarrollo El Consuelo, Diseño Paisajístico Parque vecinal Urbanización Zarazota I (18-038) (Acta WR 1133) y Diseño Paisajístico Parque vecinal Urbanización Zarazota I (18-180) (Acta WR 1134), Diseño Paisajístico Parque vecinal Urbanización Quiroga Etapa I, II y III (18-202), Aprobación del Diseño Paisajístico Parque vecinal Urbanización Quiroga VII Etapa (18-125), Diseño Paisajístico Parque vecinal Urbanización Quiroga Etapa IV, V y VI (18-436) y Diseño Paisajístico Parque vecinal Desarrollo Palermo Sur (18-084),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</si>
  <si>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39
UPZ 54
UPZ 55</t>
  </si>
  <si>
    <t>ARBOLEDA SUR
QUIROGA I
QUIROGA CENTRAL
QUIROGA
PALERMO SUR</t>
  </si>
  <si>
    <t xml:space="preserve">polígono
 (Remitirse a Generación de Shape  carpeta denominada:
SHP META 1_2021)                               </t>
  </si>
  <si>
    <t>TMI MARRUECOS CRUZA CON PPD EL CONSUELO
TMI MARRUECOS CRUZA CON PROYECTO DISEÑO PAISAJÍSTICO Zarazota I (18-038)
TMI MARRUECOS CRUZA CON DP Zarazota I (18-180)
TPI DIANA TURBAY CRUZA CON PROYECTO Palermo Sur</t>
  </si>
  <si>
    <t>CIUDAD BOLIVAR</t>
  </si>
  <si>
    <t>En la localidad de Ciudad Bolivar se ha emitido determinantes ambientales al Diseño paisajístico por compensación del proyecto “Estudios y diseños detallados para la
 ampliación del tanque El Volador de la EAAB-ESP” Y Diseño Paisajístico de las franjas ambientales del Plan de Implantación para la Universidad Distrital Francisco José de Caldas Sede el Ensueño (Res. 1727/2018) (WR 1132),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</si>
  <si>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67
UPZ 70</t>
  </si>
  <si>
    <t>BRISAS DEL VOLADOR
VERONA</t>
  </si>
  <si>
    <t>TMI LUCERO CRUZA CON PROYECTO: DISEÑO PAISAJÍSTICO TANQUE EL VOLADOR EAAB
TMI JERUSALEM CRUZA CON PROYECTO FRANJA DE CONTROL AMBIENTAL U DISTRITAL SEDE EL  ENSUEÑO</t>
  </si>
  <si>
    <t>Meta cumplida de acuerdo con lo programado</t>
  </si>
  <si>
    <t xml:space="preserve">El ejecutado durante la vigencia 2021 corresponde a treinta y dos (32) proyecto a los cuales se les verifico la incorporación de criterios de sostenibilidad, (5 proyectos en enero, 6 en febrero, 7 en marzo, 7 en abril y 7 en mayo), de la siguiente manera:  Tres (3) Planes Directores de Parques de la Ciudad y veintinueve (29) Diseños paisajísticos de parques y zonas verdes. </t>
  </si>
  <si>
    <t>Bosa,  Engativá, Suba, Barrios Unidos, Ciudad Bolivar, Chapinero, Fontibon,  teusaquillo, San Cristobal</t>
  </si>
  <si>
    <t>Total UPZ territorializadas (Ene-Mayo 2021) = 25</t>
  </si>
  <si>
    <t xml:space="preserve">Total BARRIOS territorializadas (Ene-May 2021)  =31 </t>
  </si>
  <si>
    <t xml:space="preserve">polígono
 (Remitirse a Generación de Shape carpta denominada:
SHP META 2_2021)                               
</t>
  </si>
  <si>
    <t>Durante la actual vigencia en la localidad de usaquen, se verifico la incorporacion de incorporación de los lineamientos y determinantes ambientales de ecourbanismo y construcción sostenible, al diseño paisajistico del proyecto WR 567 Alameda Perimetral Carrera Séptima entre las
Calles 102 y 106, WR 539 Proyecto Akasha 106 y WR 568 Proyecto MERIDIANO 116,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</si>
  <si>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14
UPZ 16
</t>
  </si>
  <si>
    <t>ESCUELA DE INFANTERÍA
ANA OCCIDENTAL
SAN PATRICIO</t>
  </si>
  <si>
    <t>Durante la actual vigencia en la localidad de chapinero, se verifico la incorporacion de incorporación de los lineamientos y determinantes ambientales de ecourbanismo y construcción sostenible, al diseño paisajistico del proyecto WR 566 Nueva Facultad de Artes, Diseño Jorge Tadeo Lozano y WR 400 Andenes edificio Ochenta81, WR 590 Diseño Paisajístico Andenes Proyecto Rosales 77, WR 606 Diseño Paisajístico Intervención en espacio publico ECOTEK 99 y  WR 601 Edificio el palco,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</si>
  <si>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99
UPZ 97
UPZ 88 </t>
  </si>
  <si>
    <t>CHAPINERO CENTRALSUCRE
ESPARTILLAL
LOS ROSALES
CHICO NORTE II SECTOR
LA CABRERA</t>
  </si>
  <si>
    <t>Durante la actual vigencia en la localidad de Santa Fé, se verifico la incorporacion de incorporación de los lineamientos y determinantes ambientales de ecourbanismo y construcción sostenible, al diseño paisajistico del proyecto WR 414 Andenes Konrad Lorenz y WR 586  Tiendas Ara Calle 42,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</si>
  <si>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91
UPZ 93
</t>
  </si>
  <si>
    <t>SAN DIEGO
LAS NIEVES</t>
  </si>
  <si>
    <t>Durante la actual vigencia en la localidad de Bosa, se verifico la incorporacion de incorporación de los lineamientos y determinantes ambientales de ecourbanismo y construcción sostenible, al diseño paisajistico del proyecto WR 414 Andenes Konrad Lorenz,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</si>
  <si>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PARCELA EL PORVENIR</t>
  </si>
  <si>
    <t>Durante la actual vigencia en la localidad de Kennedy, se verifico la incorporacion de incorporación de los lineamientos y determinantes ambientales de ecourbanismo y construcción sostenible, al diseño paisajistico del proyecto WR 555 Proyecto Parques, Andenes Vías Locales y Controles Ambientales,
Predio COMPLEJO INDUSTRIAL y EMPRESARIAL ETAPA 3 (AMÉRICAS DEL TINTAL),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</si>
  <si>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44
UPZ 45
UPZ 48
UPZ 46
UPZ 79 </t>
  </si>
  <si>
    <t xml:space="preserve">HIPOTECHO OCCIDENTAL
PROVIVIENDA
SANTA CATALINA
VALLADOLID
OSORIO III
</t>
  </si>
  <si>
    <t>Durante la actual vigencia en la localidad de Fontibón, se verifico la incorporacion de incorporación de los lineamientos y determinantes ambientales de ecourbanismo y construcción sostenible, al diseño paisajistico del proyecto WR 427 Parque vecinal Urbanización Oikos Hayuelos, diseño paisajistico del proyecto WR 494 Parque metropolitano zona Franca, el diseño paisajistico del proyecto WR 393A Urbanización la Felicidad y WR 572 Proyecto Tiendas ARA Fontibón COLORES, WR 399 Proyecto andén carrera 68D Edificio Cámara de Comercio de Bogotá Sede
Avenida El Dorado.,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</si>
  <si>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75
UPZ 77
 UPZ 112
UPZ 110</t>
  </si>
  <si>
    <t>VILLEMAR
EL TINTAL FONTIBÓN
CIUDAD HAYUELOS
CENTRO FONTIBÓN
SALITRE OCCIDENTAL</t>
  </si>
  <si>
    <t>Durante la actual vigencia en la localidad de Engativá, se verifico la incorporacion de incorporación de los lineamientos y determinantes ambientales de ecourbanismo y construcción sostenible, al Plan Director del Parque Vecinal Ciudadela Colsubsidio,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</si>
  <si>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UPZ 72</t>
  </si>
  <si>
    <t>CIUDADELA COLSUBSIDIO</t>
  </si>
  <si>
    <t>Durante la actual vigencia en la localidad de Suba, se verifico la incorporacion de incorporación de los lineamientos y determinantes ambientales de ecourbanismo y construcción sostenible, al Plan Director del Parque Zonal Fontanar del Río, WR 398 Diseño Paisajístico Torre Imperial y WR 578 sede HARD BODY,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</si>
  <si>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71
UPZ 27
UPZ 18</t>
  </si>
  <si>
    <t>TIBABUYES II
TUNA BAJA
PORTALES DEL NORTE</t>
  </si>
  <si>
    <t>TMI TIBAYUBES CRUZA CON PD PARQUE FONTANAR DEL RÍO
TMI SUBA CRUZA  CON PROYECTO Diseño Paisaísticoj Torre Imperial</t>
  </si>
  <si>
    <t>Durante la actual vigencia en la localidad de Barrios Unidos, se verifico la incorporacion de incorporación de los lineamientos y determinantes ambientales de ecourbanismo y construcción sostenible, al Plan Director del Parque Zonal La Estación, WR 410 A Diseño Paisajístico Zonas de cesión para parque de la Urbanización K 68,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</si>
  <si>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98
UPZ 22</t>
  </si>
  <si>
    <t>SAN FELIPE
SAN FERNANDO OCCIDENTAL</t>
  </si>
  <si>
    <t>Durante la actual vigencia en la localidad de Teusaquillo, se verifico la incorporacion de incorporación de los lineamientos y determinantes ambientales de ecourbanismo y construcción sostenible, el diseño paisajistico del proyecto WR 493 A Andenes Corferias y el diseño paisajistico del proyecto WR 498 Ciudad Empresarial Sarmiento Angulo, WR 585 Diseño Paisajístico Ciudad Empresarial Sarmiento Angulo, Supermanzana 17, Lotes B y C. y WR 453 A Diseño Paisajístico de la plazoleta y sótano de parqueaderos del Concejo de Bogotá y las
obras del espacio público hasta el costado norte de la Calle 26,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</si>
  <si>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107
UPZ 109
101</t>
  </si>
  <si>
    <t xml:space="preserve">CENTRO NARIÑO
CIUDAD SALITRE NOR-ORIENTAL
LAS AMERICAS
</t>
  </si>
  <si>
    <t>RESTREPO</t>
  </si>
  <si>
    <t>Durante la actual vigencia en la localidad de Puente Aranda, se verifico la incorporacion de incorporación de los lineamientos y determinantes ambientales de ecourbanismo y construcción sostenible, WR 464B y WR 464C Establecimiento de Sanidad Militar,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</si>
  <si>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PUNETE ARANDA</t>
  </si>
  <si>
    <t>UPZ 111</t>
  </si>
  <si>
    <t>SALAZAR GOMEZ</t>
  </si>
  <si>
    <t>Durante la actual vigencia en la localidad de Rafael Uribe Uribe, se verifico la incorporacion de incorporación de los lineamientos y determinantes ambientales de ecourbanismo y construcción sostenible, WR418A Diseño Paisajístico para las obras de intervención física a escala barrial Tramo cuatro (4) Sector
Marruecos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</si>
  <si>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54</t>
  </si>
  <si>
    <t>CALLEJON SANTA BARBARA</t>
  </si>
  <si>
    <t xml:space="preserve">MARCO FIDEL SUAREZ (PLAN DIRECTOR PARQUE SANTA LUCÍA)
TMI MARRUECOS CRUZA CON PROY DP TRAMO 4
</t>
  </si>
  <si>
    <t>Durante la actual vigencia en la localidad de Ciudad Bolivar, se verifico la incorporacion de incorporación de los lineamientos y determinantes ambientales de ecourbanismo y construcción sostenible, al Parque Vecinal Juan José Rondón, WR418A Diseño Paisajístico para las obras de intervención física a escala barrial Tramo tres (3) Sector San
Francisco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</si>
  <si>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19-CIUDAD BOLÍVAR</t>
  </si>
  <si>
    <t>UPZ 66</t>
  </si>
  <si>
    <t>Juan José Rondón</t>
  </si>
  <si>
    <t>TMI SAN FRANCISCO CRUZA CON  PD JUAN JOSÉ RONDÓN
TMI SAN FRANCISCO CRUZA CON PROY DJ TRAMO 3</t>
  </si>
  <si>
    <t>Durante la actual vigencia en la localidad de San Cristobal, se verifico la incorporacion de incorporación de los lineamientos y determinantes ambientales de ecourbanismo y construcción sostenible, al Diseño Paisajistico  WR 595 INTERVENCIÓN ZMPA Q. MORALES, evaluando su aporte a la gestión de la crisis climática.</t>
  </si>
  <si>
    <t xml:space="preserve">
UPZ 51
</t>
  </si>
  <si>
    <t>EL PINAR</t>
  </si>
  <si>
    <t xml:space="preserve">polígono
 (Remitirse a Generación de Shape carpta denominada:
SHP META 2_2021)       </t>
  </si>
  <si>
    <t>TPI LOS LIBERTADORES CRUZA DISEÑO PAISAJÍSTICO  ENDURECIMIENTO Q. MORALES</t>
  </si>
  <si>
    <t>UPZ 12
UPZ 16</t>
  </si>
  <si>
    <t>LA LIBERIA
SANTA BARBARA OCCIDENTAL</t>
  </si>
  <si>
    <t>polígono
 (Remitirse a Generación de Shape,
Meta 2_Septiembre2020),
Meta 2_Octubre2020),
Meta 2_Noviembre2020),
Meta 2_Diciembre2020)</t>
  </si>
  <si>
    <t>Durante enero y mayo de la vigencia 2021, se ha realizado acompañamiento técnico a 1463 m2 de techos verdes y jardines verticales, (246 m2 en enero, 301 m2 en febrero, 296 m2 en marzo, 300 m2 en abril y 320 m2 en mayo) promovidos en las siguientes localidades: Engativá (300m2), Chapinero (712m2), Puente Aranda (182 m2), Usaquén (30 m2), Los Mártires (154m2) y Santa Fe (85 m2).</t>
  </si>
  <si>
    <t>Chapinero, Puente Aranda, Usaquén.</t>
  </si>
  <si>
    <t>total upz territorializadas ENE-MAY 2021) = 8</t>
  </si>
  <si>
    <t>total barrios territorializadas (ENE-MAY 2021) = 10</t>
  </si>
  <si>
    <t xml:space="preserve">Punto
 (Remitirse a Generación de Shape denominado:
SHP META 3_2021)                               
</t>
  </si>
  <si>
    <t>1. Politica Pública de Ecourbanismo y Construcción Sostenible, Politica de Biodiversidad</t>
  </si>
  <si>
    <t>La territorialización de la meta se realiza a escala de localidad, dado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</si>
  <si>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CHAPINERO, EDIFICIO CHICO 92 - 11, Calle 92 # 11 - 51, CHIP AAA0250JWYX</t>
  </si>
  <si>
    <t>Durante la actual vigencia en la localidad de Chapinero, se realizó acompañamiento técnico a 320 m2 de  jardines verticales en el EDIFICIO CHICO 92 - 11, Calle 92 # 11 - 51, CHIP AAA0250JWYX.</t>
  </si>
  <si>
    <t>CHAPINERO, EDIFICIO 81 - 11, Calle 81 # 11 - 08, CHIP AAA0097UHNX.</t>
  </si>
  <si>
    <t>Durante la actual vigencia en la localidad de Chapinero, se realizó acompañamiento técnico a 216 m2 de  jardines verticales en el EDIFICIO 81 - 11, Calle 81 # 11 - 08, CHIP AAA0097UHNX.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</si>
  <si>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UPZ97</t>
  </si>
  <si>
    <t>ESPARTILLAL</t>
  </si>
  <si>
    <t xml:space="preserve">Punto
 (Remitirse a Generación de Shape carpata denominada:
SHP META 3_2021)                               
</t>
  </si>
  <si>
    <t>CHAPINERO, EDIFICIO 81 , Calle 81 # 11 - 55, CHIP AAA0097SFSY.</t>
  </si>
  <si>
    <t>Durante la actual vigencia en la localidad de Chapinero, se realizó acompañamiento técnico a 96 m2 de  jardines verticales en el EDIFICIO 81 , Calle 81 # 11 - 55, CHIP AAA0097SFSY.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</si>
  <si>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UPZ97
</t>
  </si>
  <si>
    <t xml:space="preserve">ESPARTILLAL
</t>
  </si>
  <si>
    <t>CHAPINERO, HOTEL BIOXURY, Calle  84B # 9- 52, CHIP AAA0097CWJH.</t>
  </si>
  <si>
    <t>Durante la actual vigencia en la localidad de Chapinero, se realizó acompañamiento técnico a 80 m2 de  jardines verticales en el  HOTEL BIOXURY, Calle  84B # 9- 52, CHIP AAA0097CWJH.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</si>
  <si>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UPZ88</t>
  </si>
  <si>
    <t xml:space="preserve">
EL RETIRO</t>
  </si>
  <si>
    <t>USAQUEN, RESTAURANTE COCTEL DEL MAR, AK 19 # 123 - 26 CHIP AK 19 # 123 - 26.</t>
  </si>
  <si>
    <t>Durante la actual vigencia en la localidad de Usaquén, se realizó acompañamiento técnico a 30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</si>
  <si>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UPZ16</t>
  </si>
  <si>
    <t>SANTA BARBARA OCCIDENTAL</t>
  </si>
  <si>
    <t>PUENTE ARANDA, ALCALDIA LOCAL DE PUENTE ARANDA, Carrera 31 D # 4 - 05, CHIPAAA0035WRZE</t>
  </si>
  <si>
    <t>Durante la actual vigencia en la localidad de Puente Aranda, se realizó acompañamiento técnico a 142 m2 de  jardines verticales en el  ALCALDIA LOCAL DE PUENTE ARANDA, Carrera 31 D # 4 - 05, CHIP AAA0035WRZE.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</si>
  <si>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40</t>
  </si>
  <si>
    <t>COMUNEROS</t>
  </si>
  <si>
    <t>PUENTE ARANDA, GECOLSA S.A, Avenida Américas # 42 A 21, CHIP AAA0073SLZE</t>
  </si>
  <si>
    <t>Durante la actual vigencia en la localidad de Puente Aranda, se realizó acompañamiento técnico a 40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</si>
  <si>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UPZ108</t>
  </si>
  <si>
    <t>INDUSTRIAL CENTENARIO</t>
  </si>
  <si>
    <t>SANTA FE, EDIFICIO ALTA VISTA, Calle 32 # 13 - 52. AAA0207OWYN</t>
  </si>
  <si>
    <t>Durante la actual vigencia en la localidad de Santa Fé, se realizó acompañamiento técnico a 85 m2 de  jardines verticales en el   EDIFICIO ALTA VISTA, Calle 32 # 13 - 52. AAA0207OWYN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</si>
  <si>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</si>
  <si>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UPZ91</t>
  </si>
  <si>
    <t>SAMPER</t>
  </si>
  <si>
    <t>ENGATIVÁ, CENTRO COMERCIAL DIVER PLAZA, TV 99 Bis # 70A - 89, AAA0186YDPP</t>
  </si>
  <si>
    <t>Durante la actual vigencia en la localidad de Engativá, se realizó acompañamiento técnico a 300 m2 de  jardines verticales en el    CENTRO COMERCIAL DIVER PLAZA, TV 99 Bis # 70A - 89, AAA0186YDPP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</si>
  <si>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73
UPZ 26</t>
  </si>
  <si>
    <t xml:space="preserve">SANTA MÓNICA </t>
  </si>
  <si>
    <t>UPZ 25</t>
  </si>
  <si>
    <t>ANDES NORTE</t>
  </si>
  <si>
    <t>punto
 (Remitirse a Generación de Shape,
Meta 3_Agosto2020,
Meta3_Septiembre2020,
Meta3_Octubre2020,
Meta3_Noviembre2020,
Meta3_Diciembre2020.</t>
  </si>
  <si>
    <t>CONCEPCION NORTE</t>
  </si>
  <si>
    <t xml:space="preserve">LOS MARTIRES, COLEGIO DISTRITAL PANAMERICANO, AK 27 # 24 C  - 19, CHIP AAA0072LHLF </t>
  </si>
  <si>
    <t>Durante la actual vigencia en la localidad de Santa Fé, se realizó acompañamiento técnico a 102 m2 de  jardines verticales en el   COLEGIO DISTRITAL PANAMERICANO, AK 27 # 24 C  - 19, CHIP AAA0072LHLF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</si>
  <si>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FLORIDA</t>
  </si>
  <si>
    <t>LOS MARTIRES, COMPLEJO JUDICIAL PALO QUEMADO, CHIP AAA0072ZKAF</t>
  </si>
  <si>
    <t>Durante la actual vigencia en la localidad de Santa Fé, se realizó acompañamiento técnico a 52 m2 de  jardines verticales en el LOS MARTIRES, COMPLEJO JUDICIAL PALO QUEMADO, CHIP AAA0072ZKAF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</si>
  <si>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PALOQUEMAO</t>
  </si>
  <si>
    <t>UPZ104
UPZ106
UPZ109</t>
  </si>
  <si>
    <t>CENTRO ADMINISTRATIVO OCC.
CIUDAD UNIVERSITARIA
CIUDAD SALITRE SUR-ORIENTAL</t>
  </si>
  <si>
    <t xml:space="preserve">UPZ 108
</t>
  </si>
  <si>
    <t>ESTACION CENTRAL</t>
  </si>
  <si>
    <t>LA CATEDRAL</t>
  </si>
  <si>
    <t>Se cumplió con lo programado. Se avanzó en el documento con el desarrollo de los documentos técnicos generados por los diferentes equipos que integran los componentes estructurales de la estrategia (Economía circular, Sostenibilidad energética, Negocios verdes, métrica, empleos verdes, Ecourbanismo y transversales). Se realizó con Departamento Nacional de Planeación articulación para desarrollar los indicadores de monitoreo de la implementación de la EDCV. Se parcipó en la construcción del Plan de Acción de la Politica de Desarrollo Económico con la articulación de las acciones de la Estrategia Distrital de Crecimiento Verde. Se continuaron las articulacoines con otras entidades.</t>
  </si>
  <si>
    <t>e</t>
  </si>
  <si>
    <t xml:space="preserve">Reunión con servidoras y servidores públicos </t>
  </si>
  <si>
    <t>22 personas (Reuniones realizadas 03/05/2021: 6, 12/05/2021: 9, 25-05-2021: 12, 27/05/2021:10)</t>
  </si>
  <si>
    <t>El 03/05/2021. Participantes Secretaría Distrital de Ambiente (equipo Estrategia Distrital de Crecmiento Verde (EDCV) y Secretaría de Desarrollo Económico (grupo de políticas). Reunión explicatoria para el diligenciamiento del formato plan de acción de la Política de desarrollo Económico articulando las acciones de la (EDCV).
12/05/2021. Participantes Secretaría Distrital de Ambiente (equipo Estrategia Distrital de Crecmiento Verde (EDCV)), Secretaría de Hacienda Distrital y Bancolombia. Presentación de la experiencia de Bonos Verdes por parte de Bancolombia para establecer la posibilidad de crear este proyecto para Bogotá.
25/05/2021. Participantes Secretaría Distrital de Ambiente (equipo Estrategia Distrital de Crecmiento Verde (EDCV) y Programa Empleos Verdes en la Economía Circular - PREVEC giz│ Deutsche Gesellschaft für Internationale Zusammenarbeit (GIZ) GmbH. Presentación del proyecto PREVEC y Programa de Gestión Ambiental Empresarial en el marco de la EDCV, con el fin de establecer puntos de articulación.
27/05/2021. Participantes Secretaría Distrital de Ambiente (equipo Estrategia Distrital de Crecmiento Verde (EDCV) y Departamento Nacional de Planieación. Conocer la formulación de los indicadores nacionales de Crecimiento Verde a fin de articularlos a la EDCV y establecer el mecanismo para el seguimiento de la misma.</t>
  </si>
  <si>
    <r>
      <rPr>
        <sz val="10"/>
        <color theme="1"/>
        <rFont val="Arial"/>
        <family val="2"/>
      </rPr>
      <t xml:space="preserve">Producto de la asistencia técnica, para este periodo y de acuerdo a la programación de la meta, se reportan 5 proyectos presentados por las empresas participantes dirigidos al uso eficiente de los recursos naturales y materiales los cuales aportan al desempeño ambiental de las organizaciones, para un avance consolidado en la vigencia 2021 de 45 proyectos de acuerdo a lo programado.
</t>
    </r>
    <r>
      <rPr>
        <sz val="10"/>
        <color rgb="FFFF0000"/>
        <rFont val="Arial"/>
        <family val="2"/>
      </rPr>
      <t xml:space="preserve">
</t>
    </r>
  </si>
  <si>
    <t>1. USAQUÉN</t>
  </si>
  <si>
    <t>1. Politica Distrital de Producción y Consumo Sostenible</t>
  </si>
  <si>
    <t>Teniendo en cuenta que la población objeto corresponde al sector empresarial ubicado en el perímetro urbano de Bogotá, es dificil definir el area de influencia, por lo cual se incluye como area el distrito capital, ya que se presenta gran dificultad y escasa confiabilidad en la adquisición de información dado el universo de empresas participantes, respecto a ubicación de vivienda de colaboradores, así mismo, dada la naturaleza comercial de estas organizaciones es impreciso determinar el detalle en ubicación, población, genero, grupos, condiciones sociales de las personas con las que puedan desarrollar relaciones comerciales (clientes, proveedores, otros), de tipo social con organizaciones sin animo de lucro y la académia.
Por lo anterior, no se encuentran definidos los grupos etarios, de condición poblacional, etnicos y demas información solicitada en las columnas AQ a la AW.</t>
  </si>
  <si>
    <t>En el marco del Programa Gestión Ambiental Empresarial y de acuerdo al cronograma de reporte para la vigencia 2021, producto de la asistencia técnica enmarcado en acompañamiento se reporta para el mes de marzo (1) proyecto dirigido al uso eficiente en el consumo del agua.
No obstante, se cuenta con un acumulado de (2) proyectos dirigidos al uso eficiente de los recursos naturales (1 residuos y 1 en agua).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</si>
  <si>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UPZ99
UPZ97</t>
  </si>
  <si>
    <t>MARLY
CHICO NORTE</t>
  </si>
  <si>
    <t>Shapefile_Proy7794_meta5_MAY2021 subido al drive: https://drive.google.com/drive/u/1/folders/1aNcJhPGfXWBLSyMneEHnfSIoin8dI2yt</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</si>
  <si>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2 proyectos pertenecientes a (2 grandes ).</t>
  </si>
  <si>
    <t>En el marco del Programa Gestión Ambiental Empresarial y de acuerdo al cronograma de reporte para la vigencia 2021, producto de la asistencia técnica enmarcado en acompañamiento se reporta para el mes de marzo (1) proyecto dirigido en la eficiencia en el uso de recursos materiales y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</si>
  <si>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UPZ93</t>
  </si>
  <si>
    <t>LA ALAMEDA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</si>
  <si>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t>
  </si>
  <si>
    <t>DANUBIO</t>
  </si>
  <si>
    <r>
      <rPr>
        <sz val="9"/>
        <color theme="1"/>
        <rFont val="Arial"/>
        <family val="2"/>
      </rPr>
      <t xml:space="preserve">En el marco del Programa Gestión Ambiental Empresarial y de acuerdo al cronograma de reporte para la vigencia 2021, producto de la asistencia técnica enmarcado en acompañamiento se reporta para el mes de mayo (1) proyecto dirigido al uso eficiente en el consumo de la energía.
No obstante, se cuenta con un acumulado de (5) proyectos dirigidos al uso eficiente de los recursos naturales (1 residuos, 2 energía y 2 en agua).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</si>
  <si>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t>ISLA DEL SOL, VENECIA OCCIDENTAL
PARQUE EL TUNAL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</si>
  <si>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5 proyectos pertenecientes a (2 grandes y 3 medianas).</t>
  </si>
  <si>
    <t>En el marco del Programa Gestión Ambiental Empresarial y de acuerdo al cronograma de reporte para la vigencia 2021, producto de la asistencia técnica enmarcado en acompañamiento se reportan en esta localidad (1) proyectos dirigidos al uso eficiente de los recursos naturales y materiales (1 en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</si>
  <si>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44</t>
  </si>
  <si>
    <t>ALQUERIA LA FRAGUA II</t>
  </si>
  <si>
    <r>
      <rPr>
        <sz val="9"/>
        <color theme="1"/>
        <rFont val="Arial"/>
        <family val="2"/>
      </rPr>
      <t xml:space="preserve">En el marco del Programa Gestión Ambiental Empresarial y de acuerdo al cronograma de reporte para la vigencia 2021, producto de la asistencia técnica enmarcado en acompañamiento se reporta en esta localidad (1) proyecto dirigido al uso eficiente de los recursos naturales (agua).
No obstante, se cuenta con un acumulado de (12) proyectos dirigidos al uso eficiente de los recursos naturales (5 residuos, 3 energía, 3 en agua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</si>
  <si>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t>UPZ112
UPZ115
UPZ 117
UPZ75
UPZ76
UPZ 77</t>
  </si>
  <si>
    <t>GRANJAS DE TECHO, MONTEVIDEO
SAN JOSE DE FONTIBON 
AEROPUERTO EL DORADO 
LA CABANA FONTIBON 
BRISAS ALDEA FONTIBON, SAN PABLO JERICO 
ZONA FRANCA, EL CHANCO I</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</si>
  <si>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12 proyectos pertenecientes a (4 grandes y 8 mediana).</t>
  </si>
  <si>
    <t>En el marco del Programa Gestión Ambiental Empresarial y de acuerdo al cronograma de reporte para la vigencia 2021, producto de la asistencia técnica enmarcado en acompañamiento se reporta para el mes de marzo (1) proyecto dirigido al uso eficiente en el consumo de la energía.
Sin embargo, en la vigencia se tiene un acumulado de (7) proyectos dirigidos al uso eficiente de los recursos naturales y materiales (1 en agua, 3 en energía y 3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</si>
  <si>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UPZ105
UPZ116
UPZ26
UPZ74
</t>
  </si>
  <si>
    <t>JARDIN BOTANICO
LOS ALAMOS, SAN IGNACIO
LAS FERIAS OCCIDENTAL
VILLA GLADYS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</si>
  <si>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7 proyectos pertenecientes a (2 grandes, 3 medianas y 2 microempresas).</t>
  </si>
  <si>
    <t>En el marco del Programa Gestión Ambiental Empresarial y de acuerdo al cronograma de reporte para la vigencia 2021, producto de la asistencia técnica enmarcado en acompañamiento se reporta (1) proyecto dirigido al uso eficiente del agua.
No obstante, se cuenta con un acumulado de (4) proyectos dirigidos al uso eficiente de los recursos naturales (3 en agua y 1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</si>
  <si>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UPZ19
UPZ 24
UPZ 27</t>
  </si>
  <si>
    <t>PRADO VERANIEGO
NIZA SUBA
TUNA BAJA, SUBA URBANO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</si>
  <si>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4 proyectos pertenecientes a (2 grandes y 2 mediana).</t>
  </si>
  <si>
    <t>En el marco del Programa Gestión Ambiental Empresarial y de acuerdo al cronograma de reporte para la vigencia 2021, producto de la asistencia técnica enmarcado en acompañamiento se reportan en esta localidad (2) proyectos dirigidos al uso eficiente en el consumo del agua.
No obstante, se cuenta con un acumulado de (4) proyectos dirigidos al uso eficiente de los recursos naturales (2 en agua y 2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</si>
  <si>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UPZ21
UPZ22
UPZ98</t>
  </si>
  <si>
    <t>LA CASTELLANA
SIETE DE AGOSTO, DOCE DE OCTUBRE
ALCAZARES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</si>
  <si>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empresas de tamaño grande.
No obstante, se tiene de esta localidad un acumulado de 4 proyectos pertenecientes a (1 grande y 3 medianas).</t>
  </si>
  <si>
    <r>
      <rPr>
        <sz val="9"/>
        <color theme="1"/>
        <rFont val="Arial"/>
        <family val="2"/>
      </rPr>
      <t xml:space="preserve">En el marco del Programa Gestión Ambiental Empresarial y de acuerdo al cronograma de reporte para la vigencia 2021, producto de la asistencia técnica enmarcado en acompañamiento se reporta en esta localidad un (1) proyecto dirigido aluso eficiente de la energía.
No obstante, se cuenta con un acumulado de (3) proyectos dirigidos al uso eficiente de los recursos naturales (1 en agua, 1 en energía y 1 en residuos).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</si>
  <si>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t>UPZ100
UPZ104</t>
  </si>
  <si>
    <t>GALERIAS
CENTRO ADMINISTRATIVO OCC.</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</si>
  <si>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grande.
No obstante, se tiene de esta localidad un acumulado de 3 proyectos pertenecientes a (2 grandes y 1 mediana).</t>
  </si>
  <si>
    <t>LOS MÁRTIRES</t>
  </si>
  <si>
    <t>En el marco del Programa Gestión Ambiental Empresarial y de acuerdo al cronograma de reporte para la vigencia 2021, producto de la asistencia técnica enmarcado en acompañamiento se reporta en esta localidad un (1) proyecto dirigido al uso eficiente de la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</si>
  <si>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UPZ102</t>
  </si>
  <si>
    <t>RICAUTE</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</si>
  <si>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mediano.</t>
  </si>
  <si>
    <r>
      <rPr>
        <sz val="9"/>
        <color theme="1"/>
        <rFont val="Arial"/>
        <family val="2"/>
      </rPr>
      <t xml:space="preserve">En el marco del Programa Gestión Ambiental Empresarial y de acuerdo al cronograma de reporte para la vigencia 2020, producto de la asistencia técnica enmarcado en acompañamiento se reporta en esta localidad (2) proyectos dirigidos al uso eficiente de los recursos naturales (1 en agua y 1 en energía).
No obstante, se cuenta con un acumulado de (13) proyectos dirigidos al uso eficiente de los recursos naturales (3 en agua, 7 en energía, 2 en residuos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</si>
  <si>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t>UPZ 108
UPZ 111
UPZ43</t>
  </si>
  <si>
    <t>EL EJIDO, GORGONZOLA, LOS EJIDOS
CENTRO INDUSTRIAL, PUENTE ARANDA, SALAZAR GOMEZ
SAN RAFAEL INDUSTRIAL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</si>
  <si>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 de tamaño grande.
No obstante, se tiene de esta localidad un acumulado de 13 proyectos pertenecientes a (5 grandes, 7 medianas y 1 pequeña).</t>
  </si>
  <si>
    <t>RAFAEL URIBE</t>
  </si>
  <si>
    <t>En el marco del Programa Gestión Ambiental Empresarial y de acuerdo al cronograma de reporte para la vigencia 2021, producto de la asistencia técnica enmarcado en acompañamiento se reporta en esta localidad (1) proyectos a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</si>
  <si>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65
UPZ69</t>
  </si>
  <si>
    <t>RAFAEL ESCAMILLA
PRIMAVERA II</t>
  </si>
  <si>
    <t>ISMAEL PERDOMO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</si>
  <si>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tamaño grande.</t>
  </si>
  <si>
    <t>Se cumplió conforme a lo programado</t>
  </si>
  <si>
    <t>En la vigencia se tienen 7 negocios verdes, distribuidos así: 3 en Suba, 1 en Chapinero, 1 en Kennedy y 2 Usaquén</t>
  </si>
  <si>
    <t>La empresa se inscribío a demanda  y al realizar su verificación cumplió los requisitos para ser un negocio verde en el mes de mayo</t>
  </si>
  <si>
    <t>UPZ13
UPZ16</t>
  </si>
  <si>
    <t>CEDRITOS
SAN PATRICIO</t>
  </si>
  <si>
    <t>Punto. Shapefile_Proy7794_meta6_MAY2021 subido al drive: https://drive.google.com/drive/u/1/folders/1ZSqxrBWuR8DsLVf9scwGAG7Xr6iUAH-L</t>
  </si>
  <si>
    <t>La enpresa cumplió con los requisitos de verificación en los componentes ambientales, de responsabilidad social y económicos.</t>
  </si>
  <si>
    <t>El negocio verificado es una microempresa, razón por la cual tiene 4 personas que la conforman. Se describe el género y el grupo etario de éstos.</t>
  </si>
  <si>
    <t>Las enpresas cumplieron con los requisitos de verificación en los componentes ambientales, de responsabilidad social y económicos.</t>
  </si>
  <si>
    <t>UPZ20
UPZ71
UPZ19</t>
  </si>
  <si>
    <t>PASADENA
SAN PEDRO
MAZUREN</t>
  </si>
  <si>
    <t>TIBABUYES</t>
  </si>
  <si>
    <t>6 (30 A 50 AÑOS)</t>
  </si>
  <si>
    <t>VÍCTIMA CONFLICTO ARMADO
MADRE CABEZA DE HOGAR</t>
  </si>
  <si>
    <t>1
1</t>
  </si>
  <si>
    <t>INGÍGENA</t>
  </si>
  <si>
    <t>La empresa se inscribió y cumplió los requisitos de verificación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</si>
  <si>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UPZ297</t>
  </si>
  <si>
    <t>CHICO NORTE</t>
  </si>
  <si>
    <t>Punto. Shapefile_Proy7794_meta6_MAR2021</t>
  </si>
  <si>
    <t>La empresa se inscribío a demanda en el mes de febrero y al realizar su verificación cumplió los requisitos para ser un negocio verde.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</si>
  <si>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UPZ80</t>
  </si>
  <si>
    <t>CHUCUA DE LA VACA II</t>
  </si>
  <si>
    <t>Shapefile_Proy7794_meta6_FEB2021</t>
  </si>
  <si>
    <t>La empresa se inscribío a demanda y al realizar su verificación cumplió los requisitos para ser un negocio verde</t>
  </si>
  <si>
    <t>Para el presente reporte el avance físico de la meta consistió en la generación de herramientas de apoyo para orientar la transición hacia la economía circular en las empresas de la ciudad, por lo que no existe un territorio especifico y aplica en general para Bogotá.</t>
  </si>
  <si>
    <t>Debido a que su aplicación en para toda la ciudad, no se indica la especificidad en la descripción de la población.</t>
  </si>
  <si>
    <t>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t>
  </si>
  <si>
    <t xml:space="preserve">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
</t>
  </si>
  <si>
    <t>Las distintas actividades ejecutadas para cumplir con la meta se realizan en el Distrito Capital y no en puntos específicos.
Se tuvo en cuenta la reserva presupuestal para llevar a cabo las acciones de la magnitud física.
Se da por cumplida esta meta en un 100%</t>
  </si>
  <si>
    <t xml:space="preserve">Las distintas actividades ejecutadas para cumplir con la meta se realizan en el Distrito Capital y no en puntos específicos.
</t>
  </si>
  <si>
    <t>Se crea hoja de SPI</t>
  </si>
  <si>
    <t>Se agregan  en el componente de gestión y de inversión nuevas columnas para establecer más patrones de medición</t>
  </si>
  <si>
    <t>4. Gestionar la participación continua de instituciones y la vinculación de otros actores en la implementación de la Estrategia.</t>
  </si>
  <si>
    <t>5. Realizar seguimiento a proyectos en marcha y promover la formulación de nuevos proyectos</t>
  </si>
  <si>
    <t>14. Implementación de los proyectos de producción más limpia en los sectores de curtiembres, metalurgia (galvanoplastia) y mineria, establecidos en el plan anual.</t>
  </si>
  <si>
    <t>1, 5. PROGRAMACIÓN INICIAL AÑO 2024</t>
  </si>
  <si>
    <t>USME, ALCALDIA LOCAL DE USME TORRE COSTADO NORTE, KR 14A 137B 32 SUR, AAA0208ZWWW</t>
  </si>
  <si>
    <t>Durante la actual vigencia en la localidad de Usme, se realizó acompañamiento técnico a 600 m2 de Techos Verdes en  la ALCALDIA LOCAL DE USME TORRE COSTADO NORTE, KR 14A 137B 32 SUR, AAA0208ZWWW</t>
  </si>
  <si>
    <t>Durante la actual vigencia en la localidad de Engativá, se verifico la incorporación de incorporación de los lineamientos y determinantes ambientales de ecourbanismo y construcción sostenible, a:  WR 234A URB PARAISO</t>
  </si>
  <si>
    <t>CENTRO USME URBANO</t>
  </si>
  <si>
    <t>UPZ61</t>
  </si>
  <si>
    <t>Durante la vigencia 2024 se inició con la revisión de la hoja de ruta para el 2024 de Red Moda Circular, reunión de formulación de proyecto piloto de Compras Circulares y reunión de articulación del proyecto de RCDs con la Universidad Nacional.</t>
  </si>
  <si>
    <t>UPZ 14
UPZ16</t>
  </si>
  <si>
    <t>BELLA SUIZA
SAN PATRICIO, SANTA BIBIANA.</t>
  </si>
  <si>
    <t>Punto. https://drive.google.com/drive/u/1/folders/10wh8yqPM8JcQG2cE0Y5SWP_Xfk1Pgibw</t>
  </si>
  <si>
    <t>UPZ 88
UPZ 97
UPZ 99</t>
  </si>
  <si>
    <t>LOS ROSALES
CHICO NORTE II SECTOR, EL CHICO, CHICO NORTE III SECTOR, PORCIUNCULA
CHAPINERO NORTE</t>
  </si>
  <si>
    <t>UPZ 115</t>
  </si>
  <si>
    <t>PUERTA DE TEJA</t>
  </si>
  <si>
    <t>UPZ 26
UPZ 105</t>
  </si>
  <si>
    <t xml:space="preserve">SANTA ROSA, LAS FERIAS
JARDIN BOTANICO
</t>
  </si>
  <si>
    <t>UPZ 25
UPZ 28
UPZ 71</t>
  </si>
  <si>
    <t>POTOSI
ALTOS DE CHOZICA
TIBABUYES II, TIBABUYES</t>
  </si>
  <si>
    <t>UPZ 21
UPZ 22
UPZ 98</t>
  </si>
  <si>
    <t>RIONEGRO
POPULAR MODELO, SAN MIGUEL
POLO CLUB</t>
  </si>
  <si>
    <t>UPZ 109</t>
  </si>
  <si>
    <t>CIUDAD SALITRE NOR-ORIENTAL</t>
  </si>
  <si>
    <t>UPZ40
UPZ 41
UPZ 43
UPZ 108</t>
  </si>
  <si>
    <t>LA ASUNCION
AUTOPISTA SUR
SAN RAFAEL INDUSTRIAL
CUNDINAMARCA</t>
  </si>
  <si>
    <t xml:space="preserve"> 8. Desarrollo de estrategias o escenarios para el fortalecimiento institucional, asi como de los emprendimientos y negocios verdes.</t>
  </si>
  <si>
    <t>9. Diseñar acciones que permitan la dinamización del mercado de los negocios en el proceso de fortalecimiento de la ventanilla de negocios verdes</t>
  </si>
  <si>
    <t xml:space="preserve">12. Realizar el seguimiento a la implementación de los proyectos, así como gestionar las recomendaciones de los proyectos pilotos en economía circular </t>
  </si>
  <si>
    <t>13.Presentación de avances  de los proyectos piloto</t>
  </si>
  <si>
    <t>Se realizó verificación de requisitos para el negocio Verde AMERICA TRADING COMPANY SAS</t>
  </si>
  <si>
    <t>NORMANDIA</t>
  </si>
  <si>
    <t>Punto. https://drive.google.com/drive/u/5/folders/10wh8yqPM8JcQG2cE0Y5SWP_Xfk1Pgibw</t>
  </si>
  <si>
    <t>Se realizó verificación de requisitos para el negocio Verde INVERSIONES SÁNCHEZ GARCÉS SAS</t>
  </si>
  <si>
    <t>RAFAEL URIE URIBE</t>
  </si>
  <si>
    <t>La ciudad cuenta con un Plan de Acción Climática y con una Política Pública de Acción Climática con horizonte a 2050 que plantean acciones de mitigación y de adaptación al cambio climático, así como otras para la gobernanza y el conocimiento, a fin de enfrentar, de la mejor manera, sus efectos y favorecer la resiliencia.FB14:FC17</t>
  </si>
  <si>
    <t>Las distintas actividades ejecutadas para cumplir con la meta se realizan en todo el Distrito Capital y no en puntos específicos.</t>
  </si>
  <si>
    <t>Durante el mes de enero de 2024, se incorporó y verifico criterios de sostenibilidad ambiental a veintisiete  (27) proyectos. Así mismo, se brindo acompañamiento tecnico a 600 m2 de  techos verdes en la ciudad</t>
  </si>
  <si>
    <t>En el mes de enero de 2024 se verificaron los siguientes negocios verdes:
2024EE08522 American Trading Company-puntaje: 64.72%
2024EE22660 Industrias sanchez garces - Mueblea puntaje: 63.93%</t>
  </si>
  <si>
    <t>Para los sectores curtidor, metalurgia (galvánico) y minería se socializó la convocatoria para el programa ACERCAR de la entidad;para el sector minero se participó en una mesa de trabajo con la CAR para la articulación de actividades</t>
  </si>
  <si>
    <t>III ACTIVIDADES SUIFT (PRESUPUESTO) VIGENCIA 2024</t>
  </si>
  <si>
    <t>PRESUPUESTO VIGENCIA SUIFP 2024</t>
  </si>
  <si>
    <t>PRESUPUESTO
OBLIGADO (GIRADO) 2024</t>
  </si>
  <si>
    <t>Durante el mes de enero 2024, se incorporó criterios de sostenibilidad ambiental a diecisiete (17) proyectos de diferentes escalas. 
Así mismo, se realizó la verificación a la incorporación de determinantes ambientales a diez (10) proyectos de infraestructura en el espacio público.</t>
  </si>
  <si>
    <t xml:space="preserve">Durante el mes de enero de 2024 se ha realizado el acompañamiento técnico a 600 m2 correspondientes a techos verdes , en un proyecto existente en espacio  privado en la localidad de Usme. </t>
  </si>
  <si>
    <t>Para el sector curtidor se adelantó la revisión de autodiagnósticos de la ecoetiqueta y el informe consolidado; el sector galvánico consolidó el informe anual del proyecto de fortalecimiento y el sector minero , se adelantó la articulación con la CAR y el informe anual del proyecto ladrillos verdes</t>
  </si>
  <si>
    <t>Ejecución de acciones de adaptación al cambio climático, en especial, relacionadas con la activación/respuesta a emergencias y la gestión del riesgo por incendio forestal, en razón a la temporada de menos lluvias influenciada por el fenómeno El Niño.</t>
  </si>
  <si>
    <t>Durante la actual vigencia en la localidad de Usme, se realizó acompañamiento técnico a 500 m2 de Techos Verdes en  la ALCALDIA LOCAL DE USME TORRE COSTADO SUR, KR 14A 137B 32 SUR, AAA0208ZWWW</t>
  </si>
  <si>
    <t>USME, ALCALDIA LOCAL DE USME TORRE COSTADO SUR, KR 14A 137B 32 SUR, AAA0208ZWWW</t>
  </si>
  <si>
    <t>En esta localidad se ha emitido determinantes ambientales a: Proyecto de Infraestructura Educativa, predio CPF 303 - LOS 
PINOS Sede B - Efraín Cañavera. Ajuste de la propuesta de paisajismo (solo jardineras) del proyecto SAN BERNARDO</t>
  </si>
  <si>
    <t>Durante la actual vigencia en la localidad de Bosa se verifico la incorporación de incorporación de los lineamientos y determinantes ambientales de ecourbanismo y construcción sostenible, a: WR 187 Zonas de cesión para el parque Américas.</t>
  </si>
  <si>
    <t>Durante la actual vigencia en la localidad de Chapinero, se verifico la incorporación de incorporación de los lineamientos y determinantes ambientales de ecourbanismo y construcción sostenible, a: WR 239A Proyecto VIA 7, PLAN DE IMPLANTACIÓN POLITECNICO CITY CAMPUS</t>
  </si>
  <si>
    <t>Durante la actual vigencia en la localidad de Ciudad Bolivar, se verifico la incorporación de incorporación de los lineamientos y determinantes ambientales de ecourbanismo y construcción sostenible, a: WR 207 Parque vecinal Urbanización Villa Vista, WR 221 Parque de la Urbanización Bosques del Portal, WR 241A Reserva de Madelena (Parque 1), PLAN DE IMPLANTACIÓN MAKRO SUR.</t>
  </si>
  <si>
    <t>SHP META 1_2024)</t>
  </si>
  <si>
    <t>SHP META 2_2024)</t>
  </si>
  <si>
    <t xml:space="preserve">Shapefile tipo punto
 (Remitirse a Generación de Shape denominado:
SHP META 3_2024)     
DISPONIBLE EN EL SIGUIENTE ENLACE: DRIVE SDA
https://drive.google.com/drive/u/1/folders/1ni390p2SPGzsHn8uJ2qsVs4DLWMzmCEf
</t>
  </si>
  <si>
    <t xml:space="preserve">Shapefile tipo polígono
 (Remitirse a carpeta denominada:
SHP META 2_2024)   
DISPONIBLE EN EL SIGUIENTE ENLACE: DRIVE SDA
https://drive.google.com/drive/u/1/folders/1ni390p2SPGzsHn8uJ2qsVs4DLWMzmCEf      
</t>
  </si>
  <si>
    <t xml:space="preserve">
Se avanzó en las actividades relacionadas con los proyectos que cuentan con actividades transversales relacionados con los sellos ambientales y banco de proyectos. Para el sector metalurgia se continuó con la fase 2 del proyecto de fortalecimiento, para el sector de minería se encuentra la implementación del proyecto de ladrillos verdes y para el sector curtidor se continuó con el proyecto de San Benito Circular Fase 2 y actividades relacionadas con el cumplimiento de la sentencia del río Bogotá. </t>
  </si>
  <si>
    <t>Del acompañamiento generado a los proyectos dirigidos al mejoramiento del desempeño ambiental se reportan:
Para el mes de febrero, 1 proyecto dirigido al uso eficiente de materiales.</t>
  </si>
  <si>
    <t>Del acompañamiento generado a los proyectos dirigidos al mejoramiento del desempeño ambiental se reportan:
Para el mes de febrero, 1 proyecto dirigido al uso eficiente del agua.</t>
  </si>
  <si>
    <t>Del acompañamiento generado a los proyectos dirigidos al mejoramiento del desempeño ambiental se reportan:
Para el mes de febrero, 1 proyecto dirigido al uso eficiente de energía.</t>
  </si>
  <si>
    <t xml:space="preserve">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2024: 1 proyecto perteneciente a empresa de tamaño: 1 grande.
</t>
  </si>
  <si>
    <t xml:space="preserve">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2024: 1 proyecto perteneciente a empresa de tamaño: 1 mediano.
</t>
  </si>
  <si>
    <t>Durante el mes de febrero de 2024, se incorporó y verifico criterios de sostenibilidad ambiental a veinticuatro  (24) proyectos. Así mismo, se brindo acompañamiento tecnico a 500 m2 de  techos verdes en la ciudad</t>
  </si>
  <si>
    <t>En el mes de febrero no se verificó ningún negocio verde.</t>
  </si>
  <si>
    <t>Para el sector curtidor, se presentaron los beneficios del Programa de Gestión Ambiental; para el sector de galvanico y minero, se presentaron las actividades a desarrollar para el 2024  en 13 reuniones adelantadas con las empresas de estos sectores</t>
  </si>
  <si>
    <t>Durante el mes de febrero 2024, se incorporó criterios de sostenibilidad ambiental a catorce (14) proyectos de diferentes escalas. 
Así mismo, se realizó la verificación a la incorporación de determinantes ambientales a diez (10) proyectos de infraestructura en el espacio público.</t>
  </si>
  <si>
    <t xml:space="preserve">Durante el mes de febrero de 2024 se ha realizado el acompañamiento técnico a 500 m2 correspondientes a techos verdes , en un proyecto existente en espacio  privado en la localidad de Usme. </t>
  </si>
  <si>
    <t>En febrero se tuvo el primer comité técnico de Bogotá Circular, en el cual se definieron proyectos aceleradores a ser impulsados en 2024. Igualmente, en el MdE, con CCB y SDDE se definió la necesidad de definir conexiones de mercado para Negocios Verdes y establecer necesidades de información para encuesta.</t>
  </si>
  <si>
    <t>Ejecución de acciones de adaptación al cambio climático, especialmente relacionadas con la la gestión del riesgo por incendio forestaly la activación/respuesta a emergencias durante la presencia del fenómeno de variabilidad climática El Niño, así como acciones para prevenr la ocupación ilegal.</t>
  </si>
  <si>
    <t>DISTRITAL
Durante este periodo  los proyectos en implementación para los tres sectores priorizados por el POMCA (Curtiembres, galvanoplastia y minería) se encuentran con un fase de validación de las empresas participantes; razón por la cual, durante el reporte aún no se presenta resultados de territorialización. Una vez, cuente con la confirmación de las empresas participantes de los proyectos se realizará el respectivo alcance territorial. Igualmente, se continúa la implementación de los proyectos transversales que tienen un alcance distrital</t>
  </si>
  <si>
    <t>Se adelantaron actividades del proyecto de fortalecimiento de metalurgia con enfoque de cadena de valor</t>
  </si>
  <si>
    <t>Se adelantaron actividades del proyecto de San Benito Circular II</t>
  </si>
  <si>
    <t>1,3. Identificación del punto de inversión</t>
  </si>
  <si>
    <t>Observaciones y/o descripción de acciones en el punto de inversión</t>
  </si>
  <si>
    <t>En esta localidad se ha emitido determinantes ambientales a: PP No 34 El Cangrejal POZ Lagos de Torca, Diseño paisajístico del Contrato IDU el “Contrato IDU 1564 de 2017 factibilidad, estudios y diseños de aceras, ciclorrutas y conexiones peatonales en la ciudad de Bogotá D. C. Grupo 7: tramos 3 y 4”</t>
  </si>
  <si>
    <t>PROYECTO Zonas de Cesión Los Colores de Bolonia  DENTRO TMI  
(8) Usme Urbano Rural
Regularización Santa Marta Vereda Tunjuelito DENTRO TMI  
(8) Usme Urbano Rural
 Formalización Danubio Azul DENTRO TMI (8) Usme Urbano Rural</t>
  </si>
  <si>
    <t>En esta localidad se ha emitido determinantes ambientales a: Diseño paisajístico Urbanización la Marlene parte del PP La Marlene, Diseño Paisajístico jardinería de las zonas de cesión del Convenio 299-2023, Aprobación de diseños paisajísticos del proyecto CPS-527-2023, Diseños paisajísticos del proyecto Nuevo Hospital Bosa.</t>
  </si>
  <si>
    <t xml:space="preserve">
PROYECTO Zonas de cesión del proyecto Urbanización Bosques del Mediterráneo - Controles Ambientales RES 11001-3-19-2349 dentro TMI (4) Kennedy - Bosa
LEGALIZACIÓN REMANSO II Y REGULARIZACION LA VEGA II  DENTRO TMI 4-Kennedy - Bosa
Plan Parcial Palestina UG3 DENTRO TMI 4- Kennedy - Bosa
Legalización Montecarlo DENTRO TMI (4) Kennedy - Bosa    
PLAN PARCIAL DE DESARROLLO EDEN EL DESCANSO PROYECTO DENTRO TPI BOSA OCCIDENTAL
DIS PAISAJ ZONA CESION URB. Parques de Bosa PROYECTO DENTRO TPI BOSA CENTRAL
DP CL 54 SUR CON KR 88 C ACCION POPULAR 2013-00367 PROYECTO DENTRO  TPI  BOSA OCCIDENTAL
LEGALIZACIÓN La Independencia Montecarlo dentro   TMI (4) Kennedy - Bosa
Desarrollo San José La Huerta PROYECTO DENTRO TPI BOSA CENTRAL
PRM Unidad de Protección Integral UPI BOSA DENTRO TPI BOSA CENTRAL
DP Parque Desarrollo Palestina DENTRO TPI BOSA CENTRAL
DP zonas cesión Urb. Bosa DENTRO TMI Kennedy - Bosa</t>
  </si>
  <si>
    <t xml:space="preserve">
PROYECTO Contrato SDH 1070 de 2022 Acupuntura Urbana DENTRO TMI (4) Kennedy - Bosa
Actuación Estratégica El Porvenir DENTRO TMI (4) Kennedy - Bosa
proyecto Área 
de cesión Resolución CU1K44 / 4-14
DENTRO TMI (4)  Kennedy - Bosa
PROYECTO Aislamientos desarrollo urbanístico DENTRO TMI Kennedy - Bosa
</t>
  </si>
  <si>
    <t>En esta localidad se ha emitido determinantes ambientales a:  Lineamientos ambientales para instalación de Antena radioeléctrica Avenida carrera 114 No. 78 B – 80</t>
  </si>
  <si>
    <t>Actuación Estratégica Aeropuerto Engativá DENTRO TMI  (7) Suba - Engativá
Diseño Paisajístico de las zonas de cesión del proyecto JABOQUE RESERVADO DENTRO TMI Suba - Engativá
TMI ENGATIVÁ CRUZA CON DISEÑO PAISAJÍSTICO PROYECTO URBANÍSTICO ÁREA OCCIDENTE</t>
  </si>
  <si>
    <t xml:space="preserve">
Infraestructura Educativa, IED Hunza sede A- la Aguadita CPF1110 DENTRO TMI Suba - Engativá
Diseño Paisajístico de las zonas de cesión del proyecto desarrollo urbanístico Altamira Torreladera DENTRO TMI (7)
Suba - Engativá
Diseño paisajístico del Parque Lineal Ambiental de Suba DENTRO TMI (7)
Suba - Engativá
Diseño paisajístico del Contrato IDU 1552 de 201 PROYECTO DENTRO TPI SUBA
DISEÑO PAISAJÍSTICO PARQUR FONTANA PROYECTO DENTRO TPI SUBA 
DIS PAISAJ CAMPO PREDIO EL CAMPITO PROYECTO DENTRO TPI TIBABUYES 
DIS PAISAJ ZONA CESIÓN PROY Punta del Este PROYECTO DENTRO TPI EL RINCÓN 
DP zonas cesión proyecto PP Bosque Sabana PROYECTO DENTRO TPI SUBA
Diseño Paisajístico del CPS 477/2020 PROYECTO DENTRO TPI SUBA
DP puente peatonal de la Av. Suba PROYECTO  DENTRO TPI SUBA
DP ZONAS DE CESIÓN PROYECTO ZIMA PROYECTO DENTRO TPI SUBA
Regularización Rincón de Suba PROYECTO DENTRO TPI EL RINCON
Proyecto Formalización Tuna Alta Sector Rosal
DENTRO TPI SUBA
Proyecto Formalización Tuna Alta Sector El Rosal
DENTRO TPI SUBA
</t>
  </si>
  <si>
    <t>En esta localidad se ha emitido determinantes ambientales a: Plan de Implantación Ciudad Sanitaria Universitaria Sanitas, Lineamientos ambientales para instalación de Antena radioeléctrica predio Carrera 30 No. 45 - 03</t>
  </si>
  <si>
    <t>En esta localidad se ha emitido determinantes ambientales a: Diseño paisajístico Atrio Centro Cultural</t>
  </si>
  <si>
    <t xml:space="preserve">
PROYECTO DISEÑO PAISAJISTICO PARQUE MARIA CANO DENTRO TMI (3) Ciudad Bolívar Urbano Rural
Legalización Barrio Manitas
DENTRO TMI (3) Ciudad Bolívar Urbano Rural
formalización desarrollo San Isidro sector Cerrito I DENTRO TMI (3) Ciudad Bolívar Urbano Rural
proyecto Atardeceres de madelena I DENTRO TMI Ciudad Bolívar Urbano Rural
PROYECTO Contrato Consultoría No. 1618 de 2019 DENTRO TMI (3) Ciudad Bolívar Urbano Rural
DISEÑO PAISAJÍSTICO TANQUE EL VOLADOR EAAB PROYECTO DENTRO TPI LUCERO
DISEÑO PAISAJ FRANJA AMB U DISTRITAL EL ENSUEÑO PROYECTO DENTRO TPI JERUSALEN
DIS PAISAJ ZONAS CESIÓN TORRES DE PORTAL PROYECTO DENTRO TPI ISMAEL PERDOMO 
DETERMINANTES PROYECTO Contrato CVP 415 de 2021 PROYECTO DENTRO TPI ISMAEL PERDOMO
DESARROLLO LEGALIZADO ARABIA PROYECTO DENTRO TPI EL TESORO
DP Acupuntura Urbana Grupo B PROYECTO DENTRO TPI LUCERO
DP MIRADOR DE SIERRA MORENA PROYECTO DENTRO TPI ISMAEL PERDOMO
Proyecto DP MIRADOR DE SIERRA MORENA
DENTRO TPI ISMAEL PERDOMO
Determinantes ambientales para uso de vivienda en Suelo Restringido predios con chip chip AAA0017WFHK y AAA0017WOYX 
DENTRO TMI Ciudad Bolívar Urbano Rural
CONTRATO 995-2021 intervención Segmentos viales
DENTRO TMI Ciudad Bolívar Urbano Rural</t>
  </si>
  <si>
    <t>LOCALIDADES: La Secretaría Distrital de Ambiente ha realizado importantes esfuerzos incorporando criterios de ecourbanismo y construcción sostenible en proyectos urbanos y arquitectónicos en la Ciudad, por lo cual mediante esta meta se realiza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</si>
  <si>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Santa Fe, Chapinero, Ciudad Bolívar, San Cristóbal, Bosa, Engativá, Barrios Unidos, Teusaquillo, Usaquén Kennedy, Suba, Rafael Uribe, Tunjuelito, Fontibón, puente Aranda</t>
  </si>
  <si>
    <t>5, PONDERACIÓN HORIZONTAL AÑO: 2024</t>
  </si>
  <si>
    <t>Durante la vigencia de 2024 se emitieron determinantes ambientales a 45 proyectos así: cuatro (04) Planes Parciales de Desarrollo, dos (02) Planes de Implantación, dos (02) Proyectos de Legalización y Regularización de Barrios, un (01) Proyecto de Compatibilidad de usos de vivienda en suelo restringido, veinticinco (25) Diseños Paisajísticos de Parques y zonas verdes y once (11) Proyecto especial - Lineamientos ambientales para instalación de antena radioeléctrica y colegios.</t>
  </si>
  <si>
    <t>Durante la vigencia 2024, se ha verificado la incorporación de determinantes ambientales a veintisiete (27) diseños paisajísticos de parques y zonas verdes y tres (03) Planes de Implantación, de los cuales 27 corresponden a la vigencia actual y 3 a la reserva de 2023.
Los 30 proyectos verificados en la presente vigencia se han desarrollado en las siguientes localidades: (01) Rafael Urbe, (04) Ciudad Bolívar, (06) Fontibón, (09) Suba, (01) Bosa, (01) Engativá, (03) Kennedy, (02) Chapinero y (03) Usaquén.</t>
  </si>
  <si>
    <t>Durante la vigencia 2024, se ha realizado acompañamiento técnico a 1612 m2 de techos verdes y jardines verticales, promovidos en la localidad de Usme, Chapinero y Fontibón (1534 m2 de la vigencia 2024  y 78m2 de la reserva 2023).</t>
  </si>
  <si>
    <t xml:space="preserve">UPZ 1
UPZ 9
UPZ 10
UPZ 11
UPZ 13
UPZ 16
UPZ 14
UPZ 15
</t>
  </si>
  <si>
    <t xml:space="preserve">CANAIMA
SAN ANTONIO NORTE
LA ESTRELLITA I
TORCA I
SANTA BARBARA CENTRAL
ROCIO NORTE
SANTA TERESA
CASABLANCA SUBA
BARRANCAS
VERBENAL SAN ANTONIO
CAOBOS SALAZAR
LOS CEDROS
TIBABITA RURAL
SANTA BIBIANA
LA CITA
SAN GABRIEL NORTE
EL CONTADOR
BARRANCAS NORTE
LA CALLEJA
CEDRITOS
LISBOA
TIBABITA </t>
  </si>
  <si>
    <t>En esta localidad se ha emitido determinantes ambientales a: Plan de Implantación Clínica Los Nogales torre III, Lineamientos ambientales para instalación de Antena radioeléctrica para los predios Carrera 13 No. 51 - 25 y Calle 40 B No. 5 - 8030/03/2024 pardio rubio,</t>
  </si>
  <si>
    <t xml:space="preserve">UPZ 91
UPZ 93
UPZ 95
UPZ 96
</t>
  </si>
  <si>
    <t xml:space="preserve">SAN BERNARDINO
LA PENA
SAN MARTIN
LAS NIEVES
LA ALAMEDA
SAN BERNARDO
LAS CRUCES
RAMIREZ
</t>
  </si>
  <si>
    <t>En esta localidad se ha emitido determinantes ambientales a: Plan Parcial bosques de san José, Aprobación de diseños paisajísticos del proyecto de AIP 20 de Julio, La Gloria, Diseños paisajísticos del proyecto Áreas de Cesión Urbanización San Blas, Aprobación de diseños paisajísticos del proyecto AIP La Victoria</t>
  </si>
  <si>
    <t>En esta localidad se ha emitido deter minantes ambientales a:Usme 66 Ladrillera Alemana, Áreas de Cesión para Parque del proyecto Usme II Idipron de acuerdo con la licencia de urbanismo 11001-4-23-0536</t>
  </si>
  <si>
    <t xml:space="preserve">UPZ 85
UPZ 84
UPZ 87
UPZ 49
UPZ 86
UPZ 83
</t>
  </si>
  <si>
    <t xml:space="preserve">
SAN BERNARDINO XIX
SAN ANTONIO
EL CORZO
 URBANO
PASO ANCHO
REMANSO I
ISLANDIA
LA INDEPENDENCIA
ESCOCIA
EL JARDÍN
REMANSO URBANO
VILLA DEL RÍO
CEMENTERIO JARDINES APOGEO
S.BERNARDINO XVIII
PARCELA EL PORVENIR
NUEVA GRANADA BOSA
BRASIL
OSORIO XII
EL JARDIN
GUALOCHE
PASO ANCHO
 OSORIO X URBANO
CAÑAVERALEJO
</t>
  </si>
  <si>
    <t>En esta localidad se ha emitido determinantes ambientales a:  Alcance Diseño paisajístico de las zonas de cesión (Parque 2,3 y 4), andenes, franja de control ambiental del proyecto o urbanismo Bosconia, Aprobación de la modificación de los diseños paisajísticos y vegetación propuesta de 
los sistemas Urbanos de Drenaje Sostenible SUDS, Zanja de Infiltración, del Proyecto 
de la Zona de Cesión de Equipamiento de la Urbanización Otero de Francisco Etapa 5 
Localidad de Kennedy., Aprobación de diseños paisajísticos del proyecto NATURA 78, PLAN PARCIAL DE DESARROLLOTINTALITO MAZUERA</t>
  </si>
  <si>
    <t xml:space="preserve">En esta localidad se ha emitido determinantes ambientales a: Lineamientos ambientales para instalación de Antena radioeléctrica Carrera 12 # 116 - 59 y Calle 15 B No. 97 A – 44, Diseños paisajísticos del proyecto Construcción de la intersección a desnivel de Puente Aranda y demás obras complementarias, correspondiente a las obras de adecuación al Sistema Transmilenio de la Troncal Calle 13 en Bogotá D.C., Lote 3. Diseños paisajísticos del proyecto parque Estructurante Central La 
Felicidad, Diseño Paisajístico de las zonas de cesión para parques, control ambiental, andenes y vías
peatonales producto de la Urbanización Procables de la localidad de Fontibón, </t>
  </si>
  <si>
    <t>En esta localidad se ha emitido determinantes ambientales a:  Lineamientos ambientales para instalación de Antena radioeléctrica Autopista Norte No. 232 - 35, Calle 102 A No. 45 A - 27, ESCUELA COLOMBIANA DE INGENIERIA, identificado con CHIP AAA0154NPSK, Carrera 84 A No. 145 B - 15, ESTUDIOS, DISEÑOS Y CONSTRUCCIÓN DE INFRAESTRUCTURA PEATONAL Y CICLORRUTAS EN EL CORREDOR AMBIENTAL LOCALIZADO EN EL CANAL CÓRDOBA ENTRE CALLE 129 Y CALLE 170 EN LA CIUDAD DE BOGOTÁ D.C.” - MODIFICACIÓN, Diseños paisajísticos del proyecto Urbanización HACIENDA EL BOSQUE ETAPA 1 (VIAS LOCALES)</t>
  </si>
  <si>
    <t>En esta localidad se ha emitido determinantes ambientales a:  Lineamientos ambientales para el Diseño Paisajístico jardinería de las zonas de cesión del Convenio 299-2023, Proyecto Centro de Alto Rendimiento Deportivo (CARD),</t>
  </si>
  <si>
    <t>En esta localidad se ha emitido determinantes ambientales a Actualización del Diseño paisajístico de las zonas de cesión del proyecto MAZZARO</t>
  </si>
  <si>
    <t>En esta localidad se ha emitido determinantes ambientales a:  Determinantes ambientales para uso de vivienda en Suelo Restringido carrera 72 Nº 57 R 71/85 sur., Diseño paisajístico de las zonas de cesión del Proyecto Urbanístico Atacama, Localidad de Ciudad Bolívar,, Regularizacion de Barrios Minuot de Maria,</t>
  </si>
  <si>
    <t xml:space="preserve">Durante la vigencia 2024, se ha verificado la incorporación de determinantes ambientales a veintisiete (27) diseños paisajísticos de parques y zonas verdes y tres (03) Planes de Implantación, de los cuales 27 corresponden a la vigencia actual y 3 a la reserva de 2023.
</t>
  </si>
  <si>
    <t xml:space="preserve">UPZ99
UPZ 97
UPZ 88
</t>
  </si>
  <si>
    <t>CHAPINERO CENTRAL
CHICO NORTE
CHICO NORTE III SECTOR
BELLAVISTA</t>
  </si>
  <si>
    <t xml:space="preserve">UPZ 87
UPZ 85
UPZ 86
UPZ 84
</t>
  </si>
  <si>
    <t xml:space="preserve">
BETANIA
CAMPO VERDE
CIUDADELA EL RECREO
LA INDEPENDENCIA
EL JARDÍN
PARCELA EL PORVENIR
SAN BERNARDINO XIX
SAN PABLO BOSA
CAMPO VERDE
ARGELIA 2
LAS MARGARITAS
SAN BERNARDINO II
</t>
  </si>
  <si>
    <t xml:space="preserve">UPZ 65
UPZ 69
UPZ 66
UPZ 67
UPZ 70
UPZ 68
</t>
  </si>
  <si>
    <t xml:space="preserve">GUADALUPE
EL ENSUEÑO
QUIBA I
GUADALUPE
GALICIA
ATLANTA
MADELENA
LA CORUÑA
LAS MANAS
SIERRA MORENA II
EL ENSUEÑO 
MILLAN
BRISAS DEL VOLADOR
VERONA
LA ESTANCIA
RAFAEL ESCAMILLA
SANTA VIVIANA
ARABIA
PARAISO QUIBA
MADELENA
</t>
  </si>
  <si>
    <t>Durante la actual vigencia en la localidad de Usaquén, se verifico la incorporación de incorporación de los lineamientos y determinantes ambientales de ecourbanismo y construcción sostenible, a: WR 504A CONTRATO CVP 592 DE 2015,  WR 238 CENTRO EPRESARIAL SANTA BARBARA, WR 165B contrato IDU 074-2012</t>
  </si>
  <si>
    <t>Durante la actual vigencia en la localidad de Kennedy se verifico la incorporación de incorporación de los lineamientos y determinantes ambientales de ecourbanismo y construcción sostenible, a:WR 206 Parque vecinal Urbanización San Ignacio, WR 245A Parque de la Urbanización Carboquímica, WR 95 Parque de la Urbanización VILLA MARINA</t>
  </si>
  <si>
    <t>Durante la actual vigencia en la localidad de Fontibón, se verifico la incorporación de incorporación de los lineamientos y determinantes ambientales de ecourbanismo y construcción sostenible, a:   WR 233B EL REFUGIO, CENTRO COMERCIAL PLAZA CLARO, WR 160 Proyecto Portón de Hayuelos, WR 192 Proyecto Hotelero AC 26, WR 200 PARQUE URBANIZACIÓN EL VERGEL, WR 254 Portón de Hayuelos II</t>
  </si>
  <si>
    <t>Durante la actual vigencia en la localidad de Suba, se verifico la incorporación de incorporación de los lineamientos y determinantes ambientales de ecourbanismo y construcción sostenible, a:  WR 188 parque villa viviana, WR 225 de 2013 URB MILENTO, WR 229 A CARREFOUR BAVARIA, WR 236 Proyecto Obra 134 IBERIA, WR 240A porton de santo domingo, WR 154 PARQUE TORREMOLINOS, WR 197 PARQUE VECINAL URBANIZACIÓN CAMINOS DE GRATAMIRA, WR 203 PARQUE CAMINOS DE COMPOSTELA, WR 249B Parque Urbanización Colina 129</t>
  </si>
  <si>
    <t>Durante la actual vigencia en la localidad de Rafael Uribe, se verifico la  incorporación de los lineamientos y determinantes ambientales de ecourbanismo y construcción sostenible, a WR 154 PARQUE TORREMOLINOS, WR 197 PARQUE VECINAL URBANIZACIÓN CAMINOS DE GRATAMIRA, WR 203 PARQUE CAMINOS DE COMPOSTELA, WR 249B Parque Urbanización Colina 129</t>
  </si>
  <si>
    <t>CHAPINERO, EDIFICIO EMPRESARIAL ASTAF, Cra 13 # 97 - 76, AAA0231OMZM</t>
  </si>
  <si>
    <t>Durante la actual vigencia en la localidad de Chapinero, se realizó acompañamiento técnico a 60 m2 de jardin vwertical en el EDIFICIO EMPRESARIAL ASTAF, Cra 13 # 97 - 76, AAA0231OMZM</t>
  </si>
  <si>
    <t xml:space="preserve">UPZ 97
</t>
  </si>
  <si>
    <t>CHICO NORTE II SECTOR</t>
  </si>
  <si>
    <t>9-FONTIBÓN, PLAZA DE MERCADO DE FONTIBON, Calle 19 No 103 - 26, AAA0079UTDE</t>
  </si>
  <si>
    <t>Durante la actual vigencia en la localidad de Fontibón, se realizó acompañamiento técnico a 52 m2 de jardin vwertical en  la PLAZA DE MERCADO DE FONTIBON, Calle 19 No 103 - 26, AAA0079UTDE</t>
  </si>
  <si>
    <t xml:space="preserve">UPZ75
</t>
  </si>
  <si>
    <t xml:space="preserve">
CENTRO FONTIBON</t>
  </si>
  <si>
    <t>Durante la actual vigencia en la localidad de Usme, se realizó acompañamiento técnico a 400 m2 de Techos Verde ALCALDIA LOCAL DE USME TORRE CENTRAL COSTADO OCCIDENTE, KR 14A 137B 32 SUR, AAA0208ZWWW</t>
  </si>
  <si>
    <t>El acumulado ejecutado plan de desarrollo corresponde a 18.636 m2 de techos verdes y jardines verticales con acompañamiento técnico, de los cuales 2500 m2 fueron atendidos en la vigencia 2020; 3540 m2 corresponden a la vigencia 2021; 5062 m2 corresponden a la vigencia 2022; 5922 m2 corresponden a la vigencia 2023 y 1612 m2 corresponden a la gestión adelantada en lo que se lleva de vigencia 2024.
Durante la vigencia 2024, se ha realizado acompañamiento técnico a 1612 m2 de techos verdes y jardines verticales, promovidos en la localidad de Usme, Chapinero y Fontibón (1534 m2 de la vigencia 2024  y 78m2 de la reserva 2023).</t>
  </si>
  <si>
    <t>Durante la vigencia 2024 se ha avanzado en un 0,05 en la implementación y seguimiento a una estrategia de crecimiento verde- EDCV, a través de la revisión de la hoja de ruta para el 2024 de Red Moda Circular, reunión de formulación de proyecto piloto de Compras Circulares y reunión de articulación del proyecto de Residuos de Construcción y Demolición - RCD con la Universidad Nacional y la articulación con el programa Prevec 2 de la GIZ y el diseño de una propuesta de fortalecimiento de los Negocios Verdes a través del memorando de entendimiento con Cámara de Comercio de Bogotá y Secretaria De Desarrollo Económico. Como acumulado se tiene un avance acumulado al cuatrienio de 0,95.</t>
  </si>
  <si>
    <t>Durante la vigencia 2024 se inició con la revisión de la hoja de ruta para el 2024 de Red Moda Circular, reunión de formulación de proyecto piloto de Compras Circulares y la puesta en marcha de la estrategia diseñada para el proyecto Regenera. Igualmente se definió una alternativa de financiación para el desarrollo del proyecto de Gestión del Conocimiento.</t>
  </si>
  <si>
    <t>Durante la vigencia 2024 se han asistido a 65 proyectos, el avance en marzo es de 25 según lo programado.
Los proyectos se extraen del acompañamiento realizado a las empresas participantes en el Programa Gestión Ambiental Empresarial (PGAE) integrado por ACERCAR y Programa de Excelencia Ambiental Distrital (PREAD), transversal el Índice de Desempeño Ambiental (I.D.A.E.) realiza la medición del mejoramiento del desempeño ambiental de las empresas PGAE.
El acompañamiento se enmarca en la operación de los mecanismos mencionados, en los que se orienta al uso eficiente de los recursos naturales y materiales mediante la formulación, implementación y terminación de proyectos ambientales. Solo se presentan aquellos con beneficios ambientales y económicos, por ende, el reporte depende de la demanda en la presentación y desarrollo de los proyectos por parte de las empresas participantes.
Conforme a la planeación de la meta para la vigencia 2024, se han reportado: enero 30 proyectos, febrero 10 y marzo 25. Estos 25 objeto de reporte se dirigen al uso eficiente de: agua 3, energía 4, materiales 15 y emisiones 3.
En el desarrollo de cada mecanismo se resalta: ACERCAR realizó la consolidación de 303 empresas participantes ciclo 2024. Se inició plan de acompañamiento el 22 de marzo con la sesión 1 de capacitación. PREAD consolido 298 empresas postuladas desarrolló la primera reunión de la XXIV convocatoria, continuó con las acciones de articulación en torno a proyectos de economía circular con la CCB, en paralelo, inició la verificación de requisitos para habilitación de la postulación.   
El I.D.A.E. realizó de 236 reportes de empresas ACERCAR ciclo 2023, la verificación de reportes en consumo de agua, energía y residuos peligrosos de 34 para un total de 206. En PREAD se realizó para la XXIV convocatoria del 2024, validación de 6 reportes. Realizó la medición I.D.A.E. para 37 empresas.</t>
  </si>
  <si>
    <t xml:space="preserve">En el marco de la operación de ACERCAR del Programa Gestión Ambiental Empresarial con la validación de datos realizada por el IDAE, se acompañan a las empresas fortaleciendo sus capacidades para el mejoramiento del desempeño ambiental, a través de metodología que permite realizar autodiagnóstico, orientarles en la formulación, implementación y terminación de proyectos ambientales para el mejoramiento del desempeño ambiental, cumplimiento normativo ambiental y eficiencia en los procesos con el soporte de las herramientas del Sistema de Gestión Ambiental.
Para el mes de marzo del 2024, se realizó consolidación de 303 empresas inscritas para el ciclo 2024, las cuales fueron asignadas a los profesionales de ACERCAR para el acompañamiento técnico. Se inició el acompañamiento teórico – práctico el 22 de marzo con la sesión 1 del cronograma de capacitaciones 
El I.D.A.E. realizó de 236 reportes de empresas ACERCAR ciclo 2023, la verificación de reportes en consumo de agua, energía y residuos peligrosos de 34 para un total de 206. Adicionalmente, se realizó la medición de su índice de desempeño ambiental empresarial – I.D.A.E. para 37 empresas (muy bueno 6, bueno 1, aceptable 7, deficiente 23).
Conforme a la programación de la meta, se realiza el reporte de 25 proyectos para un total consolidado en la vigencia 2024 de 65, presentados por las empresas y terminados en los predios participantes. Ello contribuye en el uso eficiente de los recursos naturales y materiales para las organizaciones y de aporte al mejoramiento ambiental de la ciudad.
</t>
  </si>
  <si>
    <t xml:space="preserve">El Programa de Excelencia Ambiental Distrital (PREAD) desarrolla la XXIV convocatoria del año 2024. Su operación está compuesta a través de varias etapas: postulación, verificación, ejecución de auditorías, entrega de informes y reconocimiento.
Para el mes de marzo del 2024, consolidó 298 postulaciones en la base de datos de la XXIV convocatoria, con las que inició la verificación de requisitos. El 13 de marzo realizó la primera reunión de empresas postuladas en las que presentaron las acciones que se desarrollaran en la presente vigencia, en la misma se presentaron las actividades de articulación para el fortalecimiento de proyectos en economía circular con la CCB.
El I.D.A.E. inició seguimiento y revisión de soportes a los consumos de energía eléctrica, agua, energía térmica y la generación de residuos peligrosos de 6 validaciones de reportes de empresas.
Conforme a la programación de la meta, se realiza el reporte de 25 proyectos para un total consolidado en la vigencia 2024 de 65, presentados por las empresas y terminados en los predios participantes. Ello contribuye en el uso eficiente de los recursos naturales y materiales para las organizaciones y de aporte al mejoramiento ambiental de la ciudad.
</t>
  </si>
  <si>
    <t>El avance de la meta para marzo del 2024 es de 25 proyectos según lo programado.</t>
  </si>
  <si>
    <t>Los 25 proyectos reportados en fase de terminación  se dirigen al uso eficiente de: agua 3, energía 4, materiales 15 y emisiones 3.
El I.D.A.E. realizó de 236 reportes de empresas ACERCAR ciclo 2023, la verificación de reportes en consumo de agua, energía y residuos peligrosos de 34 para un total de 206. En PREAD se realizó para la XXIV convocatoria del 2024, validación de 6 reportes. Realizó la medición I.D.A.E. para 37 empresas.</t>
  </si>
  <si>
    <t>Del acompañamiento generado a los proyectos dirigidos al mejoramiento del desempeño ambiental se reportan:
Para el mes de enero, 3 proyectos dirigidos al uso eficiente de materiales.
Para el mes de marzo, 5 proyectos dirigidos: uso eficiente de materiales 3 y  diminución de emisiones atmosféricas 1.</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</si>
  <si>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Enero 2024: 3 proyectos pertenecientes a empresas de tamaño: 1 mediana, 2 grandes.
Marzo 2024: 4 proyectos pertenecientes a empresas de tamaño grandes.</t>
  </si>
  <si>
    <t>Del acompañamiento generado a los proyectos dirigidos al mejoramiento del desempeño ambiental se reportan:
Para el mes de enero, 7 proyectos dirigidos al uso eficiente de: agua 1 y materiales 6.
Para el mes de marzo, 3 proyectos dirigidos al uso eficiente de: agua 2 y materiales 1.</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</si>
  <si>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Enero 2024: 7 proyectos perteneciente a empresas de tamaño: 1 pequeña, 2 mediana, 4 grandes.
Mrzo 2024: 3 proyectos perteneciente a empresas de tamaño:  2 mediana, 1 grandes.</t>
  </si>
  <si>
    <t>Del acompañamiento generado a los proyectos dirigidos al mejoramiento del desempeño ambiental se reportan:
Para el mes de febrero, 1 proyecto dirigido al uso eficiente de materiales.
Para el mes de marzo, 1 proyecto dirigido al uso eficiente de enegía.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</si>
  <si>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Febrero 2024: 1 proyecto perteneciente a empresa de tamaño: 1 pequeña.
Marzo 2024: 1 proyecto perteneciente a empresa de tamaño: 1 grande.</t>
  </si>
  <si>
    <t>Del acompañamiento generado a los proyectos dirigidos al mejoramiento del desempeño ambiental se reportan:
Para el mes de enero, 1 proyecto dirigido al uso eficiente de materiales.
Para el mes de febrero, 1 proyecto dirigido al uso eficiente de materiales.
Para el mes de marzo, 3 proyectos dirigido al uso eficiente de: materiales 3 y disminución de emisiones 1.</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</si>
  <si>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Enero 2024: 1 proyecto perteneciente a empresa de tamaño: 1 grande.
Febrero 2024: 1 proyecto perteneciente a empresa de tamaño: 1 pequeña.
Marzo 2024: 3 proyecto perteneciente a empresa de tamaño: 1 pequeña, 2 medianas y 1 grande.</t>
  </si>
  <si>
    <t>Del acompañamiento generado a los proyectos dirigidos al mejoramiento del desempeño ambiental se reportan:
Para el mes de enero, 4 proyectos dirigidos al uso eficiente de materiales.
Para el mes de marzo, 3 proyectos dirigidos al uso eficiente de materiales.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</si>
  <si>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Enero 2024: 4 proyectos pertenecientes a empresas de tamaño: 2 pequeña, 2 grandes.
Marzo 2024: 4 proyectos pertenecientes a empresas de tamaño: 2 medianas y 1 micro.</t>
  </si>
  <si>
    <t>Del acompañamiento generado a los proyectos dirigidos al mejoramiento del desempeño ambiental se reportan:
Para el mes de enero, 5 proyectos dirigidos al uso eficiente de: agua 2, energía 1, materiales 2.
Para el mes de marzo, 3 proyectos dirigidos al uso eficiente de materiales.</t>
  </si>
  <si>
    <t xml:space="preserve">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Enero 2024: 5 proyectos pertenecientes a empresas de tamaño: 1 pequeña, 3 medianas, 1 grande.
Marzo 2024: 3 proyectos pertenecientes a empresas de tamaño mediano.
</t>
  </si>
  <si>
    <t>Del acompañamiento generado a los proyectos dirigidos al mejoramiento del desempeño ambiental se reportan:
Para el mes de enero, 4 proyectos dirigidos al uso eficiente de materiales.
Para el mes de febrero, 1 proyecto dirigidos al uso eficiente de materiales.
Para el mes de marzo, 3 proyectos dirigidos al uso eficiente de: materiales 2 y agua 1.</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</si>
  <si>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Enero 2024: 4 proyectos pertenecientes a empresas de tamaño: 1 micro, 2 pequeñas, 1 grande.
Febrero 2024: 1 proyecto perteneciente a empresa de tamaño: 1 mediana.
Marzo 2024: 3 proyectos perteneciente a empresa de tamaño: 1 pequeña, 1 mediana y 1 grande.</t>
  </si>
  <si>
    <t>Del acompañamiento generado a los proyectos dirigidos al mejoramiento del desempeño ambiental se reportan:
Para el mes de enero, 1 proyecto dirigido al uso eficiente de materiales.
Para el mes de marzo, 1 proyecto dirigido al uso eficiente de energía.</t>
  </si>
  <si>
    <t xml:space="preserve">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Enero 2024: 1 proyectos pertenecientes a empresas de tamaño: 1 mediana.
Marzo 2024: 1 proyecto perteneciente a empresa de tamaño mediana.
</t>
  </si>
  <si>
    <t>Del acompañamiento generado a los proyectos dirigidos al mejoramiento del desempeño ambiental se reportan:
Para el mes de enero, 1 proyecto dirigido al uso eficiente de materiales.
Para el mes de marzo, 1 proyecto dirigido a la disminución de emisiones.</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</si>
  <si>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Enero 2024: 1 proyectos pertenecientes a empresas de tamaño: 1 mediana.
Marzo 2024: 1 proyecto perteneciente a empresa de tamaño: 1 pequeña</t>
  </si>
  <si>
    <t>Del acompañamiento generado a los proyectos dirigidos al mejoramiento del desempeño ambiental se reportan:
Para el mes de enero, 3 proyectos dirigidos al uso eficiente de: agua 2, energía 1, materiales 1.
Para el mes de febrero, 4 proyectos dirigidos al uso eficiente de: energía 2, materiales 2.
Para el mes de marzo, 2 proyectos dirigidos al uso eficiente de energía.</t>
  </si>
  <si>
    <t>La asistencia técnica para el mejoramiento del desempeño ambiental aplica para proyectos presentados por el sector empresarial ubicado en el perímetro urbano de Bogotá, los participantes son empresas legalmente constituidas y por la naturaleza comercial su área de influencia se enmarca a distrito capital en donde por ende se incluye la localidad en donde se ubica. 
El programa clasifica el tamaño de las empresas por número de empleados, por lo cual ha sido:
Enero 2024: 4 proyectos pertenecientes a empresas de tamaño: 2 medianas, 2 grandes.
Febrero 2024: 4 proyectos pertenecientes a empresas de tamaño: 4 medianas.
Marzo 2024: 2 proyectos pertenecientes a empresas de tamaño: 1 pequeña y 1 grande</t>
  </si>
  <si>
    <r>
      <t xml:space="preserve">Avance meta 2024: 6,25
</t>
    </r>
    <r>
      <rPr>
        <u/>
        <sz val="11"/>
        <rFont val="Calibri"/>
        <family val="2"/>
      </rPr>
      <t>Cambio climático</t>
    </r>
    <r>
      <rPr>
        <sz val="11"/>
        <rFont val="Calibri"/>
        <family val="2"/>
      </rPr>
      <t xml:space="preserve">: Socialización información trámite expedición Decreto presupuestos de carbono; actualización documentos de cooperación; funcionamiento del Grupo Interno de Trabajo sobre Cambio Climático; identificación Soluciones basadas en la Naturaleza; avance formulación Programa reducción de vulnerabilidad.
</t>
    </r>
    <r>
      <rPr>
        <u/>
        <sz val="11"/>
        <rFont val="Calibri"/>
        <family val="2"/>
      </rPr>
      <t>Incendios forestales-IF</t>
    </r>
    <r>
      <rPr>
        <sz val="11"/>
        <rFont val="Calibri"/>
        <family val="2"/>
      </rPr>
      <t xml:space="preserve">: Campaña. Evaluación complejidad y reportes incendios. Acciones prevención: curso IF, mitigación: recorridos vías y manejo en temporada de menos lluvias con influencia del Niño. Participación PMU y reuniones. Valoración PEDM Entrenubes. Presidencia Comisión Distrital IF.
</t>
    </r>
    <r>
      <rPr>
        <u/>
        <sz val="11"/>
        <rFont val="Calibri"/>
        <family val="2"/>
      </rPr>
      <t>Activación Emergencias</t>
    </r>
    <r>
      <rPr>
        <sz val="11"/>
        <rFont val="Calibri"/>
        <family val="2"/>
      </rPr>
      <t xml:space="preserve">: 639 emergencias activadas. Reportes Plan Fenómento El Niño; aportes Plan I Temporada Lluvias. Participación en Mesas de Trabajo y en PMUs. Capacitación emergencias externas.
</t>
    </r>
    <r>
      <rPr>
        <u/>
        <sz val="11"/>
        <rFont val="Calibri"/>
        <family val="2"/>
      </rPr>
      <t>Instrumentos planeación ambiental</t>
    </r>
    <r>
      <rPr>
        <sz val="11"/>
        <rFont val="Calibri"/>
        <family val="2"/>
      </rPr>
      <t xml:space="preserve">: </t>
    </r>
    <r>
      <rPr>
        <b/>
        <sz val="11"/>
        <rFont val="Calibri"/>
        <family val="2"/>
      </rPr>
      <t>PIGA</t>
    </r>
    <r>
      <rPr>
        <sz val="11"/>
        <rFont val="Calibri"/>
        <family val="2"/>
      </rPr>
      <t xml:space="preserve">: Encuesta en temas ambientales a priorizar; Atención 34 peticiones, 7 socializaciones (Movilidad sostenible, Registro RESPEL. Elementos Plasticos de un solo uso, Uso eficiente del Agua). </t>
    </r>
    <r>
      <rPr>
        <b/>
        <sz val="11"/>
        <rFont val="Calibri"/>
        <family val="2"/>
      </rPr>
      <t>PACA</t>
    </r>
    <r>
      <rPr>
        <sz val="11"/>
        <rFont val="Calibri"/>
        <family val="2"/>
      </rPr>
      <t xml:space="preserve">: Reporte Cuenta Anual PACA 2023 a Contraloría, reporte PACA II sem. 2023 y ajuste PACA Bogotá Siglo XXI 2020-2024.
</t>
    </r>
    <r>
      <rPr>
        <u/>
        <sz val="11"/>
        <rFont val="Calibri"/>
        <family val="2"/>
      </rPr>
      <t>Suelos de Protección por Alto Riesgo no Mitigable-ARNM</t>
    </r>
    <r>
      <rPr>
        <sz val="11"/>
        <rFont val="Calibri"/>
        <family val="2"/>
      </rPr>
      <t>: Entrega del informe de Gestión 2023. Visita al predio con CHIP AAA0128SYKC, el día 12 de enero. Acompañamiento 5 operativos control ocupaciones. Reunión interna recibo de predios ARNM. 4 reuniones diplomado Altos de la Estancia. Visita de recibo en administracion 11 predios Prueba Piloto Caja de Vivienda Popular. Reunion Indicador 102030 POT.</t>
    </r>
  </si>
  <si>
    <r>
      <rPr>
        <u/>
        <sz val="9"/>
        <rFont val="Arial"/>
        <family val="2"/>
      </rPr>
      <t xml:space="preserve">Adaptación:
</t>
    </r>
    <r>
      <rPr>
        <sz val="9"/>
        <rFont val="Arial"/>
        <family val="2"/>
      </rPr>
      <t>Identificación preliminar de acciones de Soluciones basadas en la Naturaleza (SbN).
Avance en la formulación de un Programa para la reducción de la vulnerabilidad.</t>
    </r>
    <r>
      <rPr>
        <u/>
        <sz val="9"/>
        <rFont val="Arial"/>
        <family val="2"/>
      </rPr>
      <t xml:space="preserve">
Proyectos normativos</t>
    </r>
    <r>
      <rPr>
        <sz val="9"/>
        <rFont val="Arial"/>
        <family val="2"/>
      </rPr>
      <t xml:space="preserve">:
-Resumen del proceso del proyecto de Decreto de presupuestos de carbono para continuar con trámite de expedición.
</t>
    </r>
    <r>
      <rPr>
        <u/>
        <sz val="9"/>
        <rFont val="Arial"/>
        <family val="2"/>
      </rPr>
      <t>Cooperación internacional</t>
    </r>
    <r>
      <rPr>
        <sz val="9"/>
        <rFont val="Arial"/>
        <family val="2"/>
      </rPr>
      <t xml:space="preserve">:
-Actualización del resumen del estudio de potencial de empleos verdes para Bogotá. 
-Análisis de resultados de la encuesta de satisfacción del programa Women4Climate.
</t>
    </r>
    <r>
      <rPr>
        <u/>
        <sz val="9"/>
        <rFont val="Arial"/>
        <family val="2"/>
      </rPr>
      <t>Grupo Interno de Trabajo sobre Cambio Climático</t>
    </r>
    <r>
      <rPr>
        <sz val="9"/>
        <rFont val="Arial"/>
        <family val="2"/>
      </rPr>
      <t xml:space="preserve">:
-Elaboración del informe de gestión anual de 2023.
-Elaboración del plan de trabajo 2024.
-Realización de 2 reuniones ordinarias.
</t>
    </r>
    <r>
      <rPr>
        <u/>
        <sz val="9"/>
        <rFont val="Arial"/>
        <family val="2"/>
      </rPr>
      <t>Divulgación</t>
    </r>
    <r>
      <rPr>
        <sz val="9"/>
        <rFont val="Arial"/>
        <family val="2"/>
      </rPr>
      <t>:
-Actualización de contenidos de cambio climático en la página web.
-Publicación de la Evaluación de Riesgos Climáticos en el Visor Geográfico Ambiental.</t>
    </r>
  </si>
  <si>
    <r>
      <rPr>
        <u/>
        <sz val="9"/>
        <rFont val="Arial"/>
        <family val="2"/>
      </rPr>
      <t>Conocimiento:</t>
    </r>
    <r>
      <rPr>
        <sz val="9"/>
        <rFont val="Arial"/>
        <family val="2"/>
      </rPr>
      <t xml:space="preserve">
- Divulgación de 1 campaña de prevención de incendios forestales (IF). 
- 17 evaluaciones de complejidad de IF y 16 reportes en el Sistema Nacional de Información Forestal.
- Aportes para la actualización de la página web.
</t>
    </r>
    <r>
      <rPr>
        <u/>
        <sz val="9"/>
        <rFont val="Arial"/>
        <family val="2"/>
      </rPr>
      <t>Reducción:</t>
    </r>
    <r>
      <rPr>
        <sz val="9"/>
        <rFont val="Arial"/>
        <family val="2"/>
      </rPr>
      <t xml:space="preserve">
- Prevención: ajuste a estructura y diseño didáctico del curso virtual; cargue en plataforma, convocatoria, matrículas, inicio y seguimiento del curso. Participación y aportes en sesiones de la Red de Gestión del Riesgo del SINA para fenómeno El Niño 2023-2024.
- Mitigación: Participación en sesiones para definir medidas de intervención en caminos. Elaboración de ficha para registro de información. Acompañamiento en recorridos por caminos.
</t>
    </r>
    <r>
      <rPr>
        <u/>
        <sz val="9"/>
        <rFont val="Arial"/>
        <family val="2"/>
      </rPr>
      <t>Manejo:</t>
    </r>
    <r>
      <rPr>
        <sz val="9"/>
        <rFont val="Arial"/>
        <family val="2"/>
      </rPr>
      <t xml:space="preserve">
- Seguimiento y actualización datos de eventos reportados a la Comisión Distrital para la Gestión del Riesgo por Incendios Forestales (CDGRIF).
- Reclasificación de los eventos con fuego ocurridos en 2023 y lo corrido de 2024. 
- Visitas y georreferenciación de IF.
- Avance en las valoraciones económicas y ambientales de daños ocasionados por los incendios ocurridos en el PEDM Entrenubes y en la Escuela de Artillería.
- Participación en Puesto de Mando Unificado.
- Acciones preparatorias Semana Santa.
- Reportes del Plan de Preparación y Contingencia ante el Fenómeno El Niño.
- Diligenciamiento reportes de afectaciones y archivo de soportes en plataformas del Ministerio de Ambiente y Desarrollo Sostenible.
</t>
    </r>
    <r>
      <rPr>
        <u/>
        <sz val="9"/>
        <rFont val="Arial"/>
        <family val="2"/>
      </rPr>
      <t xml:space="preserve">Presidencia CDGRIF:
</t>
    </r>
    <r>
      <rPr>
        <sz val="9"/>
        <rFont val="Arial"/>
        <family val="2"/>
      </rPr>
      <t>- Liderazgo de 3 sesiones: 2 ordinarias y 2 extraordinarias.
- Informes de acciones de la SDA según plan de acción de la Comisión: informe de gestión 2023 y IV trim 2023.
- Sesión de equipo de trabajo para revisar y definir la clasificación de los eventos y sus definiciones.
- Revisión y complemento de documentos consolidados y actas de reunión.</t>
    </r>
  </si>
  <si>
    <r>
      <t xml:space="preserve">* La entidad </t>
    </r>
    <r>
      <rPr>
        <u/>
        <sz val="9"/>
        <rFont val="Arial"/>
        <family val="2"/>
      </rPr>
      <t>activó 639 emergencias</t>
    </r>
    <r>
      <rPr>
        <sz val="9"/>
        <rFont val="Arial"/>
        <family val="2"/>
      </rPr>
      <t>, a las cuales dio respuesta y correspondieron con los servicios básicos de:
- Manejo de escombros y obras de emergencia: 140 emergencias por árboles caídos y 468 por árboles en riesgo de caída.
- Saneamiento básico: 16</t>
    </r>
    <r>
      <rPr>
        <sz val="9"/>
        <color rgb="FFFF0000"/>
        <rFont val="Arial"/>
        <family val="2"/>
      </rPr>
      <t xml:space="preserve"> </t>
    </r>
    <r>
      <rPr>
        <sz val="9"/>
        <rFont val="Arial"/>
        <family val="2"/>
      </rPr>
      <t xml:space="preserve">emergencias por contaminación atmosférica.
- Manejo de Materiales y/o Residuos peligrosos: 3 emergencia por Residuos Peligrosos ordinarios (RESPEL) y 1 emergencia por Materiales Peligrosos y 11 emergencias por Residuos Peligrosos Hospitalarios (RESPEL RH). 
* Reportes semanales del </t>
    </r>
    <r>
      <rPr>
        <u/>
        <sz val="9"/>
        <rFont val="Arial"/>
        <family val="2"/>
      </rPr>
      <t>Plan de Preparación y Contingencia ante el Fenómeno El Niño 2024</t>
    </r>
    <r>
      <rPr>
        <sz val="9"/>
        <rFont val="Arial"/>
        <family val="2"/>
      </rPr>
      <t xml:space="preserve">, según acciones a cargo de la SDA.
* Aportes al </t>
    </r>
    <r>
      <rPr>
        <u/>
        <sz val="9"/>
        <rFont val="Arial"/>
        <family val="2"/>
      </rPr>
      <t>Plan de Acción de la Primera Temporada de Lluvias 2024</t>
    </r>
    <r>
      <rPr>
        <sz val="9"/>
        <rFont val="Arial"/>
        <family val="2"/>
      </rPr>
      <t xml:space="preserve">, inclusión de acciones a cargo de la SDA y diligenciamiento de anexos.
* Revisión del </t>
    </r>
    <r>
      <rPr>
        <u/>
        <sz val="9"/>
        <rFont val="Arial"/>
        <family val="2"/>
      </rPr>
      <t>Plan de Acción para la Semana Santa</t>
    </r>
    <r>
      <rPr>
        <sz val="9"/>
        <rFont val="Arial"/>
        <family val="2"/>
      </rPr>
      <t xml:space="preserve">.
* </t>
    </r>
    <r>
      <rPr>
        <u/>
        <sz val="9"/>
        <rFont val="Arial"/>
        <family val="2"/>
      </rPr>
      <t>Participación en Niveles de Coordinación</t>
    </r>
    <r>
      <rPr>
        <sz val="9"/>
        <rFont val="Arial"/>
        <family val="2"/>
      </rPr>
      <t xml:space="preserve">: 
- PMU por incendios forestales.
- PMU Regional  fenómeno El Niño.
- PMU Estéreo Picnic.
* Realización de </t>
    </r>
    <r>
      <rPr>
        <u/>
        <sz val="9"/>
        <rFont val="Arial"/>
        <family val="2"/>
      </rPr>
      <t>capacitación sobre emergencias externas</t>
    </r>
    <r>
      <rPr>
        <sz val="9"/>
        <rFont val="Arial"/>
        <family val="2"/>
      </rPr>
      <t xml:space="preserve"> a personal de las áreas ejecutoras y de apoyo, en el marco de la Estrategia Institucional de Respuesta (EIR).
* Participación en sesiones de la </t>
    </r>
    <r>
      <rPr>
        <u/>
        <sz val="9"/>
        <rFont val="Arial"/>
        <family val="2"/>
      </rPr>
      <t>Mesa de Trabajo para el Manejo de Emergencias y Desastres</t>
    </r>
    <r>
      <rPr>
        <sz val="9"/>
        <rFont val="Arial"/>
        <family val="2"/>
      </rPr>
      <t xml:space="preserve"> y de la </t>
    </r>
    <r>
      <rPr>
        <u/>
        <sz val="9"/>
        <rFont val="Arial"/>
        <family val="2"/>
      </rPr>
      <t>Mesa de Trabajo para el Conocimiento y la Reducción del Riesgo</t>
    </r>
    <r>
      <rPr>
        <sz val="9"/>
        <rFont val="Arial"/>
        <family val="2"/>
      </rPr>
      <t>.</t>
    </r>
  </si>
  <si>
    <r>
      <rPr>
        <u/>
        <sz val="9"/>
        <rFont val="Arial"/>
        <family val="2"/>
      </rPr>
      <t xml:space="preserve">Suelos de Protección por Alto Riesgo no Mitigable-ARNM:
</t>
    </r>
    <r>
      <rPr>
        <sz val="9"/>
        <rFont val="Arial"/>
        <family val="2"/>
      </rPr>
      <t>Durante la vigencia 2024, se generó insumo para la entrega del Informe de Gestión 2023, así como también se realizó visita el día 12 de enero al predio con CHIP AAA0128SYKC, con base en el compromiso establecido por las entidades distritales y tendientes a avanzar en el proceso de entrega de predios ubicados en Zonas de Alto Riesgo No Mitigables a la Secretaría Distrital de Ambiente, con el fin de verificar las condiciones de los predios desde el componente técnico de acuerdo a lo establece la resolución 4268 de 2022, en lo que respecta al “Artículo 4. Condiciones para el recibo en administración directa en su numeral 5 que establece: “Que los inmuebles estén libres de construcciones, infraestructura o elementos que limiten las posibilidades de manejo del inmueble a juicio de la Autoridad Ambiental y las condiciones establecidas en el numeral 2.3 “Verificación de condición física” del anexo 3 Formato Ficha Predial de la misma Resolución. Acompañamiento 5 operativos control ocupaciones. Reunión interna recibo de predios ARNM. 4 reuniones diplomado Altos de la Estancia. Visita de recibo en administración 11 predios Prueba Piloto CVP. Reunión Indicador 102030 POT.</t>
    </r>
  </si>
  <si>
    <t xml:space="preserve">El ejecutado de la vigencia 2024 es de 4 negocios verdes satisfactorios, los cuales2 fueron verificados y aprobados en el mes de marzo del año 2024 y corresponde a los siguientes negocios:
2024EE65243 Gescol Economía Circular S.A.S. BIC puntaje 81.08%
2024EE67380 Listonplast SAS- puntaje 75.37% 
</t>
  </si>
  <si>
    <t xml:space="preserve">Para el mes de marzo de 2024 se realizó la verificación de 2 empresas o emprendimientos a la ventanilla de Negocios Verdes de la Secretaria de Ambiente. Lo anterior, por que en el mes de marzo solo se recibieron estas postulaciones  de empresas y/o emprendimientos a la Ventanilla de Negocios Verdes de la SDA. Es importante mencionar que el aval de confianza que ofrece la SDA es para empresas que de manera voluntaria quieren demostrar el cumplimento ambiental de sus procesos. </t>
  </si>
  <si>
    <t xml:space="preserve">Considerando que en el mes de marzo no se logro verificar los 5  negocios verdes que se tenian programados, se procede a replantear el cronograma de verificaciones, sumando este negocio verde a la meta programada del mes de abril de 2024. </t>
  </si>
  <si>
    <t xml:space="preserve">• El 4 de marzo se sostuvo reunión con Corporación Universitaria Iberoamericana para identificar las oportunidades de articulación para espacios comerciales, con la Ventanilla Distrital de Negocios Verdes.
• El 18 de marzo se sostuvo reunión con la Secretaría Distrital Desarrollo Económico y la Ventanilla Distrital de Negocios Verdes para continuar con la articulación entre el programa de mercados campesinos y los negocios verdes.
• El 20 de marzo se llevó a cabo reunión con la Cámara de Comercio de Bogotá (CCB). Con el fin de identificar las oportunidades de articulación de los Negocios verdes de Bogotá, con la  red de inclusión productiva de la CCB. Los temas tratados fueron: Presentación de la estrategia red de la red de inclusión productiva y revisión del funcionamiento de la ventanilla Distrital de Negocios Verdes para incluir a los Negocios Verdes dentro de la estrategia.
</t>
  </si>
  <si>
    <t xml:space="preserve">En 2024, trabajamos en el proyecto de energía sostenible reuniéndonos con las entidades beneficiarias con el propósito de socializar los resultados de los estudios de factibilidad de eficiencia energética y Solar Fotovoltaica. Para el proyecto de compras circulares, mantuvimos reuniones con Colombia Compra Eficientes y otros actores para levantar información clave y priorizar los bienes y servicios objeto del piloto . Desde Red Moda, se avanza en la creación de espacios de comunicación y alianzas estratégicas. Finalmente, en la Plataforma BID de Economía Circular, se aprueba en el comité de ciudades para el producto 2 de la  consultora ADA, así como mesas de trabajo con las ciudades beneficiarias para continuar con el desarrollo de los productos 8 y 9. </t>
  </si>
  <si>
    <t>En 2024, el proyecto Red Moda Circular alcanzó el 100% de ejecución de su plan de trabajo actualizado. El proyecto de Sostenibilidad Energética del Sector Privado completó todas las actividades programadas, como demuestra el documento final. El proyecto de Sostenibilidad Energética del Sector Público ha alcanzado una tasa de avance del 75%, que abarca la entrega de estudios de pre factibilidad y factibilidad y los avances en materia legal e institucional, así como los modelos de negocio. Por último, las versiones definitivas de los productos 1 y 2, así como avances de  los productos 8, 9 y 10 relacionados con los indicadores de la plataforma, avanzando en la ejecución del contrato de consultoría de la Plataforma Regional de Economía Circular tienen un 40% de avance.</t>
  </si>
  <si>
    <t>7, LOGROS CORTE A MARZO AÑO 2024</t>
  </si>
  <si>
    <t>Se realizó verificación de requisitos para el negocio Verde  LISTONPLAST SAS</t>
  </si>
  <si>
    <t xml:space="preserve">Se realizó verificación de requisitos para el negocio Verde GESCOL ECONOMÍA CIRCULAR S.A.S. BIC </t>
  </si>
  <si>
    <t>Durante el mes de marzo 2024, se incorporó criterios de sostenibilidad ambiental a catorce (14) proyectos de diferentes escalas. 
Así mismo, se realizó la verificación a la incorporación de determinantes ambientales a diez (10) proyectos de infraestructura en el espacio público.</t>
  </si>
  <si>
    <t xml:space="preserve">Durante el mes de marzo de 2024 se ha realizado el acompañamiento técnico a 512 m2 correspondientes a techos verdes y jardines verticales, en  proyectos existente en espacio  publico y privado en la localidad de Usme, Chapinero y Fontibón. </t>
  </si>
  <si>
    <t>Segunda reunión del Comité Técnico de Bogotá Circular, en el cual se definió la participación de actores y la formulación de metas específicas por cada línea de acción. Igualmente, se establecieron alternativas de apoyo a los Negocios Verdes a través del memorando de entendimiento con CCB y SDDE.</t>
  </si>
  <si>
    <t>Para el sector curtidor se continuó con el proyecto de San Benito Circular II y  la Sentencia del río Bogotá; para el sector galvánico se adelantaron actividades con el proyecto de fortalecimiento con enfoque de cadena de valor; y para el sector minero con el proyecto de ladrillos verdes.</t>
  </si>
  <si>
    <t>Ejecución de acciones para la gestión del riesgo por incendio forestal, la activación/respuesta a emergencias y la prevención de la ocupación ilegal, para aportar a la adaptación al cambio climático.</t>
  </si>
  <si>
    <t>Durante el mes de marzo de 2024, se incorporó y verifico criterios de sostenibilidad ambiental a veinticuatro  (24) proyectos. Así mismo, se brindo acompañamiento tecnico a 512 m2 de  techos verdes y hardines verticales en la ciudad</t>
  </si>
  <si>
    <t>Para el sector curtidor, se realizaron 4 reuniones interinstitucionales; para el sector de galvánico la mesa distrital de producción más limpia y la socialización a 5 empresas del sector; para el sector minero la mesa distrital y la reunión de articulación con la CAR y la ladrillera CI Lago Verde.</t>
  </si>
  <si>
    <t>Avance acumulado:0,95 (2020:0,15; 2021:0,25; 2022:0,25; 2023:0,25; 2024: 0,05). Acciones:
Adaptación cambio climático: evaluación riesgos climáticos; acciones adaptación y transversales Plan de Acción Climática; propuesta monitoreo, evaluación y reporte; aportes a proyecto decreto metas y formulación Política Pública Acción Climática; soporte Declaración Naturaleza Urbana; gestión cooperación; divulgación información; eventos emergencia climática; funcionamiento Grupo Interno; avance formulación Programa Reducción Vulnerabilidad.
Gestión riesgo incendio forestal-IF:8 campañas; evaluación complejidad y reportes IF; revisión contingencia en PMA y acciones de inclusión; acciones de mitigación y estrategias en zonas interfaz urbano forestal; educación a consejos locales gestión riesgo; aportes a término y definición IF; aportes a documentos técnicos; capacitaciones; curso virtual; restauración 3 ha y enriquecimiento; valoración daños IF; acciones de manejo; participación en PMUs; identificación puntos para hidrantes; aportes y reportes planes temporadas menos lluvias; preparación fenómeno El Niño 2023-2024; presidencia Comisión Distrital IF; expedición Dcto. 622/23.
Activación a Emergencias:9706 emergencias.
Instrumentos Planeación Ambiental: PIGA:11 capacitaciones y 166 jornadas temas ambientales; respuesta a 464 requerimiento;aportes actualización y creación normativa;concurso Al Trabajo en Bici y Buenas Prácticas Ambientales;reconocimiento 56 entidades con alto desempeño; semana ambiental;13 mesas con Alcaldías Locales; conversatorio practica ambiental; actualización norma. PACA: ajuste procedimiento PM03-PR33; seguimiento y reporte PACA 2020 y Bgtá Siglo XXI 2020-2024 de 2021-2023; cuenta anual PACA;Actual.Módulo en Forest;definición indicadores PACA 2020-2024 OAB;revisión fichas técnicas; elaboración y ajustes formulación PACA Bgtá Siglo XXI 2020-2024.
Suelos de protección por Alto Riesgo No Mitigable(ARNM): seguimiento áreas RNM(70) Altos de la Estancia-AE;concertación y firma pacto por la vida digna AE;avance restauración 2,2 ha(plantación 1260);3 huertas comunitarias fortalecidas e instalación 1 nueva;9 reuniones interinstitucionales y 2 internas recibo predios ARNM;acompañamiento 100 operativos control ocupaciones;visita 56 predios evaluados y proyecto de manejo;7 reuniones propuesta reglamentación art 71 POT dcto 555/2021;2 visitas Cabildo Ciudadano UPZ Marruecos y Diana Turbay;comité seguimiento medidas preventivas y mitigación riesgo AE;asistencia audiencia pública; mesa Técnica Trabajo AE; construcción Indicador producto 2.1.5;reuniones PMA y de Pacto Vida Digna AE; visita señalética AE;propuesta acto administrativo Resolución 4268/2022;aprobación procedimientos PM03-PR52 y PM03-PR53 recibo y administración directa predios en ARNM;visita preliminar y de recibo en administración 11 predios prueba piloto Caja Vivienda Popular; Informe Gestión 2023;4 reuniones diplomado AE;reunión Indicador 102030 POT.</t>
  </si>
  <si>
    <t>La meta Plan de Desarrollo presenta un avance del cuatrienio de 0,97 (2020: 0,05; 2021: 0,30; 2022: 0,30; 2023: 0,30; 2024: 0,02), con las siguientes acciones:
Formulación de la Estrategia Distrital de Crecimiento Verde (EDCV) y de los indicadores de seguimiento.
Definición de acciones prioritarias para iniciar la implementación y actores estratégicos.
Firma de Memorando de Entendimiento con Cámara de Comercio de Bogotá y Secretaría de Desarrollo Económico.
Impulso a la formulación y desarrollo de proyectos de crecimiento verde por parte de empresas participantes en el programa de Gestión Ambiental Empresarial.
Definición de proyectos prioritarios para la Estrategia Distrital de Crecimiento Verde: Red Moda, Compras Circulares, Bogotá Circular, Regenera.
Vinculación de otros actores estratégicos: SENA, FENALCO, Secretaría de Desarrollo Económico, Secretaría Distrital de Hábitat, UAESP, ANDI, CEMPRE, ACOPLASTICOS, PROBOGOTA, CONNECT, ENEL y org. de cooperación: GIZ, WWF.
Desarrollo de talleres estratégicos, dirigidos por GIZ y CONNECT para definir visión, objetivos y plan de acción para Bogotá Circular.
Conformación de Comité Técnico de la iniciativa Bogotá Circular.
Definición de líneas estratégicas de acción de Bogotá Circular y de entidades líderes y compromisos por cada línea de acción.
Vinculación de Bogotá al pacto de ciudades circulares de la CEPAL.
Gestión para el apoyo de entidades de cooperación: GIZ, CLEAN, ONUDI, Fundación Ellen McArtur.
Realización de un taller de gestión del conocimiento para Bogotá Circular y contratación de un apoyo desde la GIZ para la métrica y gobernanza. 
Consolidación de una hoja de ruta para Bogotá Circular, que integra los lineamientos establecidos por la CEPAL para el programa de ciudades circulares. 
Evaluación y definición de puntos de articulación con la Cámara de Comercio de Bogotá y con la Secretaría Distrital de Desarrollo Económico.
Establecimiento de metas y responsabilidades para el desarrollo de Bogotá Circular y articulación con el borrador de Política Distrital de Economía Circular.
Contratación de consultoría para la gobernanza y la métrica de Bogotá Circular.
Desarrollo de consultoría para el diseño y desarrollo de una plataforma regional de economía circular - Convenio BID - Componente 1.
Formulación de componente 2 del convenio BID.
Participación de la SDA en la Circular Economy Week.</t>
  </si>
  <si>
    <t>El acumulado ejecutado durante el plan de desarrollo corresponde a quinientos cincuenta y nueve (559) proyectos con gestión para la incorporación de determinantes ambientales con medidas de mitigación y adaptación al cambio climático, de los cuales (66) fueron atendidos en la vigencia 2020, (113) en la vigencia 2021, (150) en la vigencia 2022, (185) en la vigencia 2023 y los restantes (45) en la actual vigencia, así: 40 de magnitud de vigencia y 5 de reserva de 2023. Los proyectos a los cuales se les ha incorporado criterios de sostenibilidad corresponden a: (14) actuaciones estratégicas, (22) Planes Parciales de Desarrollo, (26) Planes Parciales de Renovación Urbana, (58) Proyectos de Legalización y Regularización de Barrios, (17) Planes de Implantación,  (06) Planes de Regularización y Manejo, (07) Planes Directores para parques, (02) Planes de Manejo de Humedales, (305) Diseños paisajísticos de parques y zonas verdes, (36) proyectos de compatibilidad de uso de vivienda en suelo restringido, (04) Balances de zonas verdes, (02) Patios zonales para el Sistema Integrado de Transporte Publico – SITP, (03) proyectos con Acciones de mitigación de impactos ambientales uso dotacional, comercio y servicios,  (02) proyectos de segmentos viales, (02) lineamientos para Ecobarrios, (01) aislamiento de proyecto de construcción, (10) proyectos Bogotá Construcción Sostenible y (42) proyectos de infraestructura especial como colegios y aulas ambientales, tramos viales en intervenciones en áreas verdes y Zonas de Manejo y Preservación Ambiental, estaciones radioeléctricas y vallados.
Durante la vigencia de 2024 se emitieron determinantes ambientales a 45 proyectos así: cuatro (04) Planes Parciales de Desarrollo, dos (02) Planes de Implantación, dos (02) Proyectos de Legalización y Regularización de Barrios, un (01) Proyecto de Compatibilidad de usos de vivienda en suelo restringido, veinticinco (25) Diseños Paisajísticos de Parques y zonas verdes y once (11) Proyecto especial - Lineamientos ambientales para instalación de antena radioeléctrica y colegios.Ratificación de continuidad del memorando de entendimiento.
Definición de proyectos prioritarios de Bogotá Circular para el 2024.
Articulación con el Programa Prevec 2 - 2024
Conformación equipos de trabajo por línea de acción de Bogotá Circular y definición de metas 2024 por línea.
Borrador de ruta para fortalecimiento de los Negocios Verdes a través del memorando de entendimiento con Cámara de Comercio de Bogotá (CCB) y Secretaría Distrital de Desarrollo Económico (SDDE).</t>
  </si>
  <si>
    <t>El acumulado ejecutado a la vigencia 2024 corresponde a 374 proyectos de ciudad con seguimiento de la aplicación de los determinantes ambientales, de los cuales (20) fueron verificados en la vigencia 2020, (78) verificados en la vigencia 2021, (109) han sido verificados en la vigencia 2022, (137) han sido verificados en la vigencia 2023 y (30) han sido verificados en la vigencia 2024. Los proyectos a los cuales se les ha verificado la incorporación de sus determinantes ambientales corresponden a: (33) Planes Directores de Parques de la Ciudad, (08) Planes de Implantación, (330) Diseños paisajísticos de parques y zonas verdes, (3) Planes de Regularización y Manejo.
Durante la vigencia 2024, se ha verificado la incorporación de determinantes ambientales a veintisiete (27) diseños paisajísticos de parques y zonas verdes y tres (03) Planes de Implantación, de los cuales 27 corresponden a la vigencia actual y 3 a la reserva de 2023.
Los 30 proyectos verificados en la presente vigencia se han desarrollado en las siguientes localidades: (01) Rafael Uribe, (04) Ciudad Bolívar, (06) Fontibón, (09) Suba, (01) Bosa, (01) Engativá, (03) Kennedy, (02) Chapinero y (03) Usaquén.</t>
  </si>
  <si>
    <t>8.  DESCRIPCIÓN DE LOS AVANCES Y LOGROS ALCANZADOS A MARZO DE 2024</t>
  </si>
  <si>
    <t>Durante la vigencia 2024, se ha verificado la incorporación de determinantes ambientales a 30 proyectos, veintisiete (27) diseños paisajísticos de parques y zonas verdes y tres (03) Planes de Implantación, de los cuales 27 corresponden a la vigencia actual y 3 a la reserva de 2023.
Los 30 proyectos verificados en la presente vigencia se han desarrollado en las siguientes localidades: (01) Rafael Urbe, (04) Ciudad Bolívar, (06) Fontibón, (09) Suba, (01) Bosa, (01) Engativá, (03) Kennedy, (02) Chapinero y (03) Usaquén.</t>
  </si>
  <si>
    <t>Durante lo corrido del año 2024 se presenta un acumulado de la vigenicia de  (0,41) y de reserva 2023 (0,1)  Para el mes de marzo de 2024 se dio un avance total de (0,16) el cual hace referencia a: la información actualizada sobre los proyectos piloto de economía circular para el sector textil (Red Moda), también cubre proyectos de sostenibilidad energética para edificios del sector público, una plataforma regional de economía circular y Compras Circulares.</t>
  </si>
  <si>
    <r>
      <rPr>
        <u/>
        <sz val="9"/>
        <rFont val="Arial"/>
        <family val="2"/>
      </rPr>
      <t>Implementación de instrumentos de planeación ambiental</t>
    </r>
    <r>
      <rPr>
        <sz val="9"/>
        <rFont val="Arial"/>
        <family val="2"/>
      </rPr>
      <t xml:space="preserve">:
</t>
    </r>
    <r>
      <rPr>
        <b/>
        <sz val="9"/>
        <rFont val="Arial"/>
        <family val="2"/>
      </rPr>
      <t>PIGA</t>
    </r>
    <r>
      <rPr>
        <sz val="9"/>
        <rFont val="Arial"/>
        <family val="2"/>
      </rPr>
      <t xml:space="preserve">: Encuesta en temas ambientales a priorizar; Atención 34 peticiones, 7 socializaciones (Movilidad sostenible, Registro RESPEL, Elementos Plásticos de un solo uso y Uso eficiente del agua).
</t>
    </r>
    <r>
      <rPr>
        <b/>
        <sz val="9"/>
        <rFont val="Arial"/>
        <family val="2"/>
      </rPr>
      <t>PACA</t>
    </r>
    <r>
      <rPr>
        <sz val="9"/>
        <rFont val="Arial"/>
        <family val="2"/>
      </rPr>
      <t>: Reporte Cuenta Anual PACA 2023 a Contraloría, reporte PACA II sem. 2023 y ajuste PACA Bogotá Siglo XXI 2020-2024.</t>
    </r>
  </si>
  <si>
    <t>Durante la vigencia 2024 se inició con la gestión para el aseguramiento de participación de entidades, en el escenario de cambio de gobierno. Específicamente se realizaron reuniones con Cámara de Comercio de Bogotá, Secretaría de Desarrollo Económico y Compromiso Empresarial para el Reciclaje -CEMPRE. En el mes de marzo se realizó comité técnico de Bogotá Circular y se confirmó por línea de acción la participación de actores. Igualmente, se está gestionando la participación de la CAR y del Departamento Nacional de Planeación (DNP).</t>
  </si>
  <si>
    <t xml:space="preserve">Los días 5 y 15 de marzo se llevó a cabo reunión de articulación entre Daviplata y la Ventanilla Distrital de Negocios Verdes con el fin de dar a conocer las ofertas de subvenciones y apoyos por parte de Daviplata.
El 18 de marzo se sostuvo reunión para revisar los avances de la iniciativa regenera y presentar las opciones de certificación que la SDA puede ofrecer a los participantes. El proyecto regenera busca establecer una hoja ruta clara para la gestión de los recibos orgánicos, específicamente en el sector de restaurantes de Bogotá.
El 18 de marzo se llevó a cabo reunión con el Servicios Nacional de Aprendizaje SENA para definir actividades de articulación durante el año 2024.
El 22 de marzo de 2024 se llevó a cabo una reunión con Germán Andrés Villegas representante del programa ALDEA, el cual es un programa del Ministerio de Comercio, Industria y Turismo, a través de INNpulsa COLOMBIA especializado para potencializar y consolidar emprendimientos innovadores con alto potencial de crecimiento a lo largo y ancho de Colombia.
El 22 de marzo de 2024 se llevó a cabo una reunión con los docentes Jhon Jairo Porras y Alejandro Martínez de la Universidad EAN para conocer el progreso de la investigación llevada a cabo por la Universidad EAN para identificar las barreras en los Negocios Verdes
</t>
  </si>
  <si>
    <t xml:space="preserve">El ejecutado de la vigencia 2024 es de 4 negocios verdes satisfactorios, los cuales 2 fueron verificados y aprobados en el mes de marzo del año 2024 y corresponde a los siguientes negocios:
2024EE65243 Gescol Economía Circular S.A.S. BIC puntaje 81.08%
2024EE67380 Listonplast SAS- puntaje 75.37% 
En el mes de marzo se realizó la visita de seguimiento y acompañamiento técnico a 6 negocios verdes:
• Revolución Urbana SAS BIC : Registró un 57.32% de cumplimiento, con una disminución de 8.95%
• CODIPAPEL LTDA : Registró un 77.75% de cumplimiento, con un incremento del 9.66%
• IT Automatización LTDA: Registró un 58.38% de cumplimiento, con una disminución de 7.62%
• K-TA Diseño Accesorios: Registró un 53.33% de cumplimiento, con un incremento del 1.4%.
• Manufacturas Juppa SAS: Registró un 66.76% de cumplimiento, con un incremento del 4.63%.
• SACKPROM SAS Registró un 59.57% de cumplimiento, con un incremento del 7.9%.
</t>
  </si>
  <si>
    <t>Se avanzó con el desarrollo de actividades en cada uno de los tres sectores priorizados del POMCA, para el sector curtidor se llevaron a cabo 4 reuniones así: revisión actividades con ASOPIESB, mesa de trabajo con la Universidad de la Salle, la Dirección Legal de la SDA y mesa de trabajo con el CECH. Para el sector galvánico, se realizó la socialización del proyecto a 5 empresas, la primera mesa distrital de Producción Más Limpia (PML), el acompañamiento y seguimiento a las empresas del sector en la inscripción a Pro-redES. En el sector minero, se desarrolló la mesa distrital del sector con las ladrilleras vinculadas al proyecto y se realizó una reunión de articulación con la CAR y la ladrillera CI Lago Verde que cuenta con el Sello Ambiental Colombiano. En las actividades transversales, para el proyecto “Sellos Ambientales” se realizó una reunión con el MADS de socialización de los avances del proyecto en el marco del POMCA río Bogotá, se realizó la mesa de sectores productivos y la primera sesión interinstitucional para la formulación del plan de acción 2024 - 2027 del CECH - Sector Curtidor. Adicionalmente, se desarrolló una capacitación transversal a los sectores priorizados en economía circular y compras sostenibles.</t>
  </si>
  <si>
    <t>En el mes de marzo se verificaron los siguientes negocios verdes:
2024EE65243 GESCOL ECONOMÍA CIRCULAR S.A.S. BIC -puntaje: 81.08%
2024EE67380 LISTONPLAST SAS puntaje: 75.37%</t>
  </si>
  <si>
    <t>Durante la vigencia 2024 se presenta un avance de 0,510 correspondiente a las acciones realizada en los meses de enero (0,060), febrero (0,060) y marzo (0,39),  en donde se avanzó con el desarrollo de actividades en cada uno de los tres sectores priorizados del POMCA; para el sector curtidor se realizaron 4 reuniones interinstitucionales con ASOPIESB, la Universidad de la Salle, con la Dirección Legal de la SDA y con el Consejo estratégico de la cuenca hidrográfica del Río Bogotá- CECH. Para el sector galvánico, se realizó la socialización del proyecto a 5 empresas, la mesa distrital de PML y el acompañamiento a 12 empresas del sector en la inscripción a Pro-redES. En el sector minero, se desarrolló la mesa distrital del sector y una reunión de articulación con la CAR y la ladrillera CI Lago Verde. En las actividades transversales, para el proyecto “Sellos Ambientales” se realizó una reunión con el Ministerio de Ambiente y Desarrollo Sostenible de socialización de los avances del proyecto en el marco del POMCA río Bogotá, se realizó la mesa de sectores productivos y la primera sesión interinstitucional para la formulación del plan de acción 2024 - 2027 del CECH - Sector Curtidor. Adicionalmente, se desarrolló una capacitación transversal en economía circular y compras sostenibles.</t>
  </si>
  <si>
    <t xml:space="preserve">En 2024 se avanza en la definición de los estudios de factibilidad en 5 proyectos de energía solar en edificaciones púbicas, así mismo, se avanza en la consolidación de la Hoja de Ruta del proyecto. El proyecto Piloto de Compra Circular está desarrollando se continua en el levantamiento de la información, se desarrolla la evaluación de la capacidad organizacional y se trabaja en la construcción de un plan de trabajo. En relación al proyecto Red Moda, se avanzan con gestiones para espacios de posicionamiento para Manos Reparadoras, así como la participación en eventos de moda sostenible en alianza con la Secretaria de Cultura y la cooperación alemana. El proyecto Plataforma Regional de Economía Circular se avanza en la finalización del producto No 8 y 9 relacionados con los indicadores. </t>
  </si>
  <si>
    <t>CORTE A MARZO AÑO 2024</t>
  </si>
  <si>
    <r>
      <t xml:space="preserve">
</t>
    </r>
    <r>
      <rPr>
        <b/>
        <sz val="11"/>
        <rFont val="Arial"/>
        <family val="2"/>
      </rPr>
      <t>PP 34  DENTRO TMI Cerros - Limite Calera</t>
    </r>
    <r>
      <rPr>
        <sz val="11"/>
        <rFont val="Arial"/>
        <family val="2"/>
      </rPr>
      <t xml:space="preserve">
REGULARIZACION SAN ANTONIO NORTE DENTRO TMI 2-Cerros - Limite Calera
REGULARIZACI{ON EL CODITO DENTRO TMI 2-Cerros - Limite Calera
PROYECTO Diseño paisajístico Edificio Uno 83
DENTRO TMI (2)  Cerros - Limite Calera
zonas de cesión del proyecto Urbanístico Rincón del Cedro Etapa 2 - Sajonia DENTRO TMI Cerros - Limite Calera
Regularización del desarrollo Soratama DENTRO TMI SAN CRISTÓBAL NORTE
Regularización San Antonio Norte II Sector DENTRO TPI VERBENAL</t>
    </r>
  </si>
  <si>
    <r>
      <t xml:space="preserve">UPZ 97
UPZ 99
</t>
    </r>
    <r>
      <rPr>
        <b/>
        <u/>
        <sz val="11"/>
        <color rgb="FFFF0000"/>
        <rFont val="Arial"/>
        <family val="2"/>
      </rPr>
      <t>UPZ 90</t>
    </r>
    <r>
      <rPr>
        <sz val="11"/>
        <rFont val="Arial"/>
        <family val="2"/>
      </rPr>
      <t xml:space="preserve">
UPZ 88</t>
    </r>
  </si>
  <si>
    <r>
      <rPr>
        <b/>
        <u/>
        <sz val="11"/>
        <color rgb="FFFF0000"/>
        <rFont val="Arial"/>
        <family val="2"/>
      </rPr>
      <t>SIBERIA CENTRAL</t>
    </r>
    <r>
      <rPr>
        <sz val="11"/>
        <rFont val="Arial"/>
        <family val="2"/>
      </rPr>
      <t xml:space="preserve">
EL RETIRO
CHAPINERO CENTRAL
MARÍA CRISTINA
EL CHICÓ
EL BAGAZAL</t>
    </r>
  </si>
  <si>
    <r>
      <t xml:space="preserve">UPZ 32
UPZ 34
UPZ 51
UPZ 32
</t>
    </r>
    <r>
      <rPr>
        <b/>
        <u/>
        <sz val="11"/>
        <color rgb="FFFF0000"/>
        <rFont val="Arial"/>
        <family val="2"/>
      </rPr>
      <t>UPZ 50</t>
    </r>
    <r>
      <rPr>
        <sz val="11"/>
        <rFont val="Arial"/>
        <family val="2"/>
      </rPr>
      <t xml:space="preserve">
</t>
    </r>
  </si>
  <si>
    <r>
      <t xml:space="preserve">
</t>
    </r>
    <r>
      <rPr>
        <b/>
        <u/>
        <sz val="11"/>
        <color rgb="FFFF0000"/>
        <rFont val="Arial"/>
        <family val="2"/>
      </rPr>
      <t>LA GLORIA ORIENTAL</t>
    </r>
    <r>
      <rPr>
        <sz val="11"/>
        <rFont val="Arial"/>
        <family val="2"/>
      </rPr>
      <t xml:space="preserve">
SAN BLAS II
LAS GAVIOTAS
LOS ALPES
PUENTE COLORADO
CHIGUAZA URBANO
BELLAVISTA SUR
GRANADA SUR
20 DE JULIO
LOS LIBERTADORES
MORALBA
LAS GAVIOTAS
BUENOS AIRES
VEINTE DE JULIO
LAS MERCEDES
LA VICTORIA
ALTAMIRA
</t>
    </r>
  </si>
  <si>
    <r>
      <rPr>
        <b/>
        <sz val="11"/>
        <rFont val="Arial"/>
        <family val="2"/>
      </rPr>
      <t>PP BOSQUES DE SAN JOSE DENTRO TMI Cable San Cristóbal</t>
    </r>
    <r>
      <rPr>
        <sz val="11"/>
        <rFont val="Arial"/>
        <family val="2"/>
      </rPr>
      <t xml:space="preserve">
Contrato SDHT-CMA-019-2021. Revitalización Urbana Proyecto de AIP 20 de Julio, Contrato SDHT-CMA-019-2021. Revitalización Urbana Proyecto de AIP La Victoria, Zonas de Cesión Proyecto Mirador de la Reserva DENTRO TMI (1) Cable San Cristóbal
LEGALIZACIÓN BARRIO PUENTE COLORADO DENTRO  TMI 1-Cable San Cristóbal
Plan parcial bosques de san José dentro TMI (1) Cable San Cristóbal
formalización barrio Altamira
DENTRO TMI (1) Cable San Cristóbal
contrato IDU 408 de 2021 Cita VUC 29299 DENTRO TMI (1) Cable San Cristóbal
ACTUACIÓN ESTRATÉGICA 20 DE JULIO DENTRO TMI (1) Cable San Cristóbal
LEGALIZACION SORATAMA dentro TMI (1) Cable San Cristóbal
PROYECTO PPD BOSQUES DE SAN JOSÉ CRUZA CON TMI LOS LIBERTADORES
TMI SAN BLAS CRUZA CON PROYECTO DISEÑO PAISAJÍSTICO BUENOS AIRES
DISEÑO PAISAJÍSTICO PROYECTO 20 DE JULIO DENTRO TPI 20 DE JULIO
Regularización Barrio Buenos Aires DENTRO DE TPI SAN BLAS
Proyecto Revitalización urbana en la localidad 04
DENTRO TMI LA GLORIA
Proyecto Contrato IDU 1630 de 2020, Diseños Cable Aéreo San Cristóbal
DENTRO TMI Cable San Cristóbal
Legalización y regularización Barrio MIRAFLORES DENTRO TMI Cable San Cristóbal</t>
    </r>
  </si>
  <si>
    <r>
      <t xml:space="preserve">UPZ57
</t>
    </r>
    <r>
      <rPr>
        <b/>
        <u/>
        <sz val="11"/>
        <color rgb="FFFF0000"/>
        <rFont val="Arial"/>
        <family val="2"/>
      </rPr>
      <t>UPZ58</t>
    </r>
    <r>
      <rPr>
        <sz val="11"/>
        <rFont val="Arial"/>
        <family val="2"/>
      </rPr>
      <t xml:space="preserve">
UPZ56
</t>
    </r>
  </si>
  <si>
    <r>
      <rPr>
        <b/>
        <u/>
        <sz val="11"/>
        <color rgb="FFFF0000"/>
        <rFont val="Arial"/>
        <family val="2"/>
      </rPr>
      <t>LA ESPERANZA DE USME</t>
    </r>
    <r>
      <rPr>
        <sz val="11"/>
        <rFont val="Arial"/>
        <family val="2"/>
      </rPr>
      <t xml:space="preserve">
LA CABANA
BARRANQUILLITA
EL NEVADO
YOMASA NORTE
PORVENIR</t>
    </r>
  </si>
  <si>
    <r>
      <rPr>
        <b/>
        <u/>
        <sz val="11"/>
        <color rgb="FFFF0000"/>
        <rFont val="Arial"/>
        <family val="2"/>
      </rPr>
      <t xml:space="preserve">
UPZ 78
UPZ 29
</t>
    </r>
    <r>
      <rPr>
        <sz val="11"/>
        <rFont val="Arial"/>
        <family val="2"/>
      </rPr>
      <t xml:space="preserve">UPZ 82
UPZ 79
UPZ 81
UPZ 47
</t>
    </r>
    <r>
      <rPr>
        <b/>
        <u/>
        <sz val="11"/>
        <color rgb="FFFF0000"/>
        <rFont val="Arial"/>
        <family val="2"/>
      </rPr>
      <t>UPZ 46</t>
    </r>
    <r>
      <rPr>
        <sz val="11"/>
        <rFont val="Arial"/>
        <family val="2"/>
      </rPr>
      <t xml:space="preserve">
UPZ 113
UPZ 80
UPZ 86
UPZ 48
UPZ 44
</t>
    </r>
  </si>
  <si>
    <r>
      <rPr>
        <b/>
        <u/>
        <sz val="11"/>
        <color rgb="FFFF0000"/>
        <rFont val="Arial"/>
        <family val="2"/>
      </rPr>
      <t xml:space="preserve">
EL TINTAL IV
PIO XII
PARIS GAITAN</t>
    </r>
    <r>
      <rPr>
        <sz val="11"/>
        <rFont val="Arial"/>
        <family val="2"/>
      </rPr>
      <t xml:space="preserve">
EL VERGEL ORIENTAL
PATIO BONITO
DINDALITO
GALAN
TIMIZA B
JORGE URIBE BOTERO
VERGEL ORIENTAL
MARSELLA
CIUDAD KENNEDY NORTE
CASA BLANCA SUR
VILLA NELLY III SECTOR
OSORIO XXIII
RENANIA URAPANES
HIPOTECHO SUR 
CIUDAD TECHO II</t>
    </r>
  </si>
  <si>
    <r>
      <t xml:space="preserve">UPZ 76
UPZ 110
</t>
    </r>
    <r>
      <rPr>
        <b/>
        <u/>
        <sz val="11"/>
        <color rgb="FFFF0000"/>
        <rFont val="Arial"/>
        <family val="2"/>
      </rPr>
      <t>UPZ 114</t>
    </r>
    <r>
      <rPr>
        <sz val="11"/>
        <rFont val="Arial"/>
        <family val="2"/>
      </rPr>
      <t xml:space="preserve">
UPZ 117
UPZ 115
UPZ 77
</t>
    </r>
    <r>
      <rPr>
        <b/>
        <u/>
        <sz val="11"/>
        <color rgb="FFFF0000"/>
        <rFont val="Arial"/>
        <family val="2"/>
      </rPr>
      <t>UPZ 112</t>
    </r>
    <r>
      <rPr>
        <sz val="11"/>
        <rFont val="Arial"/>
        <family val="2"/>
      </rPr>
      <t xml:space="preserve">
UPZ 75
</t>
    </r>
  </si>
  <si>
    <r>
      <rPr>
        <b/>
        <u/>
        <sz val="11"/>
        <color rgb="FFFF0000"/>
        <rFont val="Arial"/>
        <family val="2"/>
      </rPr>
      <t xml:space="preserve">
MODELIA OCIDENTAL
CIUDAD HAYUELOS</t>
    </r>
    <r>
      <rPr>
        <sz val="11"/>
        <rFont val="Arial"/>
        <family val="2"/>
      </rPr>
      <t xml:space="preserve">
GRANJAS DE TECHO
SAN PABLO JERICO
BELEN FONTIBON
VILLEMAR
LA ESPERANZA NORTE
SANTA CECILIA
EL CHANCO ISAN PABLO JERICO
EL CHANCO I
BRISAS ALDEA FONTIBON
MONTEVIDEO
FERROCAJA FONTIBON
LA LAGUNA FONTIBÓN
VILLA ALSACIA
CAPELLANÍA
EL TINTAL CENTRAL
LOS ALAMOS
SAN PABLO JERICO
ZONA FRANCA
SABANA GRANDE
EL VERGEL
PUERTA DE TEJA
</t>
    </r>
  </si>
  <si>
    <r>
      <rPr>
        <b/>
        <u/>
        <sz val="11"/>
        <color rgb="FFFF0000"/>
        <rFont val="Arial"/>
        <family val="2"/>
      </rPr>
      <t>UPZ29</t>
    </r>
    <r>
      <rPr>
        <sz val="11"/>
        <rFont val="Arial"/>
        <family val="2"/>
      </rPr>
      <t xml:space="preserve">
UPZ 72
UPZ 26
UPZ 74
UPZ 73
UPZ 116
UPZ 29
UPZ 116
UPZ 105
</t>
    </r>
  </si>
  <si>
    <r>
      <rPr>
        <b/>
        <u/>
        <sz val="11"/>
        <color rgb="FFFF0000"/>
        <rFont val="Arial"/>
        <family val="2"/>
      </rPr>
      <t xml:space="preserve">
PARIS GAITAN</t>
    </r>
    <r>
      <rPr>
        <sz val="11"/>
        <rFont val="Arial"/>
        <family val="2"/>
      </rPr>
      <t xml:space="preserve">
BOCHICA II
BELLAVISTA OCCIDENTAL
EL DORADO INDUSTRIAL
GARCES NAVAS ORIENTAL
CENTRO ENGATIVA II
VILLA GLADYS
LOS CEREZOS
AUTOPISTA MEDELLÍN
EL DORADO INDUSTRIAL
ALAMOS
SAN IGNACIO
CENTRO ENGATIVA II
CAMPO EUCARISTICO
BOLIVIA
BOYACÁ
JARDÌN BOTÁNICO
</t>
    </r>
  </si>
  <si>
    <r>
      <t xml:space="preserve">UPZ19
UPZ 25
UPZ 28
UPZ 18
UPZ 20
UPZ 27
UPZ 2
UPZ 23
UPZ 72
UPZ 71
</t>
    </r>
    <r>
      <rPr>
        <b/>
        <u/>
        <sz val="11"/>
        <color rgb="FFFF0000"/>
        <rFont val="Arial"/>
        <family val="2"/>
      </rPr>
      <t>UPZ 3</t>
    </r>
    <r>
      <rPr>
        <sz val="11"/>
        <rFont val="Arial"/>
        <family val="2"/>
      </rPr>
      <t xml:space="preserve">
UPZ 17
UPZ 24</t>
    </r>
  </si>
  <si>
    <r>
      <t xml:space="preserve">MAZUREN
CIUDAD HUNZA
</t>
    </r>
    <r>
      <rPr>
        <b/>
        <u/>
        <sz val="11"/>
        <color rgb="FFFF0000"/>
        <rFont val="Arial"/>
        <family val="2"/>
      </rPr>
      <t>CASABLANCA SUBA URBANO</t>
    </r>
    <r>
      <rPr>
        <sz val="11"/>
        <rFont val="Arial"/>
        <family val="2"/>
      </rPr>
      <t xml:space="preserve">
 EL PLAN
PINOS DE LOMBARDIA
RINCÓN DE SANTA INÉS
SUBA CERROS
CLUB DE LOS LAGARTOS
PUERTA DEL SOL
VILLA HERMOSA 
PUENTE LARGO
GRANADA NORTE
PRADO VERANIEGO SUR
VILLA ALCAZAR
EL POA
BOCHICA II
SABANA DE TIBABUYES
BRITALIA
CASABLANCA SUBA I
TUNA BAJA
CAMPANELLA
CASABLANCA SUBA
TIBABUYES
PORTALES DEL NORTE
GILMAR
SUBA URBANO
SAN JOSE V SECTOR
SAN JOSE DE BAVARIA
ALMIRANTE COLON
RINCON ALTAMAR
VEREDA SUBA
</t>
    </r>
  </si>
  <si>
    <r>
      <t xml:space="preserve">UPZ 21
</t>
    </r>
    <r>
      <rPr>
        <b/>
        <u/>
        <sz val="11"/>
        <color rgb="FFFF0000"/>
        <rFont val="Arial"/>
        <family val="2"/>
      </rPr>
      <t>UPZ 103</t>
    </r>
    <r>
      <rPr>
        <sz val="11"/>
        <rFont val="Arial"/>
        <family val="2"/>
      </rPr>
      <t xml:space="preserve">
UPZ 22
UPZ 98</t>
    </r>
  </si>
  <si>
    <r>
      <rPr>
        <b/>
        <u/>
        <sz val="11"/>
        <color rgb="FFFF0000"/>
        <rFont val="Arial"/>
        <family val="2"/>
      </rPr>
      <t>PARQUE POPULAR SALITRE</t>
    </r>
    <r>
      <rPr>
        <sz val="11"/>
        <rFont val="Arial"/>
        <family val="2"/>
      </rPr>
      <t xml:space="preserve">
SAN FERNANDO
QUINTA MUTIS
PARQUE DISTRITAL SALITRE
ESCUELA MILITAR
POPULAR MODELO
JOSÉ JOAQUÍN VARGAS
LA ESPERANZA
</t>
    </r>
  </si>
  <si>
    <r>
      <t xml:space="preserve">UPZ111
UPZ 108
UPZ 43
</t>
    </r>
    <r>
      <rPr>
        <b/>
        <u/>
        <sz val="11"/>
        <color rgb="FFFF0000"/>
        <rFont val="Arial"/>
        <family val="2"/>
      </rPr>
      <t>UPZ 40</t>
    </r>
    <r>
      <rPr>
        <sz val="11"/>
        <rFont val="Arial"/>
        <family val="2"/>
      </rPr>
      <t xml:space="preserve">
UPZ 41
</t>
    </r>
  </si>
  <si>
    <r>
      <rPr>
        <b/>
        <u/>
        <sz val="11"/>
        <color rgb="FFFF0000"/>
        <rFont val="Arial"/>
        <family val="2"/>
      </rPr>
      <t>COMUNEROS</t>
    </r>
    <r>
      <rPr>
        <sz val="11"/>
        <rFont val="Arial"/>
        <family val="2"/>
      </rPr>
      <t xml:space="preserve">
PUENTE ARANDA
EL EJIDO
 PENSILVANIA
INDUSTRIAL CENTENARIO
SAN RAFAEL INDUSTRIAL
COMUNEROS
ALQUERIA
TIBANA
SAN EUSEBIO
</t>
    </r>
  </si>
  <si>
    <r>
      <t xml:space="preserve">
UPZ 67
UPZ 69
UPZ 70
UPZ 65
UPZ 69
</t>
    </r>
    <r>
      <rPr>
        <b/>
        <u/>
        <sz val="11"/>
        <color rgb="FFFF0000"/>
        <rFont val="Arial"/>
        <family val="2"/>
      </rPr>
      <t>UPZ 68</t>
    </r>
    <r>
      <rPr>
        <sz val="11"/>
        <rFont val="Arial"/>
        <family val="2"/>
      </rPr>
      <t xml:space="preserve">
</t>
    </r>
  </si>
  <si>
    <r>
      <t xml:space="preserve">
</t>
    </r>
    <r>
      <rPr>
        <b/>
        <u/>
        <sz val="11"/>
        <color rgb="FFFF0000"/>
        <rFont val="Arial"/>
        <family val="2"/>
      </rPr>
      <t>EL MINUTO DE MARIA</t>
    </r>
    <r>
      <rPr>
        <sz val="11"/>
        <rFont val="Arial"/>
        <family val="2"/>
      </rPr>
      <t xml:space="preserve">
JERUSALEN
MARIA CANO
CORDILLERA DEL SUR
EL PEÑON DEL CORTIJO
BELLA FLOR SUR
NACIONES UNIDAS
RINCON DE LA VALVANERA
JUAN PABLO II
LA ALAMEDA
BRISAS DEL VOLADOR
VERONA
LA ESTANCIA
RAFAEL ESCAMILLA
SANTA VIVIANA
ARABIA
PARAISO QUIBA
MADELENA
SIERRA MORENA
BARLOVENTO
PARAISO QUIBA
</t>
    </r>
  </si>
  <si>
    <r>
      <t xml:space="preserve">
UPZ 13
UPZ 16
UPZ 9
UPZ 10
UPZ 12
UPZ 1
</t>
    </r>
    <r>
      <rPr>
        <b/>
        <u/>
        <sz val="11"/>
        <color rgb="FFFF0000"/>
        <rFont val="Arial"/>
        <family val="2"/>
      </rPr>
      <t>UPZ 14</t>
    </r>
    <r>
      <rPr>
        <sz val="11"/>
        <rFont val="Arial"/>
        <family val="2"/>
      </rPr>
      <t xml:space="preserve">
UPZ 15
</t>
    </r>
  </si>
  <si>
    <r>
      <t xml:space="preserve">
</t>
    </r>
    <r>
      <rPr>
        <b/>
        <u/>
        <sz val="11"/>
        <color rgb="FFFF0000"/>
        <rFont val="Arial"/>
        <family val="2"/>
      </rPr>
      <t>ESCUELA DE INFANTERIA</t>
    </r>
    <r>
      <rPr>
        <sz val="11"/>
        <rFont val="Arial"/>
        <family val="2"/>
      </rPr>
      <t xml:space="preserve">
SAN ANTONIO NOROCCIDENTAL EL ROCIO NORTE 
CEDRO SALAZAR
BOSQUE DE PINOS III
SANTA BARBARA CENTRAL
EL CONTADOR
SANTA BARBARA
OCCIDENTAL
SANTA CECILIA PUENTE NORTE
HORIZONTES NORTE
TOBERÍN
TIBABITA RURAL
SANTA BIBIANA
LA CITA
SAN GABRIEL NORTE
VERBENAL SAN ANTONIO
BARRANCAS NORTE
SANTA TERESA
LA CALLEJA
SANTA BARBARA
HORIZONTES</t>
    </r>
  </si>
  <si>
    <r>
      <t xml:space="preserve">UPZ78
UPZ45
UPZ 48
UPZ81
UPZ82
</t>
    </r>
    <r>
      <rPr>
        <b/>
        <u/>
        <sz val="11"/>
        <color rgb="FFFF0000"/>
        <rFont val="Arial"/>
        <family val="2"/>
      </rPr>
      <t>UPZ 46</t>
    </r>
    <r>
      <rPr>
        <sz val="11"/>
        <rFont val="Arial"/>
        <family val="2"/>
      </rPr>
      <t xml:space="preserve">
UPZ 79</t>
    </r>
  </si>
  <si>
    <r>
      <rPr>
        <b/>
        <u/>
        <sz val="11"/>
        <color rgb="FFFF0000"/>
        <rFont val="Arial"/>
        <family val="2"/>
      </rPr>
      <t>CIUDAD TECHO II</t>
    </r>
    <r>
      <rPr>
        <sz val="11"/>
        <rFont val="Arial"/>
        <family val="2"/>
      </rPr>
      <t xml:space="preserve">
LA MAGDALENA I
LAS DELICIAS
SANTA CATALINA
CALANDAIMA
GRAN BRITALIA
DINTALITO
VALLADOLID
TINTALA</t>
    </r>
  </si>
  <si>
    <r>
      <rPr>
        <b/>
        <u/>
        <sz val="11"/>
        <color rgb="FFFF0000"/>
        <rFont val="Arial"/>
        <family val="2"/>
      </rPr>
      <t>UPZ75</t>
    </r>
    <r>
      <rPr>
        <sz val="11"/>
        <rFont val="Arial"/>
        <family val="2"/>
      </rPr>
      <t xml:space="preserve">
UPZ110
UPZ 77
UPZ 114
</t>
    </r>
    <r>
      <rPr>
        <b/>
        <u/>
        <sz val="11"/>
        <color rgb="FFFF0000"/>
        <rFont val="Arial"/>
        <family val="2"/>
      </rPr>
      <t>UPZ 117</t>
    </r>
    <r>
      <rPr>
        <sz val="11"/>
        <rFont val="Arial"/>
        <family val="2"/>
      </rPr>
      <t xml:space="preserve">
UPZ 115
</t>
    </r>
    <r>
      <rPr>
        <b/>
        <u/>
        <sz val="11"/>
        <color rgb="FFFF0000"/>
        <rFont val="Arial"/>
        <family val="2"/>
      </rPr>
      <t>UPZ 112</t>
    </r>
    <r>
      <rPr>
        <sz val="11"/>
        <rFont val="Arial"/>
        <family val="2"/>
      </rPr>
      <t xml:space="preserve">
UPZ 76
</t>
    </r>
  </si>
  <si>
    <r>
      <rPr>
        <b/>
        <u/>
        <sz val="11"/>
        <color rgb="FFFF0000"/>
        <rFont val="Arial"/>
        <family val="2"/>
      </rPr>
      <t xml:space="preserve">
AEROPUERTO EL DORADO
INTERINDUSTRIAL
EL TINTAL CENTRAL</t>
    </r>
    <r>
      <rPr>
        <sz val="11"/>
        <rFont val="Arial"/>
        <family val="2"/>
      </rPr>
      <t xml:space="preserve">
SALITRE OCCIDENTAL
FERROCAJA FONTIBON 
CIUDAD HAYUELOS
KASANDRA
VILLA CARMENZA
EL CHANCO I
SAN JOSE DE FONTIBON
CAPELLANÍA
VILLA ALSACIA
LOS ALAMOS
SANTA CECILIA
MONTEVIDEO
ZONA FRANCA
LA LAGUNA FONTIBÓN
BELEN FONTIBÓN
SABANA GRANDE
SAN PABLO JERICO
MODELIA
BOSQUE DE MODELIA</t>
    </r>
  </si>
  <si>
    <r>
      <t xml:space="preserve">UPZ17
UPZ27
UPZ71
UPZ28
</t>
    </r>
    <r>
      <rPr>
        <b/>
        <u/>
        <sz val="11"/>
        <color rgb="FFFF0000"/>
        <rFont val="Arial"/>
        <family val="2"/>
      </rPr>
      <t>UPZ23
UPZ18
UPZ19</t>
    </r>
    <r>
      <rPr>
        <sz val="11"/>
        <rFont val="Arial"/>
        <family val="2"/>
      </rPr>
      <t xml:space="preserve">
UPZ24
</t>
    </r>
  </si>
  <si>
    <r>
      <rPr>
        <b/>
        <u/>
        <sz val="11"/>
        <color rgb="FFFF0000"/>
        <rFont val="Arial"/>
        <family val="2"/>
      </rPr>
      <t xml:space="preserve">
CASA BLANCA SUBA I
EL PLAN
BRITALIA
PRADO VERANIEGO NORTE</t>
    </r>
    <r>
      <rPr>
        <sz val="11"/>
        <rFont val="Arial"/>
        <family val="2"/>
      </rPr>
      <t xml:space="preserve">
VEREDA SUBA CERROS II-TUNA BAJA-EL PLAN-VEREDA SUBA NARANJOS-SAN JOSE DEL PRADO-LECH WALESA
CIUDAD JARDIN NORTE
SALITRE SUBA
SAN CARLOS DE SUBA
SUBA CERROS
TIBABUYES II
VILLA DEL PRADO
ALTOS DE CHOZICA
CIUDAD HUNZA
SANTA HELENA
LAS FLORES
EL PINO
</t>
    </r>
  </si>
  <si>
    <r>
      <t xml:space="preserve">UPZ 36
</t>
    </r>
    <r>
      <rPr>
        <b/>
        <u/>
        <sz val="11"/>
        <color rgb="FFFF0000"/>
        <rFont val="Arial"/>
        <family val="2"/>
      </rPr>
      <t>UPZ 54</t>
    </r>
    <r>
      <rPr>
        <sz val="11"/>
        <rFont val="Arial"/>
        <family val="2"/>
      </rPr>
      <t xml:space="preserve">
UPZ 55
UPZ39
UPZ 53</t>
    </r>
  </si>
  <si>
    <r>
      <rPr>
        <b/>
        <u/>
        <sz val="11"/>
        <color rgb="FFFF0000"/>
        <rFont val="Arial"/>
        <family val="2"/>
      </rPr>
      <t>PUERTO RICO</t>
    </r>
    <r>
      <rPr>
        <sz val="11"/>
        <rFont val="Arial"/>
        <family val="2"/>
      </rPr>
      <t xml:space="preserve">
MARCO FIDEL SUAREZ I
PALERMO SUR
SAN LUIS
CALLEJON SANTA BARBARA
GRANJAS SAN PABLO
OLAYA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</si>
</sst>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4" formatCode="_-&quot;$&quot;\ * #,##0.00_-;\-&quot;$&quot;\ * #,##0.00_-;_-&quot;$&quot;\ * &quot;-&quot;??_-;_-@_-"/>
    <numFmt numFmtId="43" formatCode="_-* #,##0.00_-;\-* #,##0.00_-;_-* &quot;-&quot;??_-;_-@_-"/>
    <numFmt numFmtId="164" formatCode="&quot;$&quot;#,##0.00;[Red]\-&quot;$&quot;#,##0.00"/>
    <numFmt numFmtId="165" formatCode="_-* #,##0\ _€_-;\-* #,##0\ _€_-;_-* &quot;-&quot;??\ _€_-;_-@"/>
    <numFmt numFmtId="166" formatCode="_-* #,##0.00\ _€_-;\-* #,##0.00\ _€_-;_-* &quot;-&quot;??\ _€_-;_-@"/>
    <numFmt numFmtId="167" formatCode="#,##0.00_ ;\-#,##0.00\ "/>
    <numFmt numFmtId="168" formatCode="#,##0.000"/>
    <numFmt numFmtId="169" formatCode="#,##0_ ;\-#,##0\ "/>
    <numFmt numFmtId="170" formatCode="#,##0.0"/>
    <numFmt numFmtId="171" formatCode="_-* #,##0_-;\-* #,##0_-;_-* &quot;-&quot;_-;_-@"/>
    <numFmt numFmtId="172" formatCode="_-* #,##0.00_-;\-* #,##0.00_-;_-* &quot;-&quot;??_-;_-@"/>
    <numFmt numFmtId="173" formatCode="&quot;$&quot;\ #,##0.00"/>
    <numFmt numFmtId="174" formatCode="&quot;$&quot;\ #,##0"/>
    <numFmt numFmtId="175" formatCode="_-&quot;$&quot;\ * #,##0_-;\-&quot;$&quot;\ * #,##0_-;_-&quot;$&quot;\ * &quot;-&quot;_-;_-@"/>
    <numFmt numFmtId="176" formatCode="#,##0.000;\-#,##0.000"/>
    <numFmt numFmtId="177" formatCode="#,##0.0;\-#,##0.0"/>
    <numFmt numFmtId="178" formatCode="#,##0.0000"/>
    <numFmt numFmtId="179" formatCode="#,##0.0\ _€;\-#,##0.0\ _€"/>
    <numFmt numFmtId="180" formatCode="&quot;$&quot;\ #,##0.0"/>
    <numFmt numFmtId="181" formatCode="0.0%"/>
    <numFmt numFmtId="182" formatCode="_-&quot;$&quot;\ * #,##0_-;\-&quot;$&quot;\ * #,##0_-;_-&quot;$&quot;\ * &quot;-&quot;??_-;_-@"/>
    <numFmt numFmtId="183" formatCode="_-* #,##0.00\ &quot;€&quot;_-;\-* #,##0.00\ &quot;€&quot;_-;_-* &quot;-&quot;??\ &quot;€&quot;_-;_-@"/>
    <numFmt numFmtId="184" formatCode="_-* #,##0.000_-;\-* #,##0.000_-;_-* &quot;-&quot;??_-;_-@"/>
    <numFmt numFmtId="185" formatCode="0.000"/>
    <numFmt numFmtId="186" formatCode="_-&quot;$&quot;* #,##0.00_-;\-&quot;$&quot;* #,##0.00_-;_-&quot;$&quot;* &quot;-&quot;??_-;_-@"/>
    <numFmt numFmtId="187" formatCode="_-* #,##0_-;\-* #,##0_-;_-* &quot;-&quot;??_-;_-@"/>
    <numFmt numFmtId="188" formatCode="_-* #,##0.0000\ _€_-;\-* #,##0.0000\ _€_-;_-* &quot;-&quot;??\ _€_-;_-@"/>
    <numFmt numFmtId="189" formatCode="0.0"/>
  </numFmts>
  <fonts count="77" x14ac:knownFonts="1">
    <font>
      <sz val="11"/>
      <color theme="1"/>
      <name val="Calibri"/>
      <scheme val="minor"/>
    </font>
    <font>
      <sz val="11"/>
      <color theme="1"/>
      <name val="Calibri"/>
      <family val="2"/>
      <scheme val="minor"/>
    </font>
    <font>
      <sz val="11"/>
      <color theme="1"/>
      <name val="Calibri"/>
      <family val="2"/>
    </font>
    <font>
      <sz val="24"/>
      <color theme="1"/>
      <name val="Calibri"/>
      <family val="2"/>
    </font>
    <font>
      <sz val="11"/>
      <name val="Calibri"/>
      <family val="2"/>
    </font>
    <font>
      <b/>
      <sz val="30"/>
      <color theme="1"/>
      <name val="Arial"/>
      <family val="2"/>
    </font>
    <font>
      <sz val="30"/>
      <color theme="1"/>
      <name val="Calibri"/>
      <family val="2"/>
    </font>
    <font>
      <b/>
      <sz val="20"/>
      <color theme="1"/>
      <name val="Arial"/>
      <family val="2"/>
    </font>
    <font>
      <sz val="20"/>
      <color theme="1"/>
      <name val="Calibri"/>
      <family val="2"/>
    </font>
    <font>
      <b/>
      <sz val="14"/>
      <color theme="1"/>
      <name val="Arial"/>
      <family val="2"/>
    </font>
    <font>
      <b/>
      <sz val="16"/>
      <color theme="1"/>
      <name val="Arial"/>
      <family val="2"/>
    </font>
    <font>
      <b/>
      <sz val="12"/>
      <color theme="1"/>
      <name val="Arial"/>
      <family val="2"/>
    </font>
    <font>
      <sz val="12"/>
      <color rgb="FF000000"/>
      <name val="Arial"/>
      <family val="2"/>
    </font>
    <font>
      <sz val="12"/>
      <color theme="1"/>
      <name val="Arial"/>
      <family val="2"/>
    </font>
    <font>
      <sz val="14"/>
      <color theme="1"/>
      <name val="Arial"/>
      <family val="2"/>
    </font>
    <font>
      <sz val="14"/>
      <color rgb="FF000000"/>
      <name val="Arial"/>
      <family val="2"/>
    </font>
    <font>
      <sz val="14"/>
      <color theme="1"/>
      <name val="Calibri"/>
      <family val="2"/>
    </font>
    <font>
      <sz val="11"/>
      <color theme="1"/>
      <name val="Arial"/>
      <family val="2"/>
    </font>
    <font>
      <sz val="11"/>
      <color rgb="FF000000"/>
      <name val="Calibri"/>
      <family val="2"/>
    </font>
    <font>
      <sz val="10"/>
      <color theme="1"/>
      <name val="Times New Roman"/>
      <family val="1"/>
    </font>
    <font>
      <b/>
      <sz val="12"/>
      <color rgb="FF000000"/>
      <name val="Arial"/>
      <family val="2"/>
    </font>
    <font>
      <b/>
      <sz val="14"/>
      <color theme="1"/>
      <name val="Calibri"/>
      <family val="2"/>
    </font>
    <font>
      <b/>
      <sz val="18"/>
      <color theme="1"/>
      <name val="Calibri"/>
      <family val="2"/>
    </font>
    <font>
      <b/>
      <sz val="11"/>
      <color theme="1"/>
      <name val="Calibri"/>
      <family val="2"/>
    </font>
    <font>
      <b/>
      <sz val="20"/>
      <color theme="1"/>
      <name val="Calibri"/>
      <family val="2"/>
    </font>
    <font>
      <sz val="12"/>
      <color theme="1"/>
      <name val="Calibri"/>
      <family val="2"/>
    </font>
    <font>
      <sz val="30"/>
      <color theme="1"/>
      <name val="Arial"/>
      <family val="2"/>
    </font>
    <font>
      <sz val="10"/>
      <color theme="1"/>
      <name val="Arial"/>
      <family val="2"/>
    </font>
    <font>
      <sz val="8"/>
      <color theme="1"/>
      <name val="Arial"/>
      <family val="2"/>
    </font>
    <font>
      <b/>
      <sz val="11"/>
      <color theme="1"/>
      <name val="Arial"/>
      <family val="2"/>
    </font>
    <font>
      <sz val="9"/>
      <color theme="1"/>
      <name val="Arial"/>
      <family val="2"/>
    </font>
    <font>
      <sz val="9"/>
      <color rgb="FF000000"/>
      <name val="Arial"/>
      <family val="2"/>
    </font>
    <font>
      <b/>
      <sz val="14"/>
      <color theme="0"/>
      <name val="Calibri"/>
      <family val="2"/>
    </font>
    <font>
      <b/>
      <sz val="22"/>
      <color theme="1"/>
      <name val="Arial"/>
      <family val="2"/>
    </font>
    <font>
      <sz val="22"/>
      <color theme="1"/>
      <name val="Arial"/>
      <family val="2"/>
    </font>
    <font>
      <b/>
      <sz val="10"/>
      <color theme="1"/>
      <name val="Arial"/>
      <family val="2"/>
    </font>
    <font>
      <b/>
      <sz val="8"/>
      <color theme="1"/>
      <name val="Arial"/>
      <family val="2"/>
    </font>
    <font>
      <sz val="9"/>
      <color theme="1"/>
      <name val="Calibri"/>
      <family val="2"/>
    </font>
    <font>
      <b/>
      <sz val="14"/>
      <color rgb="FF000000"/>
      <name val="Arial"/>
      <family val="2"/>
    </font>
    <font>
      <b/>
      <u/>
      <sz val="10"/>
      <color theme="1"/>
      <name val="Arial"/>
      <family val="2"/>
    </font>
    <font>
      <sz val="10"/>
      <color theme="1"/>
      <name val="Calibri"/>
      <family val="2"/>
    </font>
    <font>
      <sz val="7"/>
      <color theme="1"/>
      <name val="Arial"/>
      <family val="2"/>
    </font>
    <font>
      <sz val="8"/>
      <color theme="1"/>
      <name val="Calibri"/>
      <family val="2"/>
    </font>
    <font>
      <b/>
      <sz val="9"/>
      <color theme="1"/>
      <name val="Arial"/>
      <family val="2"/>
    </font>
    <font>
      <sz val="10"/>
      <color rgb="FFFF0000"/>
      <name val="Arial"/>
      <family val="2"/>
    </font>
    <font>
      <b/>
      <sz val="24"/>
      <color theme="1"/>
      <name val="Arial"/>
      <family val="2"/>
    </font>
    <font>
      <sz val="11"/>
      <color theme="1"/>
      <name val="Calibri"/>
      <family val="2"/>
      <scheme val="minor"/>
    </font>
    <font>
      <sz val="11"/>
      <color theme="1"/>
      <name val="Arial Narrow"/>
      <family val="2"/>
    </font>
    <font>
      <sz val="11"/>
      <color theme="0"/>
      <name val="Calibri"/>
      <family val="2"/>
    </font>
    <font>
      <b/>
      <sz val="22"/>
      <color theme="1"/>
      <name val="Calibri"/>
      <family val="2"/>
    </font>
    <font>
      <sz val="14"/>
      <color theme="1"/>
      <name val="Tahoma"/>
      <family val="2"/>
    </font>
    <font>
      <b/>
      <sz val="14"/>
      <color theme="1"/>
      <name val="Tahoma"/>
      <family val="2"/>
    </font>
    <font>
      <b/>
      <sz val="20"/>
      <color rgb="FFFF0000"/>
      <name val="Arial"/>
      <family val="2"/>
    </font>
    <font>
      <b/>
      <u/>
      <sz val="12"/>
      <color theme="1"/>
      <name val="Arial"/>
      <family val="2"/>
    </font>
    <font>
      <sz val="9"/>
      <color rgb="FFFF0000"/>
      <name val="Arial"/>
      <family val="2"/>
    </font>
    <font>
      <sz val="11"/>
      <color theme="1"/>
      <name val="Calibri"/>
      <family val="2"/>
      <scheme val="minor"/>
    </font>
    <font>
      <sz val="11"/>
      <color theme="1"/>
      <name val="Arial"/>
      <family val="2"/>
    </font>
    <font>
      <sz val="11"/>
      <color rgb="FF000000"/>
      <name val="Arial"/>
      <family val="2"/>
    </font>
    <font>
      <sz val="9"/>
      <color theme="1"/>
      <name val="Arial"/>
      <family val="2"/>
    </font>
    <font>
      <sz val="9"/>
      <color theme="1"/>
      <name val="Calibri"/>
      <family val="2"/>
    </font>
    <font>
      <sz val="11"/>
      <name val="Calibri"/>
      <family val="2"/>
    </font>
    <font>
      <sz val="9"/>
      <name val="Arial"/>
      <family val="2"/>
    </font>
    <font>
      <b/>
      <sz val="9"/>
      <name val="Arial"/>
      <family val="2"/>
    </font>
    <font>
      <u/>
      <sz val="11"/>
      <name val="Calibri"/>
      <family val="2"/>
    </font>
    <font>
      <sz val="11"/>
      <name val="Arial"/>
      <family val="2"/>
    </font>
    <font>
      <u/>
      <sz val="11"/>
      <color theme="10"/>
      <name val="Calibri"/>
      <family val="2"/>
      <scheme val="minor"/>
    </font>
    <font>
      <sz val="9"/>
      <color theme="1"/>
      <name val="Arial"/>
      <family val="2"/>
    </font>
    <font>
      <sz val="11"/>
      <name val="Calibri"/>
      <family val="2"/>
    </font>
    <font>
      <u/>
      <sz val="9"/>
      <name val="Arial"/>
      <family val="2"/>
    </font>
    <font>
      <sz val="11"/>
      <color theme="1"/>
      <name val="Calibri"/>
      <family val="2"/>
      <scheme val="minor"/>
    </font>
    <font>
      <sz val="14"/>
      <name val="Arial"/>
      <family val="2"/>
    </font>
    <font>
      <sz val="11"/>
      <color theme="1"/>
      <name val="Calibri"/>
      <family val="2"/>
      <scheme val="minor"/>
    </font>
    <font>
      <u/>
      <sz val="11"/>
      <color theme="1"/>
      <name val="Calibri"/>
      <family val="2"/>
      <scheme val="minor"/>
    </font>
    <font>
      <b/>
      <u/>
      <sz val="11"/>
      <color rgb="FFFF0000"/>
      <name val="Calibri"/>
      <family val="2"/>
    </font>
    <font>
      <b/>
      <sz val="11"/>
      <name val="Calibri"/>
      <family val="2"/>
    </font>
    <font>
      <b/>
      <sz val="11"/>
      <name val="Arial"/>
      <family val="2"/>
    </font>
    <font>
      <b/>
      <u/>
      <sz val="11"/>
      <color rgb="FFFF0000"/>
      <name val="Arial"/>
      <family val="2"/>
    </font>
  </fonts>
  <fills count="27">
    <fill>
      <patternFill patternType="none"/>
    </fill>
    <fill>
      <patternFill patternType="gray125"/>
    </fill>
    <fill>
      <patternFill patternType="solid">
        <fgColor theme="0"/>
        <bgColor theme="0"/>
      </patternFill>
    </fill>
    <fill>
      <patternFill patternType="solid">
        <fgColor rgb="FF66FFFF"/>
        <bgColor rgb="FF66FFFF"/>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FFFF00"/>
        <bgColor rgb="FFFFFF00"/>
      </patternFill>
    </fill>
    <fill>
      <patternFill patternType="solid">
        <fgColor rgb="FFD8D8D8"/>
        <bgColor rgb="FFD8D8D8"/>
      </patternFill>
    </fill>
    <fill>
      <patternFill patternType="solid">
        <fgColor rgb="FFFFFFFF"/>
        <bgColor rgb="FFFFFFFF"/>
      </patternFill>
    </fill>
    <fill>
      <patternFill patternType="solid">
        <fgColor rgb="FF9999FF"/>
        <bgColor rgb="FF9999FF"/>
      </patternFill>
    </fill>
    <fill>
      <patternFill patternType="solid">
        <fgColor rgb="FF7EE5F0"/>
        <bgColor rgb="FF7EE5F0"/>
      </patternFill>
    </fill>
    <fill>
      <patternFill patternType="solid">
        <fgColor rgb="FF75DBFF"/>
        <bgColor rgb="FF75DBFF"/>
      </patternFill>
    </fill>
    <fill>
      <patternFill patternType="solid">
        <fgColor rgb="FFA5A5A5"/>
        <bgColor rgb="FFA5A5A5"/>
      </patternFill>
    </fill>
    <fill>
      <patternFill patternType="solid">
        <fgColor rgb="FFD9D9D9"/>
        <bgColor rgb="FFD9D9D9"/>
      </patternFill>
    </fill>
    <fill>
      <patternFill patternType="solid">
        <fgColor rgb="FF87F7CA"/>
        <bgColor indexed="64"/>
      </patternFill>
    </fill>
    <fill>
      <patternFill patternType="solid">
        <fgColor theme="0"/>
        <bgColor indexed="64"/>
      </patternFill>
    </fill>
    <fill>
      <patternFill patternType="solid">
        <fgColor theme="0"/>
        <bgColor rgb="FF66FFFF"/>
      </patternFill>
    </fill>
    <fill>
      <patternFill patternType="solid">
        <fgColor theme="0"/>
        <bgColor rgb="FF00FFFF"/>
      </patternFill>
    </fill>
    <fill>
      <patternFill patternType="solid">
        <fgColor theme="0"/>
        <bgColor rgb="FFFFFFFF"/>
      </patternFill>
    </fill>
    <fill>
      <patternFill patternType="solid">
        <fgColor theme="0"/>
        <bgColor rgb="FFD8D8D8"/>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s>
  <borders count="197">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right style="medium">
        <color rgb="FF000000"/>
      </right>
      <top/>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bottom/>
      <diagonal/>
    </border>
    <border>
      <left/>
      <right/>
      <top style="medium">
        <color rgb="FF000000"/>
      </top>
      <bottom style="thin">
        <color rgb="FF000000"/>
      </bottom>
      <diagonal/>
    </border>
    <border>
      <left/>
      <right/>
      <top/>
      <bottom/>
      <diagonal/>
    </border>
    <border>
      <left/>
      <right/>
      <top style="thin">
        <color rgb="FF000000"/>
      </top>
      <bottom style="thin">
        <color rgb="FF000000"/>
      </bottom>
      <diagonal/>
    </border>
    <border>
      <left/>
      <right/>
      <top/>
      <bottom/>
      <diagonal/>
    </border>
    <border>
      <left/>
      <right/>
      <top style="thin">
        <color rgb="FF000000"/>
      </top>
      <bottom/>
      <diagonal/>
    </border>
    <border>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bottom/>
      <diagonal/>
    </border>
    <border>
      <left style="thin">
        <color rgb="FF000000"/>
      </left>
      <right/>
      <top/>
      <bottom/>
      <diagonal/>
    </border>
    <border>
      <left style="medium">
        <color rgb="FF000000"/>
      </left>
      <right/>
      <top/>
      <bottom/>
      <diagonal/>
    </border>
    <border>
      <left/>
      <right/>
      <top/>
      <bottom/>
      <diagonal/>
    </border>
    <border>
      <left/>
      <right/>
      <top/>
      <bottom/>
      <diagonal/>
    </border>
    <border>
      <left style="medium">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right/>
      <top/>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bottom/>
      <diagonal/>
    </border>
    <border>
      <left/>
      <right/>
      <top/>
      <bottom/>
      <diagonal/>
    </border>
    <border>
      <left/>
      <right style="medium">
        <color rgb="FF000000"/>
      </right>
      <top/>
      <bottom/>
      <diagonal/>
    </border>
    <border>
      <left/>
      <right/>
      <top style="medium">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thin">
        <color rgb="FF000000"/>
      </right>
      <top/>
      <bottom/>
      <diagonal/>
    </border>
    <border>
      <left style="medium">
        <color rgb="FF000000"/>
      </left>
      <right style="medium">
        <color rgb="FF000000"/>
      </right>
      <top/>
      <bottom style="medium">
        <color rgb="FF000000"/>
      </bottom>
      <diagonal/>
    </border>
    <border>
      <left/>
      <right style="thin">
        <color rgb="FF000000"/>
      </right>
      <top style="thin">
        <color rgb="FF000000"/>
      </top>
      <bottom/>
      <diagonal/>
    </border>
    <border>
      <left style="thin">
        <color rgb="FF000000"/>
      </left>
      <right style="thin">
        <color rgb="FF000000"/>
      </right>
      <top/>
      <bottom style="medium">
        <color rgb="FF000000"/>
      </bottom>
      <diagonal/>
    </border>
    <border>
      <left/>
      <right style="thin">
        <color rgb="FF000000"/>
      </right>
      <top style="thin">
        <color rgb="FF000000"/>
      </top>
      <bottom style="thin">
        <color rgb="FF000000"/>
      </bottom>
      <diagonal/>
    </border>
    <border>
      <left style="thin">
        <color rgb="FF000000"/>
      </left>
      <right style="medium">
        <color rgb="FF000000"/>
      </right>
      <top/>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style="medium">
        <color rgb="FF000000"/>
      </bottom>
      <diagonal/>
    </border>
    <border>
      <left style="medium">
        <color rgb="FF000000"/>
      </left>
      <right/>
      <top style="thin">
        <color rgb="FF000000"/>
      </top>
      <bottom/>
      <diagonal/>
    </border>
    <border>
      <left/>
      <right style="thin">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style="thin">
        <color rgb="FF000000"/>
      </right>
      <top style="medium">
        <color rgb="FF000000"/>
      </top>
      <bottom/>
      <diagonal/>
    </border>
    <border>
      <left/>
      <right/>
      <top style="medium">
        <color rgb="FF000000"/>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right/>
      <top style="medium">
        <color rgb="FF000000"/>
      </top>
      <bottom/>
      <diagonal/>
    </border>
    <border>
      <left style="medium">
        <color rgb="FF000000"/>
      </left>
      <right style="thin">
        <color rgb="FF000000"/>
      </right>
      <top style="thin">
        <color rgb="FF000000"/>
      </top>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diagonal/>
    </border>
    <border>
      <left style="medium">
        <color rgb="FF000000"/>
      </left>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top/>
      <bottom style="medium">
        <color indexed="64"/>
      </bottom>
      <diagonal/>
    </border>
    <border>
      <left style="medium">
        <color rgb="FF000000"/>
      </left>
      <right/>
      <top/>
      <bottom style="medium">
        <color indexed="64"/>
      </bottom>
      <diagonal/>
    </border>
    <border>
      <left style="thin">
        <color rgb="FF000000"/>
      </left>
      <right style="medium">
        <color indexed="64"/>
      </right>
      <top/>
      <bottom style="medium">
        <color indexed="64"/>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style="thin">
        <color rgb="FF000000"/>
      </left>
      <right/>
      <top style="medium">
        <color rgb="FF000000"/>
      </top>
      <bottom style="medium">
        <color rgb="FF000000"/>
      </bottom>
      <diagonal/>
    </border>
    <border>
      <left style="medium">
        <color indexed="64"/>
      </left>
      <right style="medium">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s>
  <cellStyleXfs count="5">
    <xf numFmtId="0" fontId="0" fillId="0" borderId="0"/>
    <xf numFmtId="44" fontId="55" fillId="0" borderId="0" applyFont="0" applyFill="0" applyBorder="0" applyAlignment="0" applyProtection="0"/>
    <xf numFmtId="0" fontId="65" fillId="0" borderId="0" applyNumberFormat="0" applyFill="0" applyBorder="0" applyAlignment="0" applyProtection="0"/>
    <xf numFmtId="43" fontId="69" fillId="0" borderId="0" applyFont="0" applyFill="0" applyBorder="0" applyAlignment="0" applyProtection="0"/>
    <xf numFmtId="9" fontId="71" fillId="0" borderId="0" applyFont="0" applyFill="0" applyBorder="0" applyAlignment="0" applyProtection="0"/>
  </cellStyleXfs>
  <cellXfs count="1448">
    <xf numFmtId="0" fontId="0" fillId="0" borderId="0" xfId="0"/>
    <xf numFmtId="0" fontId="2" fillId="2" borderId="1" xfId="0" applyFont="1" applyFill="1" applyBorder="1"/>
    <xf numFmtId="0" fontId="2" fillId="2" borderId="1" xfId="0" applyFont="1" applyFill="1" applyBorder="1" applyAlignment="1">
      <alignment horizontal="center"/>
    </xf>
    <xf numFmtId="0" fontId="2" fillId="0" borderId="0" xfId="0" applyFont="1" applyAlignment="1">
      <alignment horizontal="center"/>
    </xf>
    <xf numFmtId="0" fontId="2" fillId="3" borderId="1" xfId="0" applyFont="1" applyFill="1" applyBorder="1" applyAlignment="1">
      <alignment horizontal="center"/>
    </xf>
    <xf numFmtId="0" fontId="3" fillId="0" borderId="0" xfId="0" applyFont="1"/>
    <xf numFmtId="0" fontId="8" fillId="0" borderId="0" xfId="0" applyFont="1"/>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2" fillId="0" borderId="0" xfId="0" applyFont="1"/>
    <xf numFmtId="0" fontId="13" fillId="4" borderId="30" xfId="0" applyFont="1" applyFill="1" applyBorder="1" applyAlignment="1">
      <alignment vertical="center" wrapText="1"/>
    </xf>
    <xf numFmtId="0" fontId="13" fillId="4" borderId="31" xfId="0" applyFont="1" applyFill="1" applyBorder="1" applyAlignment="1">
      <alignment vertical="center" wrapText="1"/>
    </xf>
    <xf numFmtId="0" fontId="13" fillId="5" borderId="32" xfId="0" applyFont="1" applyFill="1" applyBorder="1" applyAlignment="1">
      <alignment horizontal="center" vertical="center" wrapText="1"/>
    </xf>
    <xf numFmtId="0" fontId="13" fillId="5" borderId="33"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4"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9" borderId="36"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8" borderId="35" xfId="0" applyFont="1" applyFill="1" applyBorder="1" applyAlignment="1">
      <alignment horizontal="center" vertical="center" wrapText="1"/>
    </xf>
    <xf numFmtId="0" fontId="11" fillId="9" borderId="35" xfId="0" applyFont="1" applyFill="1" applyBorder="1" applyAlignment="1">
      <alignment horizontal="center" vertical="center" wrapText="1"/>
    </xf>
    <xf numFmtId="0" fontId="13" fillId="5" borderId="30" xfId="0" applyFont="1" applyFill="1" applyBorder="1" applyAlignment="1">
      <alignment horizontal="center" vertical="center" wrapText="1"/>
    </xf>
    <xf numFmtId="0" fontId="11" fillId="9" borderId="37"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9" borderId="34"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2" fillId="0" borderId="43"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0" fontId="14" fillId="0" borderId="0" xfId="0" applyFont="1" applyAlignment="1">
      <alignment horizontal="center" vertical="top" wrapText="1"/>
    </xf>
    <xf numFmtId="0" fontId="12" fillId="0" borderId="0" xfId="0" applyFont="1" applyAlignment="1">
      <alignment vertical="center"/>
    </xf>
    <xf numFmtId="0" fontId="12" fillId="0" borderId="0" xfId="0" applyFont="1" applyAlignment="1">
      <alignment horizontal="left" vertical="top" wrapText="1"/>
    </xf>
    <xf numFmtId="0" fontId="19" fillId="0" borderId="0" xfId="0" applyFont="1" applyAlignment="1">
      <alignment horizontal="center" vertical="center"/>
    </xf>
    <xf numFmtId="165" fontId="12" fillId="0" borderId="0" xfId="0" applyNumberFormat="1" applyFont="1" applyAlignment="1">
      <alignment horizontal="center" vertical="center"/>
    </xf>
    <xf numFmtId="2" fontId="12" fillId="0" borderId="0" xfId="0" applyNumberFormat="1" applyFont="1" applyAlignment="1">
      <alignment horizontal="center" vertical="center"/>
    </xf>
    <xf numFmtId="0" fontId="12" fillId="2" borderId="1" xfId="0" applyFont="1" applyFill="1" applyBorder="1" applyAlignment="1">
      <alignment horizontal="center" vertical="center"/>
    </xf>
    <xf numFmtId="170" fontId="14" fillId="0" borderId="0" xfId="0" applyNumberFormat="1" applyFont="1" applyAlignment="1">
      <alignment horizontal="center" vertical="center" wrapText="1"/>
    </xf>
    <xf numFmtId="2" fontId="20" fillId="2" borderId="1" xfId="0" applyNumberFormat="1" applyFont="1" applyFill="1" applyBorder="1" applyAlignment="1">
      <alignment horizontal="center" vertical="center"/>
    </xf>
    <xf numFmtId="2" fontId="12" fillId="2" borderId="1" xfId="0" applyNumberFormat="1" applyFont="1" applyFill="1" applyBorder="1" applyAlignment="1">
      <alignment horizontal="center" vertical="center"/>
    </xf>
    <xf numFmtId="0" fontId="15" fillId="0" borderId="0" xfId="0" applyFont="1" applyAlignment="1">
      <alignment horizontal="center" vertical="center"/>
    </xf>
    <xf numFmtId="37" fontId="12" fillId="0" borderId="0" xfId="0" applyNumberFormat="1" applyFont="1" applyAlignment="1">
      <alignment horizontal="center" vertical="center"/>
    </xf>
    <xf numFmtId="9" fontId="21" fillId="0" borderId="0" xfId="0" applyNumberFormat="1" applyFont="1" applyAlignment="1">
      <alignment horizontal="center" vertical="center"/>
    </xf>
    <xf numFmtId="10" fontId="21" fillId="0" borderId="0" xfId="0" applyNumberFormat="1" applyFont="1" applyAlignment="1">
      <alignment horizontal="center" vertical="center" wrapText="1"/>
    </xf>
    <xf numFmtId="10" fontId="22" fillId="0" borderId="0" xfId="0" applyNumberFormat="1" applyFont="1" applyAlignment="1">
      <alignment horizontal="center" vertical="center" wrapText="1"/>
    </xf>
    <xf numFmtId="0" fontId="12" fillId="0" borderId="0" xfId="0" applyFont="1" applyAlignment="1">
      <alignment vertical="center" wrapText="1"/>
    </xf>
    <xf numFmtId="0" fontId="2" fillId="2" borderId="1" xfId="0" applyFont="1" applyFill="1" applyBorder="1" applyAlignment="1">
      <alignment horizontal="center" vertical="center" wrapText="1"/>
    </xf>
    <xf numFmtId="0" fontId="18" fillId="0" borderId="0" xfId="0" applyFont="1" applyAlignment="1">
      <alignment horizontal="left" vertical="top" wrapText="1"/>
    </xf>
    <xf numFmtId="0" fontId="18" fillId="0" borderId="0" xfId="0" applyFont="1" applyAlignment="1">
      <alignment horizontal="center" vertical="center" wrapText="1"/>
    </xf>
    <xf numFmtId="0" fontId="23" fillId="2" borderId="1" xfId="0" applyFont="1" applyFill="1" applyBorder="1"/>
    <xf numFmtId="171" fontId="2" fillId="0" borderId="0" xfId="0" applyNumberFormat="1" applyFont="1" applyAlignment="1">
      <alignment horizontal="center"/>
    </xf>
    <xf numFmtId="2" fontId="2" fillId="0" borderId="0" xfId="0" applyNumberFormat="1" applyFont="1" applyAlignment="1">
      <alignment horizontal="center"/>
    </xf>
    <xf numFmtId="172" fontId="24" fillId="0" borderId="0" xfId="0" applyNumberFormat="1" applyFont="1"/>
    <xf numFmtId="172" fontId="2" fillId="2" borderId="1" xfId="0" applyNumberFormat="1" applyFont="1" applyFill="1" applyBorder="1" applyAlignment="1">
      <alignment horizontal="center"/>
    </xf>
    <xf numFmtId="172" fontId="2" fillId="0" borderId="0" xfId="0" applyNumberFormat="1" applyFont="1" applyAlignment="1">
      <alignment horizontal="center"/>
    </xf>
    <xf numFmtId="37" fontId="2" fillId="0" borderId="0" xfId="0" applyNumberFormat="1" applyFont="1" applyAlignment="1">
      <alignment horizontal="center"/>
    </xf>
    <xf numFmtId="0" fontId="25" fillId="2" borderId="1" xfId="0" applyFont="1" applyFill="1" applyBorder="1" applyAlignment="1">
      <alignment vertical="top" wrapText="1"/>
    </xf>
    <xf numFmtId="0" fontId="23" fillId="11" borderId="43" xfId="0" applyFont="1" applyFill="1" applyBorder="1" applyAlignment="1">
      <alignment horizontal="center" vertical="center"/>
    </xf>
    <xf numFmtId="0" fontId="2" fillId="0" borderId="43" xfId="0" applyFont="1" applyBorder="1" applyAlignment="1">
      <alignment horizontal="center" vertical="center"/>
    </xf>
    <xf numFmtId="0" fontId="3" fillId="2" borderId="1" xfId="0" applyFont="1" applyFill="1" applyBorder="1"/>
    <xf numFmtId="0" fontId="8" fillId="2" borderId="1" xfId="0" applyFont="1" applyFill="1" applyBorder="1"/>
    <xf numFmtId="0" fontId="27" fillId="2" borderId="1" xfId="0" applyFont="1" applyFill="1" applyBorder="1"/>
    <xf numFmtId="0" fontId="28" fillId="2" borderId="1" xfId="0" applyFont="1" applyFill="1" applyBorder="1"/>
    <xf numFmtId="0" fontId="13" fillId="2" borderId="1" xfId="0" applyFont="1" applyFill="1" applyBorder="1" applyAlignment="1">
      <alignment horizontal="center"/>
    </xf>
    <xf numFmtId="0" fontId="11" fillId="2" borderId="1" xfId="0" applyFont="1" applyFill="1" applyBorder="1" applyAlignment="1">
      <alignment horizontal="center"/>
    </xf>
    <xf numFmtId="0" fontId="13" fillId="0" borderId="0" xfId="0" applyFont="1" applyAlignment="1">
      <alignment horizontal="center"/>
    </xf>
    <xf numFmtId="165" fontId="2" fillId="2" borderId="1" xfId="0" applyNumberFormat="1" applyFont="1" applyFill="1" applyBorder="1" applyAlignment="1">
      <alignment horizontal="center"/>
    </xf>
    <xf numFmtId="0" fontId="17" fillId="4" borderId="59" xfId="0" applyFont="1" applyFill="1" applyBorder="1" applyAlignment="1">
      <alignment horizontal="center" vertical="center" wrapText="1"/>
    </xf>
    <xf numFmtId="0" fontId="17" fillId="4" borderId="60" xfId="0" applyFont="1" applyFill="1" applyBorder="1" applyAlignment="1">
      <alignment horizontal="center" vertical="center" wrapText="1"/>
    </xf>
    <xf numFmtId="0" fontId="29" fillId="4" borderId="61" xfId="0" applyFont="1" applyFill="1" applyBorder="1" applyAlignment="1">
      <alignment horizontal="center" vertical="center" wrapText="1"/>
    </xf>
    <xf numFmtId="0" fontId="30" fillId="4" borderId="63" xfId="0" applyFont="1" applyFill="1" applyBorder="1" applyAlignment="1">
      <alignment horizontal="left" vertical="center" wrapText="1"/>
    </xf>
    <xf numFmtId="9" fontId="2" fillId="0" borderId="43" xfId="0" applyNumberFormat="1" applyFont="1" applyBorder="1" applyAlignment="1">
      <alignment horizontal="center" vertical="center"/>
    </xf>
    <xf numFmtId="0" fontId="2" fillId="2" borderId="1" xfId="0" applyFont="1" applyFill="1" applyBorder="1" applyAlignment="1">
      <alignment horizontal="center" vertical="center"/>
    </xf>
    <xf numFmtId="173" fontId="30" fillId="5" borderId="65" xfId="0" applyNumberFormat="1" applyFont="1" applyFill="1" applyBorder="1" applyAlignment="1">
      <alignment horizontal="center" vertical="center" wrapText="1"/>
    </xf>
    <xf numFmtId="173" fontId="2" fillId="2" borderId="1" xfId="0" applyNumberFormat="1" applyFont="1" applyFill="1" applyBorder="1" applyAlignment="1">
      <alignment horizontal="center" vertical="center"/>
    </xf>
    <xf numFmtId="173" fontId="27" fillId="6" borderId="65" xfId="0" applyNumberFormat="1" applyFont="1" applyFill="1" applyBorder="1" applyAlignment="1">
      <alignment horizontal="center" vertical="center" wrapText="1"/>
    </xf>
    <xf numFmtId="0" fontId="30" fillId="4" borderId="65" xfId="0" applyFont="1" applyFill="1" applyBorder="1" applyAlignment="1">
      <alignment horizontal="left" vertical="center" wrapText="1"/>
    </xf>
    <xf numFmtId="173" fontId="30" fillId="5" borderId="65" xfId="0" applyNumberFormat="1" applyFont="1" applyFill="1" applyBorder="1" applyAlignment="1">
      <alignment horizontal="left" vertical="center" wrapText="1"/>
    </xf>
    <xf numFmtId="173" fontId="30" fillId="5" borderId="67" xfId="0" applyNumberFormat="1" applyFont="1" applyFill="1" applyBorder="1" applyAlignment="1">
      <alignment horizontal="left" vertical="center" wrapText="1"/>
    </xf>
    <xf numFmtId="174" fontId="2" fillId="2" borderId="1" xfId="0" applyNumberFormat="1" applyFont="1" applyFill="1" applyBorder="1" applyAlignment="1">
      <alignment horizontal="center" vertical="center"/>
    </xf>
    <xf numFmtId="0" fontId="2" fillId="0" borderId="0" xfId="0" applyFont="1" applyAlignment="1">
      <alignment horizontal="center" vertical="center"/>
    </xf>
    <xf numFmtId="3" fontId="2" fillId="0" borderId="0" xfId="0" applyNumberFormat="1" applyFont="1" applyAlignment="1">
      <alignment horizontal="center" vertical="center"/>
    </xf>
    <xf numFmtId="170" fontId="2" fillId="0" borderId="0" xfId="0" applyNumberFormat="1" applyFont="1" applyAlignment="1">
      <alignment horizontal="center" vertical="center"/>
    </xf>
    <xf numFmtId="174" fontId="23" fillId="0" borderId="0" xfId="0" applyNumberFormat="1" applyFont="1" applyAlignment="1">
      <alignment horizontal="center" vertical="center"/>
    </xf>
    <xf numFmtId="173" fontId="23" fillId="2" borderId="1" xfId="0" applyNumberFormat="1" applyFont="1" applyFill="1" applyBorder="1" applyAlignment="1">
      <alignment horizontal="center" vertical="center"/>
    </xf>
    <xf numFmtId="174" fontId="23" fillId="2" borderId="1" xfId="0" applyNumberFormat="1" applyFont="1" applyFill="1" applyBorder="1" applyAlignment="1">
      <alignment horizontal="center" vertical="center"/>
    </xf>
    <xf numFmtId="173" fontId="2" fillId="0" borderId="0" xfId="0" applyNumberFormat="1" applyFont="1" applyAlignment="1">
      <alignment horizontal="center" vertical="center"/>
    </xf>
    <xf numFmtId="173" fontId="23" fillId="0" borderId="0" xfId="0" applyNumberFormat="1" applyFont="1" applyAlignment="1">
      <alignment horizontal="center" vertical="center"/>
    </xf>
    <xf numFmtId="174" fontId="2" fillId="0" borderId="0" xfId="0" applyNumberFormat="1" applyFont="1" applyAlignment="1">
      <alignment horizontal="center" vertical="center"/>
    </xf>
    <xf numFmtId="173" fontId="30" fillId="4" borderId="77" xfId="0" applyNumberFormat="1" applyFont="1" applyFill="1" applyBorder="1" applyAlignment="1">
      <alignment horizontal="center" vertical="top" wrapText="1"/>
    </xf>
    <xf numFmtId="173" fontId="2" fillId="2" borderId="1" xfId="0" applyNumberFormat="1" applyFont="1" applyFill="1" applyBorder="1" applyAlignment="1">
      <alignment horizontal="center"/>
    </xf>
    <xf numFmtId="173" fontId="2" fillId="0" borderId="0" xfId="0" applyNumberFormat="1" applyFont="1" applyAlignment="1">
      <alignment horizontal="center"/>
    </xf>
    <xf numFmtId="173" fontId="30" fillId="5" borderId="83" xfId="0" applyNumberFormat="1" applyFont="1" applyFill="1" applyBorder="1" applyAlignment="1">
      <alignment horizontal="center" vertical="top" wrapText="1"/>
    </xf>
    <xf numFmtId="173" fontId="30" fillId="4" borderId="88" xfId="0" applyNumberFormat="1" applyFont="1" applyFill="1" applyBorder="1" applyAlignment="1">
      <alignment horizontal="center" vertical="top" wrapText="1"/>
    </xf>
    <xf numFmtId="0" fontId="27" fillId="0" borderId="0" xfId="0" applyFont="1"/>
    <xf numFmtId="0" fontId="28" fillId="0" borderId="0" xfId="0" applyFont="1"/>
    <xf numFmtId="175" fontId="13" fillId="0" borderId="0" xfId="0" applyNumberFormat="1" applyFont="1" applyAlignment="1">
      <alignment horizontal="center"/>
    </xf>
    <xf numFmtId="175" fontId="11" fillId="0" borderId="0" xfId="0" applyNumberFormat="1" applyFont="1" applyAlignment="1">
      <alignment horizontal="center"/>
    </xf>
    <xf numFmtId="173" fontId="2" fillId="0" borderId="0" xfId="0" applyNumberFormat="1" applyFont="1"/>
    <xf numFmtId="175" fontId="13" fillId="2" borderId="1" xfId="0" applyNumberFormat="1" applyFont="1" applyFill="1" applyBorder="1" applyAlignment="1">
      <alignment horizontal="center"/>
    </xf>
    <xf numFmtId="173" fontId="13" fillId="0" borderId="0" xfId="0" applyNumberFormat="1" applyFont="1" applyAlignment="1">
      <alignment horizontal="center"/>
    </xf>
    <xf numFmtId="10" fontId="13" fillId="0" borderId="0" xfId="0" applyNumberFormat="1" applyFont="1" applyAlignment="1">
      <alignment horizontal="center"/>
    </xf>
    <xf numFmtId="173" fontId="13" fillId="2" borderId="1" xfId="0" applyNumberFormat="1" applyFont="1" applyFill="1" applyBorder="1" applyAlignment="1">
      <alignment horizontal="center"/>
    </xf>
    <xf numFmtId="173" fontId="2" fillId="2" borderId="1" xfId="0" applyNumberFormat="1" applyFont="1" applyFill="1" applyBorder="1"/>
    <xf numFmtId="4" fontId="2" fillId="0" borderId="0" xfId="0" applyNumberFormat="1" applyFont="1"/>
    <xf numFmtId="0" fontId="11" fillId="0" borderId="0" xfId="0" applyFont="1" applyAlignment="1">
      <alignment horizontal="center"/>
    </xf>
    <xf numFmtId="173" fontId="31" fillId="2" borderId="1" xfId="0" applyNumberFormat="1" applyFont="1" applyFill="1" applyBorder="1" applyAlignment="1">
      <alignment horizontal="center" vertical="center"/>
    </xf>
    <xf numFmtId="166" fontId="13" fillId="0" borderId="0" xfId="0" applyNumberFormat="1" applyFont="1" applyAlignment="1">
      <alignment horizontal="center"/>
    </xf>
    <xf numFmtId="166" fontId="13" fillId="2" borderId="1" xfId="0" applyNumberFormat="1" applyFont="1" applyFill="1" applyBorder="1" applyAlignment="1">
      <alignment horizontal="center"/>
    </xf>
    <xf numFmtId="3" fontId="13" fillId="0" borderId="0" xfId="0" applyNumberFormat="1" applyFont="1" applyAlignment="1">
      <alignment horizontal="center"/>
    </xf>
    <xf numFmtId="8" fontId="13" fillId="2" borderId="1" xfId="0" applyNumberFormat="1" applyFont="1" applyFill="1" applyBorder="1" applyAlignment="1">
      <alignment horizontal="center"/>
    </xf>
    <xf numFmtId="174" fontId="13" fillId="0" borderId="0" xfId="0" applyNumberFormat="1" applyFont="1" applyAlignment="1">
      <alignment horizontal="center"/>
    </xf>
    <xf numFmtId="172" fontId="13" fillId="0" borderId="0" xfId="0" applyNumberFormat="1" applyFont="1" applyAlignment="1">
      <alignment horizontal="center"/>
    </xf>
    <xf numFmtId="172" fontId="13" fillId="2" borderId="1" xfId="0" applyNumberFormat="1" applyFont="1" applyFill="1" applyBorder="1" applyAlignment="1">
      <alignment horizontal="center"/>
    </xf>
    <xf numFmtId="0" fontId="21" fillId="0" borderId="0" xfId="0" applyFont="1" applyAlignment="1">
      <alignment horizontal="center" vertical="center" wrapText="1"/>
    </xf>
    <xf numFmtId="166" fontId="21" fillId="0" borderId="0" xfId="0" applyNumberFormat="1" applyFont="1" applyAlignment="1">
      <alignment horizontal="center" vertical="center" wrapText="1"/>
    </xf>
    <xf numFmtId="166" fontId="2" fillId="0" borderId="0" xfId="0" applyNumberFormat="1" applyFont="1"/>
    <xf numFmtId="9" fontId="2" fillId="0" borderId="0" xfId="0" applyNumberFormat="1" applyFont="1"/>
    <xf numFmtId="166" fontId="2" fillId="2" borderId="1" xfId="0" applyNumberFormat="1" applyFont="1" applyFill="1" applyBorder="1"/>
    <xf numFmtId="0" fontId="23" fillId="0" borderId="0" xfId="0" applyFont="1"/>
    <xf numFmtId="166" fontId="23" fillId="0" borderId="0" xfId="0" applyNumberFormat="1" applyFont="1"/>
    <xf numFmtId="9" fontId="23" fillId="0" borderId="0" xfId="0" applyNumberFormat="1" applyFont="1"/>
    <xf numFmtId="166" fontId="23" fillId="2" borderId="1" xfId="0" applyNumberFormat="1" applyFont="1" applyFill="1" applyBorder="1"/>
    <xf numFmtId="0" fontId="27" fillId="0" borderId="0" xfId="0" applyFont="1" applyAlignment="1">
      <alignment vertical="center"/>
    </xf>
    <xf numFmtId="0" fontId="27" fillId="12" borderId="1" xfId="0" applyFont="1" applyFill="1" applyBorder="1" applyAlignment="1">
      <alignment vertical="center"/>
    </xf>
    <xf numFmtId="0" fontId="35" fillId="4" borderId="46" xfId="0" applyFont="1" applyFill="1" applyBorder="1" applyAlignment="1">
      <alignment horizontal="center" vertical="center" wrapText="1"/>
    </xf>
    <xf numFmtId="181" fontId="37" fillId="4" borderId="44" xfId="0" applyNumberFormat="1" applyFont="1" applyFill="1" applyBorder="1" applyAlignment="1">
      <alignment vertical="center"/>
    </xf>
    <xf numFmtId="0" fontId="30" fillId="2" borderId="1" xfId="0" applyFont="1" applyFill="1" applyBorder="1" applyAlignment="1">
      <alignment vertical="center"/>
    </xf>
    <xf numFmtId="181" fontId="37" fillId="5" borderId="43" xfId="0" applyNumberFormat="1" applyFont="1" applyFill="1" applyBorder="1" applyAlignment="1">
      <alignment vertical="center"/>
    </xf>
    <xf numFmtId="10" fontId="37" fillId="5" borderId="43" xfId="0" applyNumberFormat="1" applyFont="1" applyFill="1" applyBorder="1" applyAlignment="1">
      <alignment vertical="center"/>
    </xf>
    <xf numFmtId="0" fontId="30" fillId="12" borderId="1" xfId="0" applyFont="1" applyFill="1" applyBorder="1" applyAlignment="1">
      <alignment vertical="center"/>
    </xf>
    <xf numFmtId="10" fontId="30" fillId="12" borderId="1" xfId="0" applyNumberFormat="1" applyFont="1" applyFill="1" applyBorder="1" applyAlignment="1">
      <alignment vertical="center"/>
    </xf>
    <xf numFmtId="181" fontId="37" fillId="4" borderId="43" xfId="0" applyNumberFormat="1" applyFont="1" applyFill="1" applyBorder="1" applyAlignment="1">
      <alignment vertical="center"/>
    </xf>
    <xf numFmtId="181" fontId="37" fillId="5" borderId="100" xfId="0" applyNumberFormat="1" applyFont="1" applyFill="1" applyBorder="1" applyAlignment="1">
      <alignment vertical="center"/>
    </xf>
    <xf numFmtId="0" fontId="30" fillId="0" borderId="0" xfId="0" applyFont="1" applyAlignment="1">
      <alignment vertical="center"/>
    </xf>
    <xf numFmtId="10" fontId="35" fillId="4" borderId="106" xfId="0" applyNumberFormat="1" applyFont="1" applyFill="1" applyBorder="1" applyAlignment="1">
      <alignment horizontal="center" vertical="center" wrapText="1"/>
    </xf>
    <xf numFmtId="0" fontId="28" fillId="12" borderId="1" xfId="0" applyFont="1" applyFill="1" applyBorder="1" applyAlignment="1">
      <alignment vertical="center"/>
    </xf>
    <xf numFmtId="0" fontId="28" fillId="0" borderId="0" xfId="0" applyFont="1" applyAlignment="1">
      <alignment vertical="center"/>
    </xf>
    <xf numFmtId="0" fontId="27" fillId="2" borderId="1" xfId="0" applyFont="1" applyFill="1" applyBorder="1" applyAlignment="1">
      <alignment vertical="center"/>
    </xf>
    <xf numFmtId="10" fontId="27" fillId="2" borderId="1" xfId="0" applyNumberFormat="1" applyFont="1" applyFill="1" applyBorder="1" applyAlignment="1">
      <alignment vertical="center"/>
    </xf>
    <xf numFmtId="0" fontId="38" fillId="0" borderId="114" xfId="0" applyFont="1" applyBorder="1" applyAlignment="1">
      <alignment horizontal="left" vertical="center" wrapText="1"/>
    </xf>
    <xf numFmtId="0" fontId="38" fillId="0" borderId="116" xfId="0" applyFont="1" applyBorder="1" applyAlignment="1">
      <alignment horizontal="left" vertical="center" wrapText="1"/>
    </xf>
    <xf numFmtId="0" fontId="11" fillId="0" borderId="11" xfId="0" applyFont="1" applyBorder="1" applyAlignment="1">
      <alignment horizontal="left" vertical="center" wrapText="1"/>
    </xf>
    <xf numFmtId="0" fontId="11" fillId="2" borderId="115" xfId="0" applyFont="1" applyFill="1" applyBorder="1" applyAlignment="1">
      <alignment horizontal="left" vertical="center" wrapText="1"/>
    </xf>
    <xf numFmtId="0" fontId="13" fillId="0" borderId="11" xfId="0" applyFont="1" applyBorder="1" applyAlignment="1">
      <alignment horizontal="left" vertical="center" wrapText="1"/>
    </xf>
    <xf numFmtId="0" fontId="11" fillId="0" borderId="97" xfId="0" applyFont="1" applyBorder="1" applyAlignment="1">
      <alignment horizontal="left" vertical="center" wrapText="1"/>
    </xf>
    <xf numFmtId="0" fontId="35" fillId="4" borderId="63" xfId="0" applyFont="1" applyFill="1" applyBorder="1" applyAlignment="1">
      <alignment horizontal="center" vertical="center" wrapText="1"/>
    </xf>
    <xf numFmtId="0" fontId="35" fillId="4" borderId="117" xfId="0" applyFont="1" applyFill="1" applyBorder="1" applyAlignment="1">
      <alignment vertical="center" wrapText="1"/>
    </xf>
    <xf numFmtId="0" fontId="35" fillId="4" borderId="118" xfId="0" applyFont="1" applyFill="1" applyBorder="1" applyAlignment="1">
      <alignment vertical="center" wrapText="1"/>
    </xf>
    <xf numFmtId="0" fontId="35" fillId="4" borderId="117" xfId="0" applyFont="1" applyFill="1" applyBorder="1" applyAlignment="1">
      <alignment horizontal="center" vertical="center" wrapText="1"/>
    </xf>
    <xf numFmtId="10" fontId="27" fillId="4" borderId="106" xfId="0" applyNumberFormat="1" applyFont="1" applyFill="1" applyBorder="1" applyAlignment="1">
      <alignment horizontal="center" vertical="center" wrapText="1"/>
    </xf>
    <xf numFmtId="0" fontId="35" fillId="4" borderId="107" xfId="0" applyFont="1" applyFill="1" applyBorder="1" applyAlignment="1">
      <alignment horizontal="center" vertical="center" wrapText="1"/>
    </xf>
    <xf numFmtId="0" fontId="27" fillId="4" borderId="106" xfId="0" applyFont="1" applyFill="1" applyBorder="1" applyAlignment="1">
      <alignment horizontal="center" vertical="center" wrapText="1"/>
    </xf>
    <xf numFmtId="0" fontId="35" fillId="4" borderId="106" xfId="0" applyFont="1" applyFill="1" applyBorder="1" applyAlignment="1">
      <alignment horizontal="center" vertical="center" wrapText="1"/>
    </xf>
    <xf numFmtId="0" fontId="35" fillId="4" borderId="106" xfId="0" applyFont="1" applyFill="1" applyBorder="1" applyAlignment="1">
      <alignment horizontal="center" vertical="top" wrapText="1"/>
    </xf>
    <xf numFmtId="0" fontId="39" fillId="4" borderId="89" xfId="0" applyFont="1" applyFill="1" applyBorder="1" applyAlignment="1">
      <alignment horizontal="center" vertical="center" wrapText="1"/>
    </xf>
    <xf numFmtId="0" fontId="35" fillId="4" borderId="46" xfId="0" applyFont="1" applyFill="1" applyBorder="1" applyAlignment="1">
      <alignment horizontal="center" vertical="top" wrapText="1"/>
    </xf>
    <xf numFmtId="0" fontId="35" fillId="4" borderId="119" xfId="0" applyFont="1" applyFill="1" applyBorder="1" applyAlignment="1">
      <alignment horizontal="center" vertical="top" wrapText="1"/>
    </xf>
    <xf numFmtId="0" fontId="41" fillId="4" borderId="69" xfId="0" applyFont="1" applyFill="1" applyBorder="1" applyAlignment="1">
      <alignment horizontal="left" vertical="center" wrapText="1"/>
    </xf>
    <xf numFmtId="3" fontId="27" fillId="2" borderId="43" xfId="0" applyNumberFormat="1" applyFont="1" applyFill="1" applyBorder="1" applyAlignment="1">
      <alignment horizontal="center" vertical="center"/>
    </xf>
    <xf numFmtId="3" fontId="27" fillId="10" borderId="43" xfId="0" applyNumberFormat="1" applyFont="1" applyFill="1" applyBorder="1" applyAlignment="1">
      <alignment horizontal="center" vertical="center"/>
    </xf>
    <xf numFmtId="173" fontId="41" fillId="5" borderId="43" xfId="0" applyNumberFormat="1" applyFont="1" applyFill="1" applyBorder="1" applyAlignment="1">
      <alignment horizontal="left" vertical="center" wrapText="1"/>
    </xf>
    <xf numFmtId="0" fontId="41" fillId="4" borderId="43" xfId="0" applyFont="1" applyFill="1" applyBorder="1" applyAlignment="1">
      <alignment horizontal="left" vertical="center" wrapText="1"/>
    </xf>
    <xf numFmtId="4" fontId="27" fillId="2" borderId="43" xfId="0" applyNumberFormat="1" applyFont="1" applyFill="1" applyBorder="1" applyAlignment="1">
      <alignment horizontal="center" vertical="center"/>
    </xf>
    <xf numFmtId="0" fontId="27" fillId="2" borderId="43" xfId="0" applyFont="1" applyFill="1" applyBorder="1" applyAlignment="1">
      <alignment horizontal="center" vertical="center"/>
    </xf>
    <xf numFmtId="4" fontId="27" fillId="0" borderId="43" xfId="0" applyNumberFormat="1" applyFont="1" applyBorder="1" applyAlignment="1">
      <alignment horizontal="center" vertical="center"/>
    </xf>
    <xf numFmtId="4" fontId="27" fillId="10" borderId="43" xfId="0" applyNumberFormat="1" applyFont="1" applyFill="1" applyBorder="1" applyAlignment="1">
      <alignment horizontal="center" vertical="center"/>
    </xf>
    <xf numFmtId="0" fontId="2" fillId="2" borderId="43" xfId="0" applyFont="1" applyFill="1" applyBorder="1"/>
    <xf numFmtId="4" fontId="2" fillId="2" borderId="1" xfId="0" applyNumberFormat="1" applyFont="1" applyFill="1" applyBorder="1"/>
    <xf numFmtId="39" fontId="27" fillId="0" borderId="43" xfId="0" applyNumberFormat="1" applyFont="1" applyBorder="1" applyAlignment="1">
      <alignment horizontal="center" vertical="center" wrapText="1"/>
    </xf>
    <xf numFmtId="4" fontId="27" fillId="2" borderId="43" xfId="0" applyNumberFormat="1" applyFont="1" applyFill="1" applyBorder="1" applyAlignment="1">
      <alignment horizontal="center" vertical="center" wrapText="1"/>
    </xf>
    <xf numFmtId="4" fontId="35" fillId="2" borderId="130" xfId="0" applyNumberFormat="1" applyFont="1" applyFill="1" applyBorder="1" applyAlignment="1">
      <alignment horizontal="center" vertical="center"/>
    </xf>
    <xf numFmtId="0" fontId="2" fillId="0" borderId="43" xfId="0" applyFont="1" applyBorder="1"/>
    <xf numFmtId="4" fontId="2" fillId="12" borderId="1" xfId="0" applyNumberFormat="1" applyFont="1" applyFill="1" applyBorder="1"/>
    <xf numFmtId="0" fontId="2" fillId="0" borderId="0" xfId="0" applyFont="1"/>
    <xf numFmtId="4" fontId="27" fillId="2" borderId="130" xfId="0" applyNumberFormat="1" applyFont="1" applyFill="1" applyBorder="1" applyAlignment="1">
      <alignment horizontal="center" vertical="center"/>
    </xf>
    <xf numFmtId="4" fontId="35" fillId="0" borderId="78" xfId="0" applyNumberFormat="1" applyFont="1" applyBorder="1" applyAlignment="1">
      <alignment horizontal="center" vertical="center"/>
    </xf>
    <xf numFmtId="4" fontId="35" fillId="0" borderId="49" xfId="0" applyNumberFormat="1" applyFont="1" applyBorder="1" applyAlignment="1">
      <alignment horizontal="center" vertical="center"/>
    </xf>
    <xf numFmtId="168" fontId="27" fillId="2" borderId="43" xfId="0" applyNumberFormat="1" applyFont="1" applyFill="1" applyBorder="1" applyAlignment="1">
      <alignment horizontal="center" vertical="center"/>
    </xf>
    <xf numFmtId="168" fontId="27" fillId="2" borderId="43" xfId="0" applyNumberFormat="1" applyFont="1" applyFill="1" applyBorder="1" applyAlignment="1">
      <alignment horizontal="center" vertical="center" wrapText="1"/>
    </xf>
    <xf numFmtId="0" fontId="27" fillId="0" borderId="43" xfId="0" applyFont="1" applyBorder="1"/>
    <xf numFmtId="4" fontId="35" fillId="2" borderId="43" xfId="0" applyNumberFormat="1" applyFont="1" applyFill="1" applyBorder="1" applyAlignment="1">
      <alignment horizontal="center" vertical="center"/>
    </xf>
    <xf numFmtId="4" fontId="27" fillId="13" borderId="43" xfId="0" applyNumberFormat="1" applyFont="1" applyFill="1" applyBorder="1" applyAlignment="1">
      <alignment horizontal="center" vertical="center"/>
    </xf>
    <xf numFmtId="3" fontId="27" fillId="2" borderId="130" xfId="0" applyNumberFormat="1" applyFont="1" applyFill="1" applyBorder="1" applyAlignment="1">
      <alignment horizontal="center" vertical="center" wrapText="1"/>
    </xf>
    <xf numFmtId="39" fontId="27" fillId="2" borderId="130" xfId="0" applyNumberFormat="1" applyFont="1" applyFill="1" applyBorder="1" applyAlignment="1">
      <alignment horizontal="center" vertical="center"/>
    </xf>
    <xf numFmtId="39" fontId="27" fillId="0" borderId="49" xfId="0" applyNumberFormat="1" applyFont="1" applyBorder="1" applyAlignment="1">
      <alignment horizontal="center" vertical="center"/>
    </xf>
    <xf numFmtId="3" fontId="27" fillId="0" borderId="49" xfId="0" applyNumberFormat="1" applyFont="1" applyBorder="1" applyAlignment="1">
      <alignment horizontal="center" vertical="center" wrapText="1"/>
    </xf>
    <xf numFmtId="4" fontId="27" fillId="0" borderId="78" xfId="0" applyNumberFormat="1" applyFont="1" applyBorder="1" applyAlignment="1">
      <alignment horizontal="center" vertical="center"/>
    </xf>
    <xf numFmtId="0" fontId="2" fillId="2" borderId="43" xfId="0" applyFont="1" applyFill="1" applyBorder="1" applyAlignment="1">
      <alignment horizontal="center" vertical="center"/>
    </xf>
    <xf numFmtId="0" fontId="43" fillId="4" borderId="134" xfId="0" applyFont="1" applyFill="1" applyBorder="1" applyAlignment="1">
      <alignment horizontal="left" vertical="center" wrapText="1"/>
    </xf>
    <xf numFmtId="0" fontId="43" fillId="4" borderId="119" xfId="0" applyFont="1" applyFill="1" applyBorder="1" applyAlignment="1">
      <alignment horizontal="left" vertical="center" wrapText="1"/>
    </xf>
    <xf numFmtId="167" fontId="13" fillId="0" borderId="0" xfId="0" applyNumberFormat="1" applyFont="1" applyAlignment="1">
      <alignment horizontal="center"/>
    </xf>
    <xf numFmtId="167" fontId="13" fillId="2" borderId="1" xfId="0" applyNumberFormat="1" applyFont="1" applyFill="1" applyBorder="1" applyAlignment="1">
      <alignment horizontal="center"/>
    </xf>
    <xf numFmtId="0" fontId="2" fillId="0" borderId="0" xfId="0" applyFont="1" applyAlignment="1">
      <alignment horizontal="center" wrapText="1"/>
    </xf>
    <xf numFmtId="0" fontId="2" fillId="0" borderId="0" xfId="0" applyFont="1" applyAlignment="1">
      <alignment wrapText="1"/>
    </xf>
    <xf numFmtId="0" fontId="35" fillId="5" borderId="78" xfId="0" applyFont="1" applyFill="1" applyBorder="1" applyAlignment="1">
      <alignment horizontal="center" vertical="center"/>
    </xf>
    <xf numFmtId="0" fontId="35" fillId="4" borderId="43" xfId="0" applyFont="1" applyFill="1" applyBorder="1" applyAlignment="1">
      <alignment horizontal="center" vertical="center" wrapText="1"/>
    </xf>
    <xf numFmtId="0" fontId="35" fillId="4" borderId="84" xfId="0" applyFont="1" applyFill="1" applyBorder="1" applyAlignment="1">
      <alignment horizontal="center" vertical="center" wrapText="1"/>
    </xf>
    <xf numFmtId="0" fontId="17" fillId="0" borderId="78" xfId="0" applyFont="1" applyBorder="1"/>
    <xf numFmtId="0" fontId="2" fillId="0" borderId="43" xfId="0" applyFont="1" applyBorder="1" applyAlignment="1">
      <alignment horizontal="center" wrapText="1"/>
    </xf>
    <xf numFmtId="0" fontId="2" fillId="0" borderId="43" xfId="0" applyFont="1" applyBorder="1" applyAlignment="1">
      <alignment wrapText="1"/>
    </xf>
    <xf numFmtId="0" fontId="2" fillId="0" borderId="84" xfId="0" applyFont="1" applyBorder="1"/>
    <xf numFmtId="183" fontId="2" fillId="0" borderId="43" xfId="0" applyNumberFormat="1" applyFont="1" applyBorder="1" applyAlignment="1">
      <alignment wrapText="1"/>
    </xf>
    <xf numFmtId="183" fontId="2" fillId="0" borderId="43" xfId="0" applyNumberFormat="1" applyFont="1" applyBorder="1"/>
    <xf numFmtId="9" fontId="2" fillId="0" borderId="84" xfId="0" applyNumberFormat="1" applyFont="1" applyBorder="1" applyAlignment="1">
      <alignment horizontal="center"/>
    </xf>
    <xf numFmtId="0" fontId="17" fillId="0" borderId="89" xfId="0" applyFont="1" applyBorder="1"/>
    <xf numFmtId="0" fontId="2" fillId="0" borderId="78" xfId="0" applyFont="1" applyBorder="1"/>
    <xf numFmtId="186" fontId="2" fillId="0" borderId="43" xfId="0" applyNumberFormat="1" applyFont="1" applyBorder="1" applyAlignment="1">
      <alignment wrapText="1"/>
    </xf>
    <xf numFmtId="186" fontId="2" fillId="0" borderId="43" xfId="0" applyNumberFormat="1" applyFont="1" applyBorder="1"/>
    <xf numFmtId="10" fontId="2" fillId="0" borderId="84" xfId="0" applyNumberFormat="1" applyFont="1" applyBorder="1"/>
    <xf numFmtId="0" fontId="2" fillId="0" borderId="89" xfId="0" applyFont="1" applyBorder="1"/>
    <xf numFmtId="10" fontId="2" fillId="0" borderId="84" xfId="0" applyNumberFormat="1" applyFont="1" applyBorder="1" applyAlignment="1">
      <alignment horizontal="center"/>
    </xf>
    <xf numFmtId="183" fontId="2" fillId="2" borderId="43" xfId="0" applyNumberFormat="1" applyFont="1" applyFill="1" applyBorder="1" applyAlignment="1">
      <alignment wrapText="1"/>
    </xf>
    <xf numFmtId="183" fontId="2" fillId="2" borderId="43" xfId="0" applyNumberFormat="1" applyFont="1" applyFill="1" applyBorder="1"/>
    <xf numFmtId="166" fontId="2" fillId="0" borderId="43" xfId="0" applyNumberFormat="1" applyFont="1" applyBorder="1" applyAlignment="1">
      <alignment wrapText="1"/>
    </xf>
    <xf numFmtId="166" fontId="2" fillId="2" borderId="43" xfId="0" applyNumberFormat="1" applyFont="1" applyFill="1" applyBorder="1"/>
    <xf numFmtId="166" fontId="2" fillId="0" borderId="43" xfId="0" applyNumberFormat="1" applyFont="1" applyBorder="1"/>
    <xf numFmtId="4" fontId="2" fillId="0" borderId="43" xfId="0" applyNumberFormat="1" applyFont="1" applyBorder="1"/>
    <xf numFmtId="181" fontId="2" fillId="0" borderId="84" xfId="0" applyNumberFormat="1" applyFont="1" applyBorder="1"/>
    <xf numFmtId="0" fontId="2" fillId="2" borderId="78" xfId="0" applyFont="1" applyFill="1" applyBorder="1"/>
    <xf numFmtId="0" fontId="2" fillId="2" borderId="43" xfId="0" applyFont="1" applyFill="1" applyBorder="1" applyAlignment="1">
      <alignment horizontal="center" wrapText="1"/>
    </xf>
    <xf numFmtId="166" fontId="2" fillId="2" borderId="43" xfId="0" applyNumberFormat="1" applyFont="1" applyFill="1" applyBorder="1" applyAlignment="1">
      <alignment wrapText="1"/>
    </xf>
    <xf numFmtId="4" fontId="2" fillId="2" borderId="43" xfId="0" applyNumberFormat="1" applyFont="1" applyFill="1" applyBorder="1"/>
    <xf numFmtId="181" fontId="2" fillId="2" borderId="84" xfId="0" applyNumberFormat="1" applyFont="1" applyFill="1" applyBorder="1"/>
    <xf numFmtId="9" fontId="2" fillId="2" borderId="1" xfId="0" applyNumberFormat="1" applyFont="1" applyFill="1" applyBorder="1"/>
    <xf numFmtId="0" fontId="2" fillId="2" borderId="1" xfId="0" applyFont="1" applyFill="1" applyBorder="1" applyAlignment="1">
      <alignment wrapText="1"/>
    </xf>
    <xf numFmtId="0" fontId="2" fillId="12" borderId="89" xfId="0" applyFont="1" applyFill="1" applyBorder="1"/>
    <xf numFmtId="0" fontId="2" fillId="12" borderId="46" xfId="0" applyFont="1" applyFill="1" applyBorder="1" applyAlignment="1">
      <alignment horizontal="center" wrapText="1"/>
    </xf>
    <xf numFmtId="0" fontId="2" fillId="12" borderId="46" xfId="0" applyFont="1" applyFill="1" applyBorder="1" applyAlignment="1">
      <alignment wrapText="1"/>
    </xf>
    <xf numFmtId="166" fontId="2" fillId="12" borderId="43" xfId="0" applyNumberFormat="1" applyFont="1" applyFill="1" applyBorder="1"/>
    <xf numFmtId="4" fontId="2" fillId="12" borderId="43" xfId="0" applyNumberFormat="1" applyFont="1" applyFill="1" applyBorder="1"/>
    <xf numFmtId="181" fontId="2" fillId="12" borderId="84" xfId="0" applyNumberFormat="1" applyFont="1" applyFill="1" applyBorder="1"/>
    <xf numFmtId="0" fontId="46" fillId="12" borderId="0" xfId="0" applyFont="1" applyFill="1"/>
    <xf numFmtId="9" fontId="2" fillId="12" borderId="0" xfId="0" applyNumberFormat="1" applyFont="1" applyFill="1"/>
    <xf numFmtId="0" fontId="2" fillId="12" borderId="0" xfId="0" applyFont="1" applyFill="1" applyAlignment="1">
      <alignment wrapText="1"/>
    </xf>
    <xf numFmtId="0" fontId="2" fillId="0" borderId="46" xfId="0" applyFont="1" applyBorder="1" applyAlignment="1">
      <alignment horizontal="center" wrapText="1"/>
    </xf>
    <xf numFmtId="0" fontId="2" fillId="0" borderId="46" xfId="0" applyFont="1" applyBorder="1" applyAlignment="1">
      <alignment wrapText="1"/>
    </xf>
    <xf numFmtId="0" fontId="2" fillId="0" borderId="46" xfId="0" applyFont="1" applyBorder="1"/>
    <xf numFmtId="9" fontId="35" fillId="4" borderId="43" xfId="0" applyNumberFormat="1" applyFont="1" applyFill="1" applyBorder="1" applyAlignment="1">
      <alignment horizontal="center" vertical="top" wrapText="1"/>
    </xf>
    <xf numFmtId="9" fontId="2" fillId="0" borderId="43" xfId="0" applyNumberFormat="1" applyFont="1" applyBorder="1"/>
    <xf numFmtId="0" fontId="2" fillId="0" borderId="84" xfId="0" applyFont="1" applyBorder="1" applyAlignment="1">
      <alignment wrapText="1"/>
    </xf>
    <xf numFmtId="0" fontId="17" fillId="0" borderId="122" xfId="0" applyFont="1" applyBorder="1"/>
    <xf numFmtId="0" fontId="2" fillId="0" borderId="42" xfId="0" applyFont="1" applyBorder="1" applyAlignment="1">
      <alignment horizontal="center" wrapText="1"/>
    </xf>
    <xf numFmtId="0" fontId="2" fillId="0" borderId="42" xfId="0" applyFont="1" applyBorder="1" applyAlignment="1">
      <alignment wrapText="1"/>
    </xf>
    <xf numFmtId="0" fontId="2" fillId="0" borderId="42" xfId="0" applyFont="1" applyBorder="1"/>
    <xf numFmtId="9" fontId="2" fillId="0" borderId="42" xfId="0" applyNumberFormat="1" applyFont="1" applyBorder="1"/>
    <xf numFmtId="0" fontId="2" fillId="0" borderId="102" xfId="0" applyFont="1" applyBorder="1" applyAlignment="1">
      <alignment wrapText="1"/>
    </xf>
    <xf numFmtId="0" fontId="2" fillId="0" borderId="3" xfId="0" applyFont="1" applyBorder="1" applyAlignment="1">
      <alignment horizontal="center" vertical="center" wrapText="1"/>
    </xf>
    <xf numFmtId="0" fontId="2" fillId="0" borderId="44" xfId="0" applyFont="1" applyBorder="1" applyAlignment="1">
      <alignment vertical="center" wrapText="1"/>
    </xf>
    <xf numFmtId="0" fontId="2" fillId="0" borderId="44" xfId="0" applyFont="1" applyBorder="1" applyAlignment="1">
      <alignment vertical="center"/>
    </xf>
    <xf numFmtId="9" fontId="2" fillId="0" borderId="44" xfId="0" applyNumberFormat="1" applyFont="1" applyBorder="1" applyAlignment="1">
      <alignment vertical="center"/>
    </xf>
    <xf numFmtId="0" fontId="2" fillId="0" borderId="79" xfId="0" applyFont="1" applyBorder="1" applyAlignment="1">
      <alignment vertical="center" wrapText="1"/>
    </xf>
    <xf numFmtId="0" fontId="2" fillId="0" borderId="0" xfId="0" applyFont="1" applyAlignment="1">
      <alignment vertical="center"/>
    </xf>
    <xf numFmtId="0" fontId="2" fillId="0" borderId="43" xfId="0" applyFont="1" applyBorder="1" applyAlignment="1">
      <alignment vertical="center" wrapText="1"/>
    </xf>
    <xf numFmtId="0" fontId="2" fillId="0" borderId="43" xfId="0" applyFont="1" applyBorder="1" applyAlignment="1">
      <alignment vertical="center"/>
    </xf>
    <xf numFmtId="9" fontId="2" fillId="0" borderId="43" xfId="0" applyNumberFormat="1" applyFont="1" applyBorder="1" applyAlignment="1">
      <alignment vertical="center"/>
    </xf>
    <xf numFmtId="0" fontId="2" fillId="0" borderId="84" xfId="0" applyFont="1" applyBorder="1" applyAlignment="1">
      <alignment vertical="center" wrapText="1"/>
    </xf>
    <xf numFmtId="0" fontId="2" fillId="0" borderId="46" xfId="0" applyFont="1" applyBorder="1" applyAlignment="1">
      <alignment horizontal="center" vertical="center" wrapText="1"/>
    </xf>
    <xf numFmtId="0" fontId="2" fillId="0" borderId="46" xfId="0" applyFont="1" applyBorder="1" applyAlignment="1">
      <alignment vertical="center" wrapText="1"/>
    </xf>
    <xf numFmtId="0" fontId="2" fillId="0" borderId="46" xfId="0" applyFont="1" applyBorder="1" applyAlignment="1">
      <alignment vertical="center"/>
    </xf>
    <xf numFmtId="9" fontId="2" fillId="0" borderId="46" xfId="0" applyNumberFormat="1" applyFont="1" applyBorder="1" applyAlignment="1">
      <alignment vertical="center"/>
    </xf>
    <xf numFmtId="0" fontId="2" fillId="0" borderId="90" xfId="0" applyFont="1" applyBorder="1" applyAlignment="1">
      <alignment vertical="center" wrapText="1"/>
    </xf>
    <xf numFmtId="0" fontId="2" fillId="2" borderId="44" xfId="0" applyFont="1" applyFill="1" applyBorder="1" applyAlignment="1">
      <alignment vertical="center"/>
    </xf>
    <xf numFmtId="9" fontId="2" fillId="2" borderId="44" xfId="0" applyNumberFormat="1" applyFont="1" applyFill="1" applyBorder="1" applyAlignment="1">
      <alignment vertical="center"/>
    </xf>
    <xf numFmtId="0" fontId="2" fillId="2" borderId="79" xfId="0" applyFont="1" applyFill="1" applyBorder="1" applyAlignment="1">
      <alignment vertical="center" wrapText="1"/>
    </xf>
    <xf numFmtId="0" fontId="2" fillId="2" borderId="43" xfId="0" applyFont="1" applyFill="1" applyBorder="1" applyAlignment="1">
      <alignment vertical="center"/>
    </xf>
    <xf numFmtId="9" fontId="2" fillId="2" borderId="43" xfId="0" applyNumberFormat="1" applyFont="1" applyFill="1" applyBorder="1" applyAlignment="1">
      <alignment vertical="center"/>
    </xf>
    <xf numFmtId="0" fontId="2" fillId="2" borderId="84" xfId="0" applyFont="1" applyFill="1" applyBorder="1" applyAlignment="1">
      <alignment vertical="center" wrapText="1"/>
    </xf>
    <xf numFmtId="0" fontId="2" fillId="2" borderId="46" xfId="0" applyFont="1" applyFill="1" applyBorder="1" applyAlignment="1">
      <alignment vertical="center"/>
    </xf>
    <xf numFmtId="9" fontId="2" fillId="2" borderId="46" xfId="0" applyNumberFormat="1" applyFont="1" applyFill="1" applyBorder="1" applyAlignment="1">
      <alignment vertical="center"/>
    </xf>
    <xf numFmtId="0" fontId="2" fillId="2" borderId="90" xfId="0" applyFont="1" applyFill="1" applyBorder="1" applyAlignment="1">
      <alignment vertical="center" wrapText="1"/>
    </xf>
    <xf numFmtId="0" fontId="17" fillId="0" borderId="0" xfId="0" applyFont="1"/>
    <xf numFmtId="0" fontId="47" fillId="2" borderId="84" xfId="0" applyFont="1" applyFill="1" applyBorder="1" applyAlignment="1">
      <alignment horizontal="center" vertical="center" wrapText="1"/>
    </xf>
    <xf numFmtId="0" fontId="47" fillId="2" borderId="84" xfId="0" applyFont="1" applyFill="1" applyBorder="1" applyAlignment="1">
      <alignment vertical="center" wrapText="1"/>
    </xf>
    <xf numFmtId="0" fontId="47" fillId="2" borderId="90" xfId="0" applyFont="1" applyFill="1" applyBorder="1" applyAlignment="1">
      <alignment vertical="center" wrapText="1"/>
    </xf>
    <xf numFmtId="0" fontId="2" fillId="2" borderId="84" xfId="0" applyFont="1" applyFill="1" applyBorder="1" applyAlignment="1">
      <alignment wrapText="1"/>
    </xf>
    <xf numFmtId="0" fontId="2" fillId="0" borderId="46" xfId="0" applyFont="1" applyBorder="1" applyAlignment="1">
      <alignment horizontal="center" vertical="center"/>
    </xf>
    <xf numFmtId="0" fontId="2" fillId="0" borderId="44" xfId="0" applyFont="1" applyBorder="1" applyAlignment="1">
      <alignment horizontal="center" vertical="center"/>
    </xf>
    <xf numFmtId="9" fontId="2" fillId="2" borderId="43" xfId="0" applyNumberFormat="1" applyFont="1" applyFill="1" applyBorder="1" applyAlignment="1">
      <alignment horizontal="center" vertical="center"/>
    </xf>
    <xf numFmtId="0" fontId="47" fillId="0" borderId="102" xfId="0" applyFont="1" applyBorder="1" applyAlignment="1">
      <alignment vertical="center" wrapText="1"/>
    </xf>
    <xf numFmtId="0" fontId="48" fillId="0" borderId="0" xfId="0" applyFont="1" applyAlignment="1">
      <alignment horizontal="center" vertical="center"/>
    </xf>
    <xf numFmtId="0" fontId="48" fillId="0" borderId="0" xfId="0" applyFont="1" applyAlignment="1">
      <alignment vertical="center"/>
    </xf>
    <xf numFmtId="0" fontId="2" fillId="2" borderId="43" xfId="0" applyFont="1" applyFill="1" applyBorder="1" applyAlignment="1">
      <alignment vertical="center" wrapText="1"/>
    </xf>
    <xf numFmtId="0" fontId="48" fillId="0" borderId="0" xfId="0" applyFont="1"/>
    <xf numFmtId="0" fontId="2" fillId="2" borderId="140" xfId="0" applyFont="1" applyFill="1" applyBorder="1" applyAlignment="1">
      <alignment horizontal="center" vertical="center" wrapText="1"/>
    </xf>
    <xf numFmtId="0" fontId="2" fillId="2" borderId="44" xfId="0" applyFont="1" applyFill="1" applyBorder="1" applyAlignment="1">
      <alignment vertical="center" wrapText="1"/>
    </xf>
    <xf numFmtId="0" fontId="2" fillId="2" borderId="46" xfId="0" applyFont="1" applyFill="1" applyBorder="1" applyAlignment="1">
      <alignment horizontal="center" vertical="center"/>
    </xf>
    <xf numFmtId="0" fontId="2" fillId="2" borderId="44" xfId="0" applyFont="1" applyFill="1" applyBorder="1" applyAlignment="1">
      <alignment horizontal="center" vertical="center"/>
    </xf>
    <xf numFmtId="9" fontId="2" fillId="2" borderId="43" xfId="0" applyNumberFormat="1" applyFont="1" applyFill="1" applyBorder="1"/>
    <xf numFmtId="0" fontId="48" fillId="2" borderId="1" xfId="0" applyFont="1" applyFill="1" applyBorder="1"/>
    <xf numFmtId="0" fontId="2" fillId="2" borderId="43"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46" xfId="0" applyFont="1" applyFill="1" applyBorder="1" applyAlignment="1">
      <alignment vertical="center" wrapText="1"/>
    </xf>
    <xf numFmtId="0" fontId="2" fillId="12" borderId="140" xfId="0" applyFont="1" applyFill="1" applyBorder="1" applyAlignment="1">
      <alignment horizontal="center" vertical="center" wrapText="1"/>
    </xf>
    <xf numFmtId="0" fontId="2" fillId="12" borderId="44" xfId="0" applyFont="1" applyFill="1" applyBorder="1" applyAlignment="1">
      <alignment vertical="center" wrapText="1"/>
    </xf>
    <xf numFmtId="0" fontId="2" fillId="12" borderId="46" xfId="0" applyFont="1" applyFill="1" applyBorder="1" applyAlignment="1">
      <alignment horizontal="center" vertical="center"/>
    </xf>
    <xf numFmtId="0" fontId="2" fillId="12" borderId="44" xfId="0" applyFont="1" applyFill="1" applyBorder="1" applyAlignment="1">
      <alignment horizontal="center" vertical="center"/>
    </xf>
    <xf numFmtId="0" fontId="2" fillId="12" borderId="43" xfId="0" applyFont="1" applyFill="1" applyBorder="1"/>
    <xf numFmtId="9" fontId="2" fillId="12" borderId="43" xfId="0" applyNumberFormat="1" applyFont="1" applyFill="1" applyBorder="1"/>
    <xf numFmtId="0" fontId="2" fillId="12" borderId="84" xfId="0" applyFont="1" applyFill="1" applyBorder="1" applyAlignment="1">
      <alignment wrapText="1"/>
    </xf>
    <xf numFmtId="0" fontId="2" fillId="12" borderId="1" xfId="0" applyFont="1" applyFill="1" applyBorder="1"/>
    <xf numFmtId="0" fontId="48" fillId="12" borderId="1" xfId="0" applyFont="1" applyFill="1" applyBorder="1"/>
    <xf numFmtId="0" fontId="2" fillId="12" borderId="43" xfId="0" applyFont="1" applyFill="1" applyBorder="1" applyAlignment="1">
      <alignment horizontal="center" vertical="center" wrapText="1"/>
    </xf>
    <xf numFmtId="0" fontId="2" fillId="12" borderId="43" xfId="0" applyFont="1" applyFill="1" applyBorder="1" applyAlignment="1">
      <alignment vertical="center" wrapText="1"/>
    </xf>
    <xf numFmtId="0" fontId="2" fillId="12" borderId="43" xfId="0" applyFont="1" applyFill="1" applyBorder="1" applyAlignment="1">
      <alignment horizontal="center" vertical="center"/>
    </xf>
    <xf numFmtId="0" fontId="2" fillId="12" borderId="84" xfId="0" applyFont="1" applyFill="1" applyBorder="1" applyAlignment="1">
      <alignment vertical="center" wrapText="1"/>
    </xf>
    <xf numFmtId="0" fontId="2" fillId="12" borderId="46" xfId="0" applyFont="1" applyFill="1" applyBorder="1" applyAlignment="1">
      <alignment horizontal="center" vertical="center" wrapText="1"/>
    </xf>
    <xf numFmtId="0" fontId="2" fillId="12" borderId="46" xfId="0" applyFont="1" applyFill="1" applyBorder="1" applyAlignment="1">
      <alignment vertical="center" wrapText="1"/>
    </xf>
    <xf numFmtId="9" fontId="2" fillId="0" borderId="46" xfId="0" applyNumberFormat="1" applyFont="1" applyBorder="1"/>
    <xf numFmtId="0" fontId="2" fillId="0" borderId="90" xfId="0" applyFont="1" applyBorder="1" applyAlignment="1">
      <alignment wrapText="1"/>
    </xf>
    <xf numFmtId="0" fontId="35" fillId="4" borderId="90" xfId="0" applyFont="1" applyFill="1" applyBorder="1" applyAlignment="1">
      <alignment horizontal="center" vertical="center" wrapText="1"/>
    </xf>
    <xf numFmtId="0" fontId="17" fillId="0" borderId="45" xfId="0" applyFont="1" applyBorder="1" applyAlignment="1">
      <alignment wrapText="1"/>
    </xf>
    <xf numFmtId="183" fontId="17" fillId="0" borderId="45" xfId="0" applyNumberFormat="1" applyFont="1" applyBorder="1" applyAlignment="1">
      <alignment horizontal="center" vertical="center"/>
    </xf>
    <xf numFmtId="0" fontId="17" fillId="0" borderId="101" xfId="0" applyFont="1" applyBorder="1"/>
    <xf numFmtId="0" fontId="17" fillId="0" borderId="43" xfId="0" applyFont="1" applyBorder="1" applyAlignment="1">
      <alignment wrapText="1"/>
    </xf>
    <xf numFmtId="183" fontId="17" fillId="0" borderId="43" xfId="0" applyNumberFormat="1" applyFont="1" applyBorder="1" applyAlignment="1">
      <alignment horizontal="center" vertical="center"/>
    </xf>
    <xf numFmtId="0" fontId="17" fillId="0" borderId="84" xfId="0" applyFont="1" applyBorder="1"/>
    <xf numFmtId="0" fontId="17" fillId="0" borderId="46" xfId="0" applyFont="1" applyBorder="1" applyAlignment="1">
      <alignment horizontal="center" wrapText="1"/>
    </xf>
    <xf numFmtId="0" fontId="17" fillId="0" borderId="46" xfId="0" applyFont="1" applyBorder="1" applyAlignment="1">
      <alignment wrapText="1"/>
    </xf>
    <xf numFmtId="0" fontId="17" fillId="0" borderId="46" xfId="0" applyFont="1" applyBorder="1"/>
    <xf numFmtId="0" fontId="17" fillId="0" borderId="90" xfId="0" applyFont="1" applyBorder="1"/>
    <xf numFmtId="0" fontId="17" fillId="0" borderId="45" xfId="0" applyFont="1" applyBorder="1" applyAlignment="1">
      <alignment horizontal="center" vertical="center" wrapText="1"/>
    </xf>
    <xf numFmtId="186" fontId="2" fillId="0" borderId="43" xfId="0" applyNumberFormat="1" applyFont="1" applyBorder="1" applyAlignment="1">
      <alignment horizontal="center" vertical="center"/>
    </xf>
    <xf numFmtId="0" fontId="2" fillId="0" borderId="84" xfId="0" applyFont="1" applyBorder="1" applyAlignment="1">
      <alignment horizontal="center" vertical="center"/>
    </xf>
    <xf numFmtId="9" fontId="2" fillId="0" borderId="0" xfId="0" applyNumberFormat="1" applyFont="1" applyAlignment="1">
      <alignment horizontal="center" vertical="center"/>
    </xf>
    <xf numFmtId="0" fontId="2" fillId="0" borderId="0" xfId="0" applyFont="1" applyAlignment="1">
      <alignment horizontal="center" vertical="center" wrapText="1"/>
    </xf>
    <xf numFmtId="0" fontId="17" fillId="0" borderId="43" xfId="0" applyFont="1" applyBorder="1" applyAlignment="1">
      <alignment horizontal="center" vertical="center" wrapText="1"/>
    </xf>
    <xf numFmtId="186" fontId="2" fillId="0" borderId="45" xfId="0" applyNumberFormat="1" applyFont="1" applyBorder="1" applyAlignment="1">
      <alignment horizontal="center" vertical="center"/>
    </xf>
    <xf numFmtId="0" fontId="2" fillId="0" borderId="45" xfId="0" applyFont="1" applyBorder="1" applyAlignment="1">
      <alignment horizontal="center" vertical="center"/>
    </xf>
    <xf numFmtId="0" fontId="2" fillId="0" borderId="101" xfId="0" applyFont="1" applyBorder="1" applyAlignment="1">
      <alignment horizontal="center" vertical="center"/>
    </xf>
    <xf numFmtId="186" fontId="2" fillId="2" borderId="43" xfId="0" applyNumberFormat="1" applyFont="1" applyFill="1" applyBorder="1" applyAlignment="1">
      <alignment horizontal="center" vertical="center"/>
    </xf>
    <xf numFmtId="164" fontId="2" fillId="0" borderId="43" xfId="0" applyNumberFormat="1" applyFont="1" applyBorder="1" applyAlignment="1">
      <alignment horizontal="center" vertical="center"/>
    </xf>
    <xf numFmtId="164" fontId="2" fillId="2" borderId="43" xfId="0" applyNumberFormat="1" applyFont="1" applyFill="1" applyBorder="1" applyAlignment="1">
      <alignment horizontal="center" vertical="center"/>
    </xf>
    <xf numFmtId="164" fontId="2" fillId="0" borderId="45" xfId="0" applyNumberFormat="1" applyFont="1" applyBorder="1" applyAlignment="1">
      <alignment horizontal="center" vertical="center"/>
    </xf>
    <xf numFmtId="0" fontId="2" fillId="0" borderId="141" xfId="0" applyFont="1" applyBorder="1" applyAlignment="1">
      <alignment horizontal="center" vertical="center"/>
    </xf>
    <xf numFmtId="0" fontId="2" fillId="0" borderId="92" xfId="0" applyFont="1" applyBorder="1" applyAlignment="1">
      <alignment horizontal="center" vertical="center" wrapText="1"/>
    </xf>
    <xf numFmtId="0" fontId="17" fillId="0" borderId="92" xfId="0" applyFont="1" applyBorder="1" applyAlignment="1">
      <alignment horizontal="center" vertical="center" wrapText="1"/>
    </xf>
    <xf numFmtId="186" fontId="2" fillId="0" borderId="92" xfId="0" applyNumberFormat="1" applyFont="1" applyBorder="1" applyAlignment="1">
      <alignment horizontal="center" vertical="center"/>
    </xf>
    <xf numFmtId="0" fontId="2" fillId="0" borderId="92" xfId="0" applyFont="1" applyBorder="1" applyAlignment="1">
      <alignment horizontal="center" vertical="center"/>
    </xf>
    <xf numFmtId="0" fontId="17" fillId="2" borderId="69" xfId="0" applyFont="1" applyFill="1" applyBorder="1" applyAlignment="1">
      <alignment horizontal="center" vertical="center" wrapText="1"/>
    </xf>
    <xf numFmtId="0" fontId="2" fillId="2" borderId="84" xfId="0" applyFont="1" applyFill="1" applyBorder="1" applyAlignment="1">
      <alignment horizontal="center" vertical="center"/>
    </xf>
    <xf numFmtId="9" fontId="2" fillId="2" borderId="1" xfId="0" applyNumberFormat="1" applyFont="1" applyFill="1" applyBorder="1" applyAlignment="1">
      <alignment horizontal="center" vertical="center"/>
    </xf>
    <xf numFmtId="0" fontId="17" fillId="2" borderId="43" xfId="0" applyFont="1" applyFill="1" applyBorder="1" applyAlignment="1">
      <alignment horizontal="center" vertical="center" wrapText="1"/>
    </xf>
    <xf numFmtId="164" fontId="2" fillId="2" borderId="69" xfId="0" applyNumberFormat="1" applyFont="1" applyFill="1" applyBorder="1" applyAlignment="1">
      <alignment horizontal="center" vertical="center"/>
    </xf>
    <xf numFmtId="0" fontId="2" fillId="2" borderId="142" xfId="0" applyFont="1" applyFill="1" applyBorder="1" applyAlignment="1">
      <alignment horizontal="center" vertical="center"/>
    </xf>
    <xf numFmtId="0" fontId="17" fillId="12" borderId="69" xfId="0" applyFont="1" applyFill="1" applyBorder="1" applyAlignment="1">
      <alignment horizontal="center" vertical="center" wrapText="1"/>
    </xf>
    <xf numFmtId="164" fontId="2" fillId="12" borderId="43" xfId="0" applyNumberFormat="1" applyFont="1" applyFill="1" applyBorder="1" applyAlignment="1">
      <alignment horizontal="center" vertical="center"/>
    </xf>
    <xf numFmtId="0" fontId="2" fillId="12" borderId="84" xfId="0" applyFont="1" applyFill="1" applyBorder="1" applyAlignment="1">
      <alignment horizontal="center" vertical="center"/>
    </xf>
    <xf numFmtId="0" fontId="2" fillId="12" borderId="1" xfId="0" applyFont="1" applyFill="1" applyBorder="1" applyAlignment="1">
      <alignment horizontal="center" vertical="center"/>
    </xf>
    <xf numFmtId="9" fontId="2" fillId="12" borderId="1" xfId="0" applyNumberFormat="1" applyFont="1" applyFill="1" applyBorder="1" applyAlignment="1">
      <alignment horizontal="center" vertical="center"/>
    </xf>
    <xf numFmtId="0" fontId="2" fillId="12" borderId="1" xfId="0" applyFont="1" applyFill="1" applyBorder="1" applyAlignment="1">
      <alignment horizontal="center" vertical="center" wrapText="1"/>
    </xf>
    <xf numFmtId="0" fontId="17" fillId="12" borderId="43" xfId="0" applyFont="1" applyFill="1" applyBorder="1" applyAlignment="1">
      <alignment horizontal="center" vertical="center" wrapText="1"/>
    </xf>
    <xf numFmtId="164" fontId="2" fillId="12" borderId="69" xfId="0" applyNumberFormat="1" applyFont="1" applyFill="1" applyBorder="1" applyAlignment="1">
      <alignment horizontal="center" vertical="center"/>
    </xf>
    <xf numFmtId="0" fontId="2" fillId="12" borderId="142" xfId="0" applyFont="1" applyFill="1" applyBorder="1" applyAlignment="1">
      <alignment horizontal="center" vertical="center"/>
    </xf>
    <xf numFmtId="164" fontId="2" fillId="0" borderId="92" xfId="0" applyNumberFormat="1" applyFont="1" applyBorder="1" applyAlignment="1">
      <alignment horizontal="center" vertical="center"/>
    </xf>
    <xf numFmtId="164" fontId="2" fillId="2" borderId="143" xfId="0" applyNumberFormat="1" applyFont="1" applyFill="1" applyBorder="1" applyAlignment="1">
      <alignment horizontal="center" vertical="center"/>
    </xf>
    <xf numFmtId="0" fontId="29" fillId="4" borderId="43" xfId="0" applyFont="1" applyFill="1" applyBorder="1" applyAlignment="1">
      <alignment horizontal="center" vertical="center" wrapText="1"/>
    </xf>
    <xf numFmtId="0" fontId="17" fillId="0" borderId="43" xfId="0" applyFont="1" applyBorder="1" applyAlignment="1">
      <alignment horizontal="center" wrapText="1"/>
    </xf>
    <xf numFmtId="0" fontId="17" fillId="0" borderId="43" xfId="0" applyFont="1" applyBorder="1"/>
    <xf numFmtId="0" fontId="17" fillId="2" borderId="43" xfId="0" applyFont="1" applyFill="1" applyBorder="1"/>
    <xf numFmtId="0" fontId="17" fillId="2" borderId="84" xfId="0" applyFont="1" applyFill="1" applyBorder="1"/>
    <xf numFmtId="9" fontId="17" fillId="2" borderId="43" xfId="0" applyNumberFormat="1" applyFont="1" applyFill="1" applyBorder="1"/>
    <xf numFmtId="0" fontId="17" fillId="2" borderId="84" xfId="0" applyFont="1" applyFill="1" applyBorder="1" applyAlignment="1">
      <alignment wrapText="1"/>
    </xf>
    <xf numFmtId="0" fontId="17" fillId="0" borderId="43" xfId="0" applyFont="1" applyBorder="1" applyAlignment="1">
      <alignment vertical="center" wrapText="1"/>
    </xf>
    <xf numFmtId="10" fontId="2" fillId="0" borderId="43" xfId="0" applyNumberFormat="1" applyFont="1" applyBorder="1" applyAlignment="1">
      <alignment vertical="center"/>
    </xf>
    <xf numFmtId="9" fontId="2" fillId="0" borderId="0" xfId="0" applyNumberFormat="1" applyFont="1" applyAlignment="1">
      <alignment vertical="center"/>
    </xf>
    <xf numFmtId="0" fontId="2" fillId="0" borderId="0" xfId="0" applyFont="1" applyAlignment="1">
      <alignment vertical="center" wrapText="1"/>
    </xf>
    <xf numFmtId="0" fontId="2" fillId="0" borderId="84" xfId="0" applyFont="1" applyBorder="1" applyAlignment="1">
      <alignment horizontal="center" vertical="center" wrapText="1"/>
    </xf>
    <xf numFmtId="10" fontId="2" fillId="2" borderId="43" xfId="0" applyNumberFormat="1" applyFont="1" applyFill="1" applyBorder="1" applyAlignment="1">
      <alignment vertical="center"/>
    </xf>
    <xf numFmtId="0" fontId="2" fillId="0" borderId="102" xfId="0" applyFont="1" applyBorder="1" applyAlignment="1">
      <alignment vertical="center" wrapText="1"/>
    </xf>
    <xf numFmtId="0" fontId="2" fillId="0" borderId="101" xfId="0" applyFont="1" applyBorder="1" applyAlignment="1">
      <alignment vertical="center" wrapText="1"/>
    </xf>
    <xf numFmtId="0" fontId="2" fillId="0" borderId="90" xfId="0" applyFont="1" applyBorder="1"/>
    <xf numFmtId="2" fontId="2" fillId="0" borderId="43" xfId="0" applyNumberFormat="1" applyFont="1" applyBorder="1" applyAlignment="1">
      <alignment vertical="center"/>
    </xf>
    <xf numFmtId="10" fontId="2" fillId="0" borderId="43" xfId="0" applyNumberFormat="1" applyFont="1" applyBorder="1"/>
    <xf numFmtId="0" fontId="17" fillId="2" borderId="43" xfId="0" applyFont="1" applyFill="1" applyBorder="1" applyAlignment="1">
      <alignment vertical="center" wrapText="1"/>
    </xf>
    <xf numFmtId="10" fontId="2" fillId="2" borderId="43" xfId="0" applyNumberFormat="1" applyFont="1" applyFill="1" applyBorder="1"/>
    <xf numFmtId="0" fontId="17" fillId="12" borderId="43" xfId="0" applyFont="1" applyFill="1" applyBorder="1" applyAlignment="1">
      <alignment vertical="center" wrapText="1"/>
    </xf>
    <xf numFmtId="0" fontId="2" fillId="12" borderId="43" xfId="0" applyFont="1" applyFill="1" applyBorder="1" applyAlignment="1">
      <alignment vertical="center"/>
    </xf>
    <xf numFmtId="10" fontId="2" fillId="12" borderId="43" xfId="0" applyNumberFormat="1" applyFont="1" applyFill="1" applyBorder="1"/>
    <xf numFmtId="9" fontId="2" fillId="12" borderId="1" xfId="0" applyNumberFormat="1" applyFont="1" applyFill="1" applyBorder="1"/>
    <xf numFmtId="0" fontId="2" fillId="12" borderId="1" xfId="0" applyFont="1" applyFill="1" applyBorder="1" applyAlignment="1">
      <alignment wrapText="1"/>
    </xf>
    <xf numFmtId="0" fontId="35" fillId="4" borderId="37" xfId="0" applyFont="1" applyFill="1" applyBorder="1" applyAlignment="1">
      <alignment horizontal="center" vertical="center" wrapText="1"/>
    </xf>
    <xf numFmtId="0" fontId="40" fillId="0" borderId="0" xfId="0" applyFont="1"/>
    <xf numFmtId="0" fontId="35" fillId="4" borderId="89" xfId="0" applyFont="1" applyFill="1" applyBorder="1" applyAlignment="1">
      <alignment horizontal="center" vertical="center" wrapText="1"/>
    </xf>
    <xf numFmtId="0" fontId="35" fillId="10" borderId="148" xfId="0" applyFont="1" applyFill="1" applyBorder="1" applyAlignment="1">
      <alignment horizontal="center" vertical="center" wrapText="1"/>
    </xf>
    <xf numFmtId="0" fontId="41" fillId="4" borderId="149" xfId="0" applyFont="1" applyFill="1" applyBorder="1" applyAlignment="1">
      <alignment horizontal="left" vertical="center" wrapText="1"/>
    </xf>
    <xf numFmtId="3" fontId="27" fillId="2" borderId="78" xfId="0" applyNumberFormat="1" applyFont="1" applyFill="1" applyBorder="1" applyAlignment="1">
      <alignment horizontal="center" vertical="center"/>
    </xf>
    <xf numFmtId="3" fontId="35" fillId="2" borderId="150" xfId="0" applyNumberFormat="1" applyFont="1" applyFill="1" applyBorder="1" applyAlignment="1">
      <alignment horizontal="center" vertical="center"/>
    </xf>
    <xf numFmtId="3" fontId="27" fillId="2" borderId="150" xfId="0" applyNumberFormat="1" applyFont="1" applyFill="1" applyBorder="1" applyAlignment="1">
      <alignment horizontal="center" vertical="center"/>
    </xf>
    <xf numFmtId="3" fontId="35" fillId="11" borderId="150" xfId="0" applyNumberFormat="1" applyFont="1" applyFill="1" applyBorder="1" applyAlignment="1">
      <alignment horizontal="center" vertical="center"/>
    </xf>
    <xf numFmtId="3" fontId="35" fillId="14" borderId="150" xfId="0" applyNumberFormat="1" applyFont="1" applyFill="1" applyBorder="1" applyAlignment="1">
      <alignment horizontal="center" vertical="center"/>
    </xf>
    <xf numFmtId="3" fontId="27" fillId="11" borderId="150" xfId="0" applyNumberFormat="1" applyFont="1" applyFill="1" applyBorder="1" applyAlignment="1">
      <alignment horizontal="center" vertical="center"/>
    </xf>
    <xf numFmtId="3" fontId="35" fillId="2" borderId="69" xfId="0" applyNumberFormat="1" applyFont="1" applyFill="1" applyBorder="1" applyAlignment="1">
      <alignment horizontal="center" vertical="center" wrapText="1"/>
    </xf>
    <xf numFmtId="3" fontId="35" fillId="11" borderId="69" xfId="0" applyNumberFormat="1" applyFont="1" applyFill="1" applyBorder="1" applyAlignment="1">
      <alignment horizontal="center" vertical="center" wrapText="1"/>
    </xf>
    <xf numFmtId="3" fontId="35" fillId="14" borderId="69" xfId="0" applyNumberFormat="1" applyFont="1" applyFill="1" applyBorder="1" applyAlignment="1">
      <alignment horizontal="center" vertical="center" wrapText="1"/>
    </xf>
    <xf numFmtId="3" fontId="35" fillId="10" borderId="69" xfId="0" applyNumberFormat="1" applyFont="1" applyFill="1" applyBorder="1" applyAlignment="1">
      <alignment horizontal="center" vertical="center" wrapText="1"/>
    </xf>
    <xf numFmtId="3" fontId="27" fillId="10" borderId="69" xfId="0" applyNumberFormat="1" applyFont="1" applyFill="1" applyBorder="1" applyAlignment="1">
      <alignment horizontal="center" vertical="center" wrapText="1"/>
    </xf>
    <xf numFmtId="3" fontId="27" fillId="10" borderId="150" xfId="0" applyNumberFormat="1" applyFont="1" applyFill="1" applyBorder="1" applyAlignment="1">
      <alignment horizontal="center" vertical="center"/>
    </xf>
    <xf numFmtId="4" fontId="43" fillId="10" borderId="43" xfId="0" applyNumberFormat="1" applyFont="1" applyFill="1" applyBorder="1" applyAlignment="1">
      <alignment horizontal="center" vertical="center"/>
    </xf>
    <xf numFmtId="3" fontId="35" fillId="10" borderId="150" xfId="0" applyNumberFormat="1" applyFont="1" applyFill="1" applyBorder="1" applyAlignment="1">
      <alignment horizontal="center" vertical="center"/>
    </xf>
    <xf numFmtId="3" fontId="35" fillId="10" borderId="43" xfId="0" applyNumberFormat="1" applyFont="1" applyFill="1" applyBorder="1" applyAlignment="1">
      <alignment horizontal="center" vertical="center" wrapText="1"/>
    </xf>
    <xf numFmtId="0" fontId="41" fillId="5" borderId="151" xfId="0" applyFont="1" applyFill="1" applyBorder="1" applyAlignment="1">
      <alignment horizontal="left" vertical="center" wrapText="1"/>
    </xf>
    <xf numFmtId="3" fontId="27" fillId="10" borderId="130" xfId="0" applyNumberFormat="1" applyFont="1" applyFill="1" applyBorder="1" applyAlignment="1">
      <alignment horizontal="center" vertical="center"/>
    </xf>
    <xf numFmtId="3" fontId="27" fillId="11" borderId="130" xfId="0" applyNumberFormat="1" applyFont="1" applyFill="1" applyBorder="1" applyAlignment="1">
      <alignment horizontal="center" vertical="center"/>
    </xf>
    <xf numFmtId="182" fontId="27" fillId="10" borderId="43" xfId="0" applyNumberFormat="1" applyFont="1" applyFill="1" applyBorder="1" applyAlignment="1">
      <alignment horizontal="center" vertical="center"/>
    </xf>
    <xf numFmtId="0" fontId="41" fillId="4" borderId="151" xfId="0" applyFont="1" applyFill="1" applyBorder="1" applyAlignment="1">
      <alignment horizontal="left" vertical="center" wrapText="1"/>
    </xf>
    <xf numFmtId="4" fontId="35" fillId="10" borderId="130" xfId="0" applyNumberFormat="1" applyFont="1" applyFill="1" applyBorder="1" applyAlignment="1">
      <alignment horizontal="center" vertical="center"/>
    </xf>
    <xf numFmtId="4" fontId="35" fillId="11" borderId="130" xfId="0" applyNumberFormat="1" applyFont="1" applyFill="1" applyBorder="1" applyAlignment="1">
      <alignment horizontal="center" vertical="center"/>
    </xf>
    <xf numFmtId="0" fontId="27" fillId="10" borderId="43" xfId="0" applyFont="1" applyFill="1" applyBorder="1" applyAlignment="1">
      <alignment horizontal="center" vertical="center"/>
    </xf>
    <xf numFmtId="0" fontId="41" fillId="5" borderId="152" xfId="0" applyFont="1" applyFill="1" applyBorder="1" applyAlignment="1">
      <alignment horizontal="left" vertical="center" wrapText="1"/>
    </xf>
    <xf numFmtId="0" fontId="41" fillId="4" borderId="153" xfId="0" applyFont="1" applyFill="1" applyBorder="1" applyAlignment="1">
      <alignment horizontal="left" vertical="center" wrapText="1"/>
    </xf>
    <xf numFmtId="4" fontId="35" fillId="15" borderId="130" xfId="0" applyNumberFormat="1" applyFont="1" applyFill="1" applyBorder="1" applyAlignment="1">
      <alignment horizontal="center" vertical="center"/>
    </xf>
    <xf numFmtId="0" fontId="27" fillId="11" borderId="43" xfId="0" applyFont="1" applyFill="1" applyBorder="1" applyAlignment="1">
      <alignment horizontal="center" vertical="center"/>
    </xf>
    <xf numFmtId="4" fontId="35" fillId="11" borderId="43" xfId="0" applyNumberFormat="1" applyFont="1" applyFill="1" applyBorder="1" applyAlignment="1">
      <alignment horizontal="center" vertical="center"/>
    </xf>
    <xf numFmtId="0" fontId="35" fillId="11" borderId="43" xfId="0" applyFont="1" applyFill="1" applyBorder="1" applyAlignment="1">
      <alignment horizontal="center" vertical="center"/>
    </xf>
    <xf numFmtId="0" fontId="27" fillId="15" borderId="43" xfId="0" applyFont="1" applyFill="1" applyBorder="1" applyAlignment="1">
      <alignment horizontal="center" vertical="center"/>
    </xf>
    <xf numFmtId="0" fontId="17" fillId="10" borderId="43" xfId="0" applyFont="1" applyFill="1" applyBorder="1" applyAlignment="1">
      <alignment horizontal="center" vertical="center"/>
    </xf>
    <xf numFmtId="4" fontId="35" fillId="10" borderId="43" xfId="0" applyNumberFormat="1" applyFont="1" applyFill="1" applyBorder="1" applyAlignment="1">
      <alignment horizontal="center" vertical="center"/>
    </xf>
    <xf numFmtId="183" fontId="27" fillId="11" borderId="43" xfId="0" applyNumberFormat="1" applyFont="1" applyFill="1" applyBorder="1" applyAlignment="1">
      <alignment horizontal="center" vertical="center"/>
    </xf>
    <xf numFmtId="183" fontId="35" fillId="11" borderId="43" xfId="0" applyNumberFormat="1" applyFont="1" applyFill="1" applyBorder="1" applyAlignment="1">
      <alignment horizontal="center" vertical="center"/>
    </xf>
    <xf numFmtId="3" fontId="35" fillId="2" borderId="130" xfId="0" applyNumberFormat="1" applyFont="1" applyFill="1" applyBorder="1" applyAlignment="1">
      <alignment horizontal="center" vertical="center"/>
    </xf>
    <xf numFmtId="183" fontId="27" fillId="10" borderId="43" xfId="0" applyNumberFormat="1" applyFont="1" applyFill="1" applyBorder="1" applyAlignment="1">
      <alignment horizontal="center" vertical="center"/>
    </xf>
    <xf numFmtId="183" fontId="35" fillId="10" borderId="43" xfId="0" applyNumberFormat="1" applyFont="1" applyFill="1" applyBorder="1" applyAlignment="1">
      <alignment horizontal="center" vertical="center"/>
    </xf>
    <xf numFmtId="3" fontId="27" fillId="10" borderId="131" xfId="0" applyNumberFormat="1" applyFont="1" applyFill="1" applyBorder="1" applyAlignment="1">
      <alignment vertical="top" wrapText="1"/>
    </xf>
    <xf numFmtId="0" fontId="2" fillId="10" borderId="43" xfId="0" applyFont="1" applyFill="1" applyBorder="1"/>
    <xf numFmtId="4" fontId="17" fillId="10" borderId="43" xfId="0" applyNumberFormat="1" applyFont="1" applyFill="1" applyBorder="1" applyAlignment="1">
      <alignment horizontal="center" vertical="center"/>
    </xf>
    <xf numFmtId="4" fontId="35" fillId="14" borderId="130" xfId="0" applyNumberFormat="1" applyFont="1" applyFill="1" applyBorder="1" applyAlignment="1">
      <alignment horizontal="center" vertical="center"/>
    </xf>
    <xf numFmtId="0" fontId="27" fillId="14" borderId="43" xfId="0" applyFont="1" applyFill="1" applyBorder="1" applyAlignment="1">
      <alignment horizontal="center" vertical="center"/>
    </xf>
    <xf numFmtId="3" fontId="30" fillId="10" borderId="43" xfId="0" applyNumberFormat="1" applyFont="1" applyFill="1" applyBorder="1" applyAlignment="1">
      <alignment horizontal="center" vertical="center"/>
    </xf>
    <xf numFmtId="4" fontId="27" fillId="11" borderId="43" xfId="0" applyNumberFormat="1" applyFont="1" applyFill="1" applyBorder="1" applyAlignment="1">
      <alignment horizontal="center" vertical="center"/>
    </xf>
    <xf numFmtId="0" fontId="35" fillId="10" borderId="43" xfId="0" applyFont="1" applyFill="1" applyBorder="1" applyAlignment="1">
      <alignment horizontal="center" vertical="center"/>
    </xf>
    <xf numFmtId="186" fontId="27" fillId="2" borderId="43" xfId="0" applyNumberFormat="1" applyFont="1" applyFill="1" applyBorder="1" applyAlignment="1">
      <alignment horizontal="center" vertical="center"/>
    </xf>
    <xf numFmtId="3" fontId="27" fillId="10" borderId="142" xfId="0" applyNumberFormat="1" applyFont="1" applyFill="1" applyBorder="1" applyAlignment="1">
      <alignment vertical="top" wrapText="1"/>
    </xf>
    <xf numFmtId="39" fontId="27" fillId="0" borderId="78" xfId="0" applyNumberFormat="1" applyFont="1" applyBorder="1" applyAlignment="1">
      <alignment horizontal="center" vertical="center" wrapText="1"/>
    </xf>
    <xf numFmtId="39" fontId="27" fillId="2" borderId="130" xfId="0" applyNumberFormat="1" applyFont="1" applyFill="1" applyBorder="1" applyAlignment="1">
      <alignment horizontal="center" vertical="center" wrapText="1"/>
    </xf>
    <xf numFmtId="39" fontId="27" fillId="11" borderId="130" xfId="0" applyNumberFormat="1" applyFont="1" applyFill="1" applyBorder="1" applyAlignment="1">
      <alignment horizontal="center" vertical="center" wrapText="1"/>
    </xf>
    <xf numFmtId="39" fontId="35" fillId="15" borderId="130" xfId="0" applyNumberFormat="1" applyFont="1" applyFill="1" applyBorder="1" applyAlignment="1">
      <alignment horizontal="center" vertical="center" wrapText="1"/>
    </xf>
    <xf numFmtId="39" fontId="35" fillId="11" borderId="130" xfId="0" applyNumberFormat="1" applyFont="1" applyFill="1" applyBorder="1" applyAlignment="1">
      <alignment horizontal="center" vertical="center" wrapText="1"/>
    </xf>
    <xf numFmtId="39" fontId="35" fillId="11" borderId="43" xfId="0" applyNumberFormat="1" applyFont="1" applyFill="1" applyBorder="1" applyAlignment="1">
      <alignment horizontal="center" vertical="center" wrapText="1"/>
    </xf>
    <xf numFmtId="4" fontId="27" fillId="11" borderId="43" xfId="0" applyNumberFormat="1" applyFont="1" applyFill="1" applyBorder="1" applyAlignment="1">
      <alignment horizontal="center" vertical="center" wrapText="1"/>
    </xf>
    <xf numFmtId="4" fontId="35" fillId="15" borderId="43" xfId="0" applyNumberFormat="1" applyFont="1" applyFill="1" applyBorder="1" applyAlignment="1">
      <alignment horizontal="center" vertical="center" wrapText="1"/>
    </xf>
    <xf numFmtId="4" fontId="27" fillId="10" borderId="43" xfId="0" applyNumberFormat="1" applyFont="1" applyFill="1" applyBorder="1" applyAlignment="1">
      <alignment horizontal="center" vertical="center" wrapText="1"/>
    </xf>
    <xf numFmtId="4" fontId="35" fillId="10" borderId="43" xfId="0" applyNumberFormat="1" applyFont="1" applyFill="1" applyBorder="1" applyAlignment="1">
      <alignment horizontal="center" vertical="center" wrapText="1"/>
    </xf>
    <xf numFmtId="39" fontId="17" fillId="10" borderId="130" xfId="0" applyNumberFormat="1" applyFont="1" applyFill="1" applyBorder="1" applyAlignment="1">
      <alignment horizontal="center" vertical="center" wrapText="1"/>
    </xf>
    <xf numFmtId="4" fontId="30" fillId="10" borderId="43" xfId="0" applyNumberFormat="1" applyFont="1" applyFill="1" applyBorder="1" applyAlignment="1">
      <alignment horizontal="center" vertical="center" wrapText="1"/>
    </xf>
    <xf numFmtId="39" fontId="35" fillId="10" borderId="43" xfId="0" applyNumberFormat="1" applyFont="1" applyFill="1" applyBorder="1" applyAlignment="1">
      <alignment horizontal="center" vertical="center" wrapText="1"/>
    </xf>
    <xf numFmtId="3" fontId="27" fillId="10" borderId="130" xfId="0" applyNumberFormat="1" applyFont="1" applyFill="1" applyBorder="1" applyAlignment="1">
      <alignment horizontal="center" vertical="center" wrapText="1"/>
    </xf>
    <xf numFmtId="3" fontId="27" fillId="11" borderId="130" xfId="0" applyNumberFormat="1" applyFont="1" applyFill="1" applyBorder="1" applyAlignment="1">
      <alignment horizontal="center" vertical="center" wrapText="1"/>
    </xf>
    <xf numFmtId="39" fontId="27" fillId="10" borderId="130" xfId="0" applyNumberFormat="1" applyFont="1" applyFill="1" applyBorder="1" applyAlignment="1">
      <alignment horizontal="center" vertical="center"/>
    </xf>
    <xf numFmtId="39" fontId="27" fillId="11" borderId="130" xfId="0" applyNumberFormat="1" applyFont="1" applyFill="1" applyBorder="1" applyAlignment="1">
      <alignment horizontal="center" vertical="center"/>
    </xf>
    <xf numFmtId="187" fontId="27" fillId="2" borderId="43" xfId="0" applyNumberFormat="1" applyFont="1" applyFill="1" applyBorder="1" applyAlignment="1">
      <alignment horizontal="center" vertical="center"/>
    </xf>
    <xf numFmtId="4" fontId="29" fillId="10" borderId="130" xfId="0" applyNumberFormat="1" applyFont="1" applyFill="1" applyBorder="1" applyAlignment="1">
      <alignment horizontal="center" vertical="center"/>
    </xf>
    <xf numFmtId="4" fontId="27" fillId="10" borderId="131" xfId="0" applyNumberFormat="1" applyFont="1" applyFill="1" applyBorder="1" applyAlignment="1">
      <alignment vertical="top" wrapText="1"/>
    </xf>
    <xf numFmtId="0" fontId="35" fillId="15" borderId="43" xfId="0" applyFont="1" applyFill="1" applyBorder="1" applyAlignment="1">
      <alignment horizontal="center" vertical="center"/>
    </xf>
    <xf numFmtId="4" fontId="27" fillId="10" borderId="142" xfId="0" applyNumberFormat="1" applyFont="1" applyFill="1" applyBorder="1" applyAlignment="1">
      <alignment vertical="top" wrapText="1"/>
    </xf>
    <xf numFmtId="3" fontId="27" fillId="2" borderId="83" xfId="0" applyNumberFormat="1" applyFont="1" applyFill="1" applyBorder="1" applyAlignment="1">
      <alignment horizontal="center" vertical="center"/>
    </xf>
    <xf numFmtId="3" fontId="35" fillId="11" borderId="69" xfId="0" applyNumberFormat="1" applyFont="1" applyFill="1" applyBorder="1" applyAlignment="1">
      <alignment horizontal="center" vertical="center"/>
    </xf>
    <xf numFmtId="3" fontId="17" fillId="10" borderId="150" xfId="0" applyNumberFormat="1" applyFont="1" applyFill="1" applyBorder="1" applyAlignment="1">
      <alignment horizontal="center" vertical="center"/>
    </xf>
    <xf numFmtId="3" fontId="35" fillId="10" borderId="69" xfId="0" applyNumberFormat="1" applyFont="1" applyFill="1" applyBorder="1" applyAlignment="1">
      <alignment horizontal="center" vertical="center"/>
    </xf>
    <xf numFmtId="3" fontId="35" fillId="14" borderId="130" xfId="0" applyNumberFormat="1" applyFont="1" applyFill="1" applyBorder="1" applyAlignment="1">
      <alignment horizontal="center" vertical="center"/>
    </xf>
    <xf numFmtId="4" fontId="35" fillId="14" borderId="43" xfId="0" applyNumberFormat="1" applyFont="1" applyFill="1" applyBorder="1" applyAlignment="1">
      <alignment horizontal="center" vertical="center"/>
    </xf>
    <xf numFmtId="0" fontId="35" fillId="14" borderId="43" xfId="0" applyFont="1" applyFill="1" applyBorder="1" applyAlignment="1">
      <alignment horizontal="center" vertical="center"/>
    </xf>
    <xf numFmtId="3" fontId="29" fillId="10" borderId="130" xfId="0" applyNumberFormat="1" applyFont="1" applyFill="1" applyBorder="1" applyAlignment="1">
      <alignment horizontal="center" vertical="center"/>
    </xf>
    <xf numFmtId="3" fontId="35" fillId="11" borderId="130" xfId="0" applyNumberFormat="1" applyFont="1" applyFill="1" applyBorder="1" applyAlignment="1">
      <alignment horizontal="center" vertical="center"/>
    </xf>
    <xf numFmtId="0" fontId="27" fillId="10" borderId="134" xfId="0" applyFont="1" applyFill="1" applyBorder="1" applyAlignment="1">
      <alignment horizontal="center" vertical="center"/>
    </xf>
    <xf numFmtId="4" fontId="27" fillId="0" borderId="93" xfId="0" applyNumberFormat="1" applyFont="1" applyBorder="1" applyAlignment="1">
      <alignment horizontal="center" vertical="center"/>
    </xf>
    <xf numFmtId="4" fontId="35" fillId="0" borderId="43" xfId="0" applyNumberFormat="1" applyFont="1" applyBorder="1" applyAlignment="1">
      <alignment horizontal="center" vertical="center"/>
    </xf>
    <xf numFmtId="4" fontId="27" fillId="11" borderId="130" xfId="0" applyNumberFormat="1" applyFont="1" applyFill="1" applyBorder="1" applyAlignment="1">
      <alignment horizontal="center" vertical="center"/>
    </xf>
    <xf numFmtId="4" fontId="27" fillId="15" borderId="43" xfId="0" applyNumberFormat="1" applyFont="1" applyFill="1" applyBorder="1" applyAlignment="1">
      <alignment horizontal="center" vertical="center" wrapText="1"/>
    </xf>
    <xf numFmtId="4" fontId="17" fillId="10" borderId="43" xfId="0" applyNumberFormat="1" applyFont="1" applyFill="1" applyBorder="1" applyAlignment="1">
      <alignment horizontal="center" vertical="center" wrapText="1"/>
    </xf>
    <xf numFmtId="4" fontId="30" fillId="10" borderId="43" xfId="0" applyNumberFormat="1" applyFont="1" applyFill="1" applyBorder="1" applyAlignment="1">
      <alignment horizontal="center" vertical="center"/>
    </xf>
    <xf numFmtId="4" fontId="27" fillId="15" borderId="130" xfId="0" applyNumberFormat="1" applyFont="1" applyFill="1" applyBorder="1" applyAlignment="1">
      <alignment horizontal="center" vertical="center"/>
    </xf>
    <xf numFmtId="4" fontId="27" fillId="15" borderId="43" xfId="0" applyNumberFormat="1" applyFont="1" applyFill="1" applyBorder="1" applyAlignment="1">
      <alignment horizontal="center" vertical="center"/>
    </xf>
    <xf numFmtId="4" fontId="27" fillId="10" borderId="130" xfId="0" applyNumberFormat="1" applyFont="1" applyFill="1" applyBorder="1" applyAlignment="1">
      <alignment horizontal="center" vertical="center"/>
    </xf>
    <xf numFmtId="39" fontId="27" fillId="0" borderId="93" xfId="0" applyNumberFormat="1" applyFont="1" applyBorder="1" applyAlignment="1">
      <alignment horizontal="center" vertical="center" wrapText="1"/>
    </xf>
    <xf numFmtId="39" fontId="27" fillId="10" borderId="130" xfId="0" applyNumberFormat="1" applyFont="1" applyFill="1" applyBorder="1" applyAlignment="1">
      <alignment horizontal="center" vertical="center" wrapText="1"/>
    </xf>
    <xf numFmtId="39" fontId="27" fillId="11" borderId="43" xfId="0" applyNumberFormat="1" applyFont="1" applyFill="1" applyBorder="1" applyAlignment="1">
      <alignment horizontal="center" vertical="center" wrapText="1"/>
    </xf>
    <xf numFmtId="4" fontId="27" fillId="13" borderId="43" xfId="0" applyNumberFormat="1" applyFont="1" applyFill="1" applyBorder="1" applyAlignment="1">
      <alignment horizontal="center" vertical="center" wrapText="1"/>
    </xf>
    <xf numFmtId="4" fontId="17" fillId="15" borderId="43" xfId="0" applyNumberFormat="1" applyFont="1" applyFill="1" applyBorder="1" applyAlignment="1">
      <alignment horizontal="center" vertical="center" wrapText="1"/>
    </xf>
    <xf numFmtId="4" fontId="30" fillId="15" borderId="43" xfId="0" applyNumberFormat="1" applyFont="1" applyFill="1" applyBorder="1" applyAlignment="1">
      <alignment horizontal="center" vertical="center" wrapText="1"/>
    </xf>
    <xf numFmtId="4" fontId="43" fillId="15" borderId="43" xfId="0" applyNumberFormat="1" applyFont="1" applyFill="1" applyBorder="1" applyAlignment="1">
      <alignment horizontal="center" vertical="center" wrapText="1"/>
    </xf>
    <xf numFmtId="3" fontId="27" fillId="15" borderId="43" xfId="0" applyNumberFormat="1" applyFont="1" applyFill="1" applyBorder="1" applyAlignment="1">
      <alignment horizontal="center" vertical="center"/>
    </xf>
    <xf numFmtId="4" fontId="35" fillId="15" borderId="43" xfId="0" applyNumberFormat="1" applyFont="1" applyFill="1" applyBorder="1" applyAlignment="1">
      <alignment horizontal="center" vertical="center"/>
    </xf>
    <xf numFmtId="4" fontId="35" fillId="13" borderId="43" xfId="0" applyNumberFormat="1" applyFont="1" applyFill="1" applyBorder="1" applyAlignment="1">
      <alignment horizontal="center" vertical="center"/>
    </xf>
    <xf numFmtId="4" fontId="35" fillId="0" borderId="93" xfId="0" applyNumberFormat="1" applyFont="1" applyBorder="1" applyAlignment="1">
      <alignment horizontal="center" vertical="center"/>
    </xf>
    <xf numFmtId="4" fontId="30" fillId="10" borderId="84" xfId="0" applyNumberFormat="1" applyFont="1" applyFill="1" applyBorder="1" applyAlignment="1">
      <alignment horizontal="center" vertical="center" wrapText="1"/>
    </xf>
    <xf numFmtId="3" fontId="27" fillId="0" borderId="93" xfId="0" applyNumberFormat="1" applyFont="1" applyBorder="1" applyAlignment="1">
      <alignment horizontal="center" vertical="center" wrapText="1"/>
    </xf>
    <xf numFmtId="3" fontId="35" fillId="11" borderId="130" xfId="0" applyNumberFormat="1" applyFont="1" applyFill="1" applyBorder="1" applyAlignment="1">
      <alignment horizontal="center" vertical="center" wrapText="1"/>
    </xf>
    <xf numFmtId="3" fontId="27" fillId="11" borderId="43" xfId="0" applyNumberFormat="1" applyFont="1" applyFill="1" applyBorder="1" applyAlignment="1">
      <alignment horizontal="center" vertical="center"/>
    </xf>
    <xf numFmtId="3" fontId="35" fillId="10" borderId="43" xfId="0" applyNumberFormat="1" applyFont="1" applyFill="1" applyBorder="1" applyAlignment="1">
      <alignment horizontal="center" vertical="center"/>
    </xf>
    <xf numFmtId="3" fontId="30" fillId="10" borderId="84" xfId="0" applyNumberFormat="1" applyFont="1" applyFill="1" applyBorder="1" applyAlignment="1">
      <alignment horizontal="center" vertical="center"/>
    </xf>
    <xf numFmtId="3" fontId="27" fillId="11" borderId="43" xfId="0" applyNumberFormat="1" applyFont="1" applyFill="1" applyBorder="1" applyAlignment="1">
      <alignment horizontal="center" vertical="center" wrapText="1"/>
    </xf>
    <xf numFmtId="3" fontId="27" fillId="10" borderId="43" xfId="0" applyNumberFormat="1" applyFont="1" applyFill="1" applyBorder="1" applyAlignment="1">
      <alignment horizontal="center" vertical="center" wrapText="1"/>
    </xf>
    <xf numFmtId="4" fontId="43" fillId="10" borderId="84" xfId="0" applyNumberFormat="1" applyFont="1" applyFill="1" applyBorder="1" applyAlignment="1">
      <alignment horizontal="center" vertical="center"/>
    </xf>
    <xf numFmtId="39" fontId="27" fillId="0" borderId="93" xfId="0" applyNumberFormat="1" applyFont="1" applyBorder="1" applyAlignment="1">
      <alignment horizontal="center" vertical="center"/>
    </xf>
    <xf numFmtId="39" fontId="35" fillId="11" borderId="130" xfId="0" applyNumberFormat="1" applyFont="1" applyFill="1" applyBorder="1" applyAlignment="1">
      <alignment horizontal="center" vertical="center"/>
    </xf>
    <xf numFmtId="3" fontId="27" fillId="0" borderId="78" xfId="0" applyNumberFormat="1" applyFont="1" applyBorder="1" applyAlignment="1">
      <alignment horizontal="center" vertical="center" wrapText="1"/>
    </xf>
    <xf numFmtId="3" fontId="17" fillId="10" borderId="43" xfId="0" applyNumberFormat="1" applyFont="1" applyFill="1" applyBorder="1" applyAlignment="1">
      <alignment horizontal="center" vertical="center"/>
    </xf>
    <xf numFmtId="3" fontId="30" fillId="10" borderId="43" xfId="0" applyNumberFormat="1" applyFont="1" applyFill="1" applyBorder="1" applyAlignment="1">
      <alignment horizontal="center" vertical="center" wrapText="1"/>
    </xf>
    <xf numFmtId="4" fontId="29" fillId="10" borderId="43" xfId="0" applyNumberFormat="1" applyFont="1" applyFill="1" applyBorder="1" applyAlignment="1">
      <alignment horizontal="center" vertical="center"/>
    </xf>
    <xf numFmtId="39" fontId="27" fillId="0" borderId="78" xfId="0" applyNumberFormat="1" applyFont="1" applyBorder="1" applyAlignment="1">
      <alignment horizontal="center" vertical="center"/>
    </xf>
    <xf numFmtId="4" fontId="43" fillId="10" borderId="43" xfId="0" applyNumberFormat="1" applyFont="1" applyFill="1" applyBorder="1" applyAlignment="1">
      <alignment horizontal="center" vertical="center" wrapText="1"/>
    </xf>
    <xf numFmtId="4" fontId="35" fillId="13" borderId="43" xfId="0" applyNumberFormat="1" applyFont="1" applyFill="1" applyBorder="1" applyAlignment="1">
      <alignment horizontal="center" vertical="center" wrapText="1"/>
    </xf>
    <xf numFmtId="4" fontId="35" fillId="11" borderId="43" xfId="0" applyNumberFormat="1" applyFont="1" applyFill="1" applyBorder="1" applyAlignment="1">
      <alignment horizontal="center" vertical="center" wrapText="1"/>
    </xf>
    <xf numFmtId="4" fontId="43" fillId="11" borderId="43" xfId="0" applyNumberFormat="1" applyFont="1" applyFill="1" applyBorder="1" applyAlignment="1">
      <alignment horizontal="center" vertical="center"/>
    </xf>
    <xf numFmtId="0" fontId="27" fillId="10" borderId="84" xfId="0" applyFont="1" applyFill="1" applyBorder="1" applyAlignment="1">
      <alignment horizontal="center" vertical="center"/>
    </xf>
    <xf numFmtId="4" fontId="17" fillId="11" borderId="43" xfId="0" applyNumberFormat="1" applyFont="1" applyFill="1" applyBorder="1" applyAlignment="1">
      <alignment horizontal="center" vertical="center"/>
    </xf>
    <xf numFmtId="4" fontId="27" fillId="10" borderId="100" xfId="0" applyNumberFormat="1" applyFont="1" applyFill="1" applyBorder="1" applyAlignment="1">
      <alignment vertical="center" wrapText="1"/>
    </xf>
    <xf numFmtId="4" fontId="27" fillId="10" borderId="157" xfId="0" applyNumberFormat="1" applyFont="1" applyFill="1" applyBorder="1" applyAlignment="1">
      <alignment vertical="center" wrapText="1"/>
    </xf>
    <xf numFmtId="4" fontId="27" fillId="10" borderId="126" xfId="0" applyNumberFormat="1" applyFont="1" applyFill="1" applyBorder="1" applyAlignment="1">
      <alignment vertical="center" wrapText="1"/>
    </xf>
    <xf numFmtId="4" fontId="27" fillId="10" borderId="131" xfId="0" applyNumberFormat="1" applyFont="1" applyFill="1" applyBorder="1" applyAlignment="1">
      <alignment vertical="center" wrapText="1"/>
    </xf>
    <xf numFmtId="170" fontId="30" fillId="10" borderId="43" xfId="0" applyNumberFormat="1" applyFont="1" applyFill="1" applyBorder="1" applyAlignment="1">
      <alignment horizontal="center" vertical="center" wrapText="1"/>
    </xf>
    <xf numFmtId="172" fontId="27" fillId="10" borderId="43" xfId="0" applyNumberFormat="1" applyFont="1" applyFill="1" applyBorder="1" applyAlignment="1">
      <alignment horizontal="center" vertical="center"/>
    </xf>
    <xf numFmtId="4" fontId="27" fillId="10" borderId="69" xfId="0" applyNumberFormat="1" applyFont="1" applyFill="1" applyBorder="1" applyAlignment="1">
      <alignment vertical="center" wrapText="1"/>
    </xf>
    <xf numFmtId="4" fontId="27" fillId="10" borderId="43" xfId="0" applyNumberFormat="1" applyFont="1" applyFill="1" applyBorder="1" applyAlignment="1">
      <alignment vertical="center" wrapText="1"/>
    </xf>
    <xf numFmtId="4" fontId="30" fillId="10" borderId="157" xfId="0" applyNumberFormat="1" applyFont="1" applyFill="1" applyBorder="1" applyAlignment="1">
      <alignment vertical="center" wrapText="1"/>
    </xf>
    <xf numFmtId="4" fontId="30" fillId="10" borderId="131" xfId="0" applyNumberFormat="1" applyFont="1" applyFill="1" applyBorder="1" applyAlignment="1">
      <alignment vertical="center" wrapText="1"/>
    </xf>
    <xf numFmtId="4" fontId="30" fillId="10" borderId="142" xfId="0" applyNumberFormat="1" applyFont="1" applyFill="1" applyBorder="1" applyAlignment="1">
      <alignment vertical="center" wrapText="1"/>
    </xf>
    <xf numFmtId="4" fontId="30" fillId="10" borderId="134" xfId="0" applyNumberFormat="1" applyFont="1" applyFill="1" applyBorder="1" applyAlignment="1">
      <alignment horizontal="center" vertical="center" wrapText="1"/>
    </xf>
    <xf numFmtId="4" fontId="27" fillId="10" borderId="142" xfId="0" applyNumberFormat="1" applyFont="1" applyFill="1" applyBorder="1" applyAlignment="1">
      <alignment vertical="center" wrapText="1"/>
    </xf>
    <xf numFmtId="4" fontId="27" fillId="2" borderId="78" xfId="0" applyNumberFormat="1" applyFont="1" applyFill="1" applyBorder="1" applyAlignment="1">
      <alignment horizontal="center" vertical="center"/>
    </xf>
    <xf numFmtId="4" fontId="27" fillId="11" borderId="78" xfId="0" applyNumberFormat="1" applyFont="1" applyFill="1" applyBorder="1" applyAlignment="1">
      <alignment horizontal="center" vertical="center"/>
    </xf>
    <xf numFmtId="4" fontId="27" fillId="15" borderId="78" xfId="0" applyNumberFormat="1" applyFont="1" applyFill="1" applyBorder="1" applyAlignment="1">
      <alignment horizontal="center" vertical="center"/>
    </xf>
    <xf numFmtId="4" fontId="43" fillId="15" borderId="43" xfId="0" applyNumberFormat="1" applyFont="1" applyFill="1" applyBorder="1" applyAlignment="1">
      <alignment horizontal="center" vertical="center"/>
    </xf>
    <xf numFmtId="4" fontId="17" fillId="15" borderId="43" xfId="0" applyNumberFormat="1" applyFont="1" applyFill="1" applyBorder="1" applyAlignment="1">
      <alignment horizontal="center" vertical="center"/>
    </xf>
    <xf numFmtId="4" fontId="29" fillId="15" borderId="43" xfId="0" applyNumberFormat="1" applyFont="1" applyFill="1" applyBorder="1" applyAlignment="1">
      <alignment horizontal="center" vertical="center"/>
    </xf>
    <xf numFmtId="3" fontId="35" fillId="15" borderId="43" xfId="0" applyNumberFormat="1" applyFont="1" applyFill="1" applyBorder="1" applyAlignment="1">
      <alignment horizontal="center" vertical="center"/>
    </xf>
    <xf numFmtId="3" fontId="17" fillId="15" borderId="43" xfId="0" applyNumberFormat="1" applyFont="1" applyFill="1" applyBorder="1" applyAlignment="1">
      <alignment horizontal="center" vertical="center"/>
    </xf>
    <xf numFmtId="3" fontId="30" fillId="15" borderId="43" xfId="0" applyNumberFormat="1" applyFont="1" applyFill="1" applyBorder="1" applyAlignment="1">
      <alignment horizontal="center" vertical="center" wrapText="1"/>
    </xf>
    <xf numFmtId="3" fontId="27" fillId="15" borderId="130" xfId="0" applyNumberFormat="1" applyFont="1" applyFill="1" applyBorder="1" applyAlignment="1">
      <alignment horizontal="center" vertical="center" wrapText="1"/>
    </xf>
    <xf numFmtId="3" fontId="30" fillId="15" borderId="43" xfId="0" applyNumberFormat="1" applyFont="1" applyFill="1" applyBorder="1" applyAlignment="1">
      <alignment horizontal="center" vertical="center"/>
    </xf>
    <xf numFmtId="39" fontId="27" fillId="15" borderId="130" xfId="0" applyNumberFormat="1" applyFont="1" applyFill="1" applyBorder="1" applyAlignment="1">
      <alignment horizontal="center" vertical="center"/>
    </xf>
    <xf numFmtId="4" fontId="35" fillId="2" borderId="78" xfId="0" applyNumberFormat="1" applyFont="1" applyFill="1" applyBorder="1" applyAlignment="1">
      <alignment horizontal="center" vertical="center"/>
    </xf>
    <xf numFmtId="3" fontId="27" fillId="2" borderId="78" xfId="0" applyNumberFormat="1" applyFont="1" applyFill="1" applyBorder="1" applyAlignment="1">
      <alignment horizontal="center" vertical="center" wrapText="1"/>
    </xf>
    <xf numFmtId="39" fontId="27" fillId="2" borderId="78" xfId="0" applyNumberFormat="1" applyFont="1" applyFill="1" applyBorder="1" applyAlignment="1">
      <alignment horizontal="center" vertical="center"/>
    </xf>
    <xf numFmtId="0" fontId="17" fillId="15" borderId="43" xfId="0" applyFont="1" applyFill="1" applyBorder="1" applyAlignment="1">
      <alignment horizontal="center" vertical="center"/>
    </xf>
    <xf numFmtId="174" fontId="43" fillId="16" borderId="43" xfId="0" applyNumberFormat="1" applyFont="1" applyFill="1" applyBorder="1" applyAlignment="1">
      <alignment horizontal="left" vertical="center" wrapText="1"/>
    </xf>
    <xf numFmtId="174" fontId="43" fillId="16" borderId="43" xfId="0" applyNumberFormat="1" applyFont="1" applyFill="1" applyBorder="1" applyAlignment="1">
      <alignment horizontal="center" vertical="center" wrapText="1"/>
    </xf>
    <xf numFmtId="173" fontId="43" fillId="16" borderId="43" xfId="0" applyNumberFormat="1" applyFont="1" applyFill="1" applyBorder="1" applyAlignment="1">
      <alignment horizontal="center" vertical="center" wrapText="1"/>
    </xf>
    <xf numFmtId="174" fontId="35" fillId="16" borderId="43" xfId="0" applyNumberFormat="1" applyFont="1" applyFill="1" applyBorder="1" applyAlignment="1">
      <alignment vertical="center" wrapText="1"/>
    </xf>
    <xf numFmtId="174" fontId="2" fillId="0" borderId="0" xfId="0" applyNumberFormat="1" applyFont="1"/>
    <xf numFmtId="0" fontId="43" fillId="16" borderId="43" xfId="0" applyFont="1" applyFill="1" applyBorder="1" applyAlignment="1">
      <alignment horizontal="left" vertical="center" wrapText="1"/>
    </xf>
    <xf numFmtId="175" fontId="43" fillId="16" borderId="43" xfId="0" applyNumberFormat="1" applyFont="1" applyFill="1" applyBorder="1" applyAlignment="1">
      <alignment horizontal="center" vertical="center" wrapText="1"/>
    </xf>
    <xf numFmtId="0" fontId="35" fillId="16" borderId="43" xfId="0" applyFont="1" applyFill="1" applyBorder="1" applyAlignment="1">
      <alignment vertical="center" wrapText="1"/>
    </xf>
    <xf numFmtId="4" fontId="2" fillId="11" borderId="1" xfId="0" applyNumberFormat="1" applyFont="1" applyFill="1" applyBorder="1"/>
    <xf numFmtId="4" fontId="2" fillId="10" borderId="1" xfId="0" applyNumberFormat="1" applyFont="1" applyFill="1" applyBorder="1"/>
    <xf numFmtId="0" fontId="2" fillId="10" borderId="1" xfId="0" applyFont="1" applyFill="1" applyBorder="1"/>
    <xf numFmtId="0" fontId="23" fillId="12" borderId="1" xfId="0" applyFont="1" applyFill="1" applyBorder="1"/>
    <xf numFmtId="4" fontId="2" fillId="12" borderId="1" xfId="0" applyNumberFormat="1" applyFont="1" applyFill="1" applyBorder="1" applyAlignment="1">
      <alignment horizontal="center"/>
    </xf>
    <xf numFmtId="0" fontId="50" fillId="12" borderId="1" xfId="0" applyFont="1" applyFill="1" applyBorder="1"/>
    <xf numFmtId="0" fontId="50" fillId="12" borderId="1" xfId="0" applyFont="1" applyFill="1" applyBorder="1" applyAlignment="1">
      <alignment horizontal="center"/>
    </xf>
    <xf numFmtId="0" fontId="51" fillId="12" borderId="1" xfId="0" applyFont="1" applyFill="1" applyBorder="1" applyAlignment="1">
      <alignment horizontal="center"/>
    </xf>
    <xf numFmtId="0" fontId="23" fillId="17" borderId="43" xfId="0" applyFont="1" applyFill="1" applyBorder="1" applyAlignment="1">
      <alignment horizontal="center" vertical="center"/>
    </xf>
    <xf numFmtId="0" fontId="2" fillId="12" borderId="1" xfId="0" applyFont="1" applyFill="1" applyBorder="1" applyAlignment="1">
      <alignment horizontal="center"/>
    </xf>
    <xf numFmtId="0" fontId="2" fillId="11" borderId="1" xfId="0" applyFont="1" applyFill="1" applyBorder="1"/>
    <xf numFmtId="167" fontId="13" fillId="11" borderId="1" xfId="0" applyNumberFormat="1" applyFont="1" applyFill="1" applyBorder="1" applyAlignment="1">
      <alignment horizontal="center"/>
    </xf>
    <xf numFmtId="167" fontId="13" fillId="10" borderId="1" xfId="0" applyNumberFormat="1" applyFont="1" applyFill="1" applyBorder="1" applyAlignment="1">
      <alignment horizontal="center"/>
    </xf>
    <xf numFmtId="175" fontId="43" fillId="10" borderId="1" xfId="0" applyNumberFormat="1" applyFont="1" applyFill="1" applyBorder="1" applyAlignment="1">
      <alignment horizontal="center" vertical="center" wrapText="1"/>
    </xf>
    <xf numFmtId="181" fontId="59" fillId="4" borderId="44" xfId="0" applyNumberFormat="1" applyFont="1" applyFill="1" applyBorder="1" applyAlignment="1">
      <alignment vertical="center"/>
    </xf>
    <xf numFmtId="181" fontId="59" fillId="5" borderId="43" xfId="0" applyNumberFormat="1" applyFont="1" applyFill="1" applyBorder="1" applyAlignment="1">
      <alignment vertical="center"/>
    </xf>
    <xf numFmtId="181" fontId="59" fillId="5" borderId="100" xfId="0" applyNumberFormat="1" applyFont="1" applyFill="1" applyBorder="1" applyAlignment="1">
      <alignment vertical="center"/>
    </xf>
    <xf numFmtId="181" fontId="59" fillId="4" borderId="43" xfId="0" applyNumberFormat="1" applyFont="1" applyFill="1" applyBorder="1" applyAlignment="1">
      <alignment vertical="center"/>
    </xf>
    <xf numFmtId="0" fontId="11" fillId="19" borderId="11" xfId="0" applyFont="1" applyFill="1" applyBorder="1" applyAlignment="1">
      <alignment horizontal="left" vertical="center" wrapText="1"/>
    </xf>
    <xf numFmtId="4" fontId="2" fillId="19" borderId="0" xfId="0" applyNumberFormat="1" applyFont="1" applyFill="1"/>
    <xf numFmtId="0" fontId="2" fillId="19" borderId="0" xfId="0" applyFont="1" applyFill="1" applyAlignment="1">
      <alignment horizontal="center"/>
    </xf>
    <xf numFmtId="0" fontId="2" fillId="19" borderId="0" xfId="0" applyFont="1" applyFill="1"/>
    <xf numFmtId="0" fontId="0" fillId="19" borderId="0" xfId="0" applyFill="1"/>
    <xf numFmtId="0" fontId="41" fillId="4" borderId="150" xfId="0" applyFont="1" applyFill="1" applyBorder="1" applyAlignment="1">
      <alignment horizontal="left" vertical="center" wrapText="1"/>
    </xf>
    <xf numFmtId="173" fontId="41" fillId="5" borderId="130" xfId="0" applyNumberFormat="1" applyFont="1" applyFill="1" applyBorder="1" applyAlignment="1">
      <alignment horizontal="left" vertical="center" wrapText="1"/>
    </xf>
    <xf numFmtId="0" fontId="41" fillId="4" borderId="130" xfId="0" applyFont="1" applyFill="1" applyBorder="1" applyAlignment="1">
      <alignment horizontal="left" vertical="center" wrapText="1"/>
    </xf>
    <xf numFmtId="0" fontId="13" fillId="0" borderId="0" xfId="3" applyNumberFormat="1" applyFont="1" applyAlignment="1">
      <alignment horizontal="center"/>
    </xf>
    <xf numFmtId="0" fontId="2" fillId="20" borderId="89" xfId="0" applyFont="1" applyFill="1" applyBorder="1"/>
    <xf numFmtId="0" fontId="2" fillId="20" borderId="46" xfId="0" applyFont="1" applyFill="1" applyBorder="1" applyAlignment="1">
      <alignment horizontal="center" wrapText="1"/>
    </xf>
    <xf numFmtId="166" fontId="2" fillId="20" borderId="43" xfId="0" applyNumberFormat="1" applyFont="1" applyFill="1" applyBorder="1" applyAlignment="1">
      <alignment wrapText="1"/>
    </xf>
    <xf numFmtId="174" fontId="2" fillId="20" borderId="46" xfId="0" applyNumberFormat="1" applyFont="1" applyFill="1" applyBorder="1" applyAlignment="1">
      <alignment wrapText="1"/>
    </xf>
    <xf numFmtId="174" fontId="2" fillId="20" borderId="43" xfId="0" applyNumberFormat="1" applyFont="1" applyFill="1" applyBorder="1"/>
    <xf numFmtId="4" fontId="2" fillId="20" borderId="43" xfId="0" applyNumberFormat="1" applyFont="1" applyFill="1" applyBorder="1"/>
    <xf numFmtId="181" fontId="2" fillId="20" borderId="84" xfId="0" applyNumberFormat="1" applyFont="1" applyFill="1" applyBorder="1"/>
    <xf numFmtId="0" fontId="46" fillId="20" borderId="0" xfId="0" applyFont="1" applyFill="1"/>
    <xf numFmtId="9" fontId="2" fillId="20" borderId="0" xfId="0" applyNumberFormat="1" applyFont="1" applyFill="1"/>
    <xf numFmtId="0" fontId="2" fillId="20" borderId="0" xfId="0" applyFont="1" applyFill="1" applyAlignment="1">
      <alignment wrapText="1"/>
    </xf>
    <xf numFmtId="0" fontId="2" fillId="21" borderId="140" xfId="0" applyFont="1" applyFill="1" applyBorder="1" applyAlignment="1">
      <alignment horizontal="center" vertical="center" wrapText="1"/>
    </xf>
    <xf numFmtId="0" fontId="2" fillId="21" borderId="44" xfId="0" applyFont="1" applyFill="1" applyBorder="1" applyAlignment="1">
      <alignment vertical="center" wrapText="1"/>
    </xf>
    <xf numFmtId="0" fontId="2" fillId="21" borderId="46" xfId="0" applyFont="1" applyFill="1" applyBorder="1" applyAlignment="1">
      <alignment horizontal="center" vertical="center"/>
    </xf>
    <xf numFmtId="0" fontId="2" fillId="21" borderId="44" xfId="0" applyFont="1" applyFill="1" applyBorder="1" applyAlignment="1">
      <alignment horizontal="center" vertical="center"/>
    </xf>
    <xf numFmtId="0" fontId="2" fillId="19" borderId="43" xfId="0" applyFont="1" applyFill="1" applyBorder="1"/>
    <xf numFmtId="9" fontId="2" fillId="19" borderId="43" xfId="0" applyNumberFormat="1" applyFont="1" applyFill="1" applyBorder="1"/>
    <xf numFmtId="0" fontId="2" fillId="19" borderId="84" xfId="0" applyFont="1" applyFill="1" applyBorder="1" applyAlignment="1">
      <alignment wrapText="1"/>
    </xf>
    <xf numFmtId="0" fontId="2" fillId="21" borderId="43" xfId="0" applyFont="1" applyFill="1" applyBorder="1" applyAlignment="1">
      <alignment horizontal="center" vertical="center" wrapText="1"/>
    </xf>
    <xf numFmtId="0" fontId="2" fillId="21" borderId="43" xfId="0" applyFont="1" applyFill="1" applyBorder="1" applyAlignment="1">
      <alignment vertical="center" wrapText="1"/>
    </xf>
    <xf numFmtId="0" fontId="2" fillId="21" borderId="43" xfId="0" applyFont="1" applyFill="1" applyBorder="1" applyAlignment="1">
      <alignment horizontal="center" vertical="center"/>
    </xf>
    <xf numFmtId="0" fontId="2" fillId="21" borderId="46" xfId="0" applyFont="1" applyFill="1" applyBorder="1" applyAlignment="1">
      <alignment horizontal="center" vertical="center" wrapText="1"/>
    </xf>
    <xf numFmtId="0" fontId="2" fillId="21" borderId="46" xfId="0" applyFont="1" applyFill="1" applyBorder="1" applyAlignment="1">
      <alignment vertical="center" wrapText="1"/>
    </xf>
    <xf numFmtId="0" fontId="2" fillId="21" borderId="43" xfId="0" applyFont="1" applyFill="1" applyBorder="1"/>
    <xf numFmtId="9" fontId="2" fillId="21" borderId="43" xfId="0" applyNumberFormat="1" applyFont="1" applyFill="1" applyBorder="1"/>
    <xf numFmtId="0" fontId="2" fillId="21" borderId="84" xfId="0" applyFont="1" applyFill="1" applyBorder="1" applyAlignment="1">
      <alignment wrapText="1"/>
    </xf>
    <xf numFmtId="0" fontId="2" fillId="21" borderId="1" xfId="0" applyFont="1" applyFill="1" applyBorder="1"/>
    <xf numFmtId="0" fontId="48" fillId="21" borderId="1" xfId="0" applyFont="1" applyFill="1" applyBorder="1"/>
    <xf numFmtId="0" fontId="2" fillId="21" borderId="84" xfId="0" applyFont="1" applyFill="1" applyBorder="1" applyAlignment="1">
      <alignment vertical="center" wrapText="1"/>
    </xf>
    <xf numFmtId="0" fontId="2" fillId="0" borderId="155" xfId="0" applyFont="1" applyBorder="1" applyAlignment="1">
      <alignment horizontal="center" vertical="center" wrapText="1"/>
    </xf>
    <xf numFmtId="0" fontId="17" fillId="0" borderId="155" xfId="0" applyFont="1" applyBorder="1" applyAlignment="1">
      <alignment horizontal="center" vertical="center" wrapText="1"/>
    </xf>
    <xf numFmtId="0" fontId="2" fillId="0" borderId="155" xfId="0" applyFont="1" applyBorder="1" applyAlignment="1">
      <alignment horizontal="center" vertical="center"/>
    </xf>
    <xf numFmtId="0" fontId="17" fillId="21" borderId="69" xfId="0" applyFont="1" applyFill="1" applyBorder="1" applyAlignment="1">
      <alignment horizontal="center" vertical="center" wrapText="1"/>
    </xf>
    <xf numFmtId="3" fontId="2" fillId="21" borderId="43" xfId="0" applyNumberFormat="1" applyFont="1" applyFill="1" applyBorder="1" applyAlignment="1">
      <alignment horizontal="center" vertical="center"/>
    </xf>
    <xf numFmtId="164" fontId="2" fillId="21" borderId="43" xfId="0" applyNumberFormat="1" applyFont="1" applyFill="1" applyBorder="1" applyAlignment="1">
      <alignment horizontal="center" vertical="center"/>
    </xf>
    <xf numFmtId="0" fontId="2" fillId="21" borderId="84" xfId="0" applyFont="1" applyFill="1" applyBorder="1" applyAlignment="1">
      <alignment horizontal="center" vertical="center"/>
    </xf>
    <xf numFmtId="0" fontId="2" fillId="21" borderId="1" xfId="0" applyFont="1" applyFill="1" applyBorder="1" applyAlignment="1">
      <alignment horizontal="center" vertical="center"/>
    </xf>
    <xf numFmtId="9" fontId="2" fillId="21" borderId="1" xfId="0" applyNumberFormat="1" applyFont="1" applyFill="1" applyBorder="1" applyAlignment="1">
      <alignment horizontal="center" vertical="center"/>
    </xf>
    <xf numFmtId="0" fontId="2" fillId="21" borderId="1" xfId="0" applyFont="1" applyFill="1" applyBorder="1" applyAlignment="1">
      <alignment horizontal="center" vertical="center" wrapText="1"/>
    </xf>
    <xf numFmtId="0" fontId="17" fillId="21" borderId="43" xfId="0" applyFont="1" applyFill="1" applyBorder="1" applyAlignment="1">
      <alignment horizontal="center" vertical="center" wrapText="1"/>
    </xf>
    <xf numFmtId="168" fontId="2" fillId="21" borderId="43" xfId="0" applyNumberFormat="1" applyFont="1" applyFill="1" applyBorder="1" applyAlignment="1">
      <alignment horizontal="center" vertical="center"/>
    </xf>
    <xf numFmtId="174" fontId="2" fillId="21" borderId="43" xfId="0" applyNumberFormat="1" applyFont="1" applyFill="1" applyBorder="1" applyAlignment="1">
      <alignment horizontal="center" vertical="center"/>
    </xf>
    <xf numFmtId="170" fontId="2" fillId="21" borderId="43" xfId="0" applyNumberFormat="1" applyFont="1" applyFill="1" applyBorder="1" applyAlignment="1">
      <alignment horizontal="center" vertical="center"/>
    </xf>
    <xf numFmtId="4" fontId="2" fillId="21" borderId="69" xfId="0" applyNumberFormat="1" applyFont="1" applyFill="1" applyBorder="1" applyAlignment="1">
      <alignment horizontal="center" vertical="center"/>
    </xf>
    <xf numFmtId="0" fontId="2" fillId="21" borderId="142" xfId="0" applyFont="1" applyFill="1" applyBorder="1" applyAlignment="1">
      <alignment horizontal="center" vertical="center"/>
    </xf>
    <xf numFmtId="0" fontId="4" fillId="0" borderId="141" xfId="0" applyFont="1" applyBorder="1"/>
    <xf numFmtId="186" fontId="2" fillId="0" borderId="155" xfId="0" applyNumberFormat="1" applyFont="1" applyBorder="1" applyAlignment="1">
      <alignment horizontal="center" vertical="center"/>
    </xf>
    <xf numFmtId="0" fontId="17" fillId="21" borderId="43" xfId="0" applyFont="1" applyFill="1" applyBorder="1" applyAlignment="1">
      <alignment vertical="center" wrapText="1"/>
    </xf>
    <xf numFmtId="0" fontId="2" fillId="21" borderId="43" xfId="0" applyFont="1" applyFill="1" applyBorder="1" applyAlignment="1">
      <alignment vertical="center"/>
    </xf>
    <xf numFmtId="10" fontId="2" fillId="21" borderId="43" xfId="0" applyNumberFormat="1" applyFont="1" applyFill="1" applyBorder="1"/>
    <xf numFmtId="9" fontId="2" fillId="21" borderId="1" xfId="0" applyNumberFormat="1" applyFont="1" applyFill="1" applyBorder="1"/>
    <xf numFmtId="0" fontId="2" fillId="21" borderId="1" xfId="0" applyFont="1" applyFill="1" applyBorder="1" applyAlignment="1">
      <alignment wrapText="1"/>
    </xf>
    <xf numFmtId="0" fontId="2" fillId="19" borderId="43" xfId="0" applyFont="1" applyFill="1" applyBorder="1" applyAlignment="1">
      <alignment horizontal="center" vertical="center"/>
    </xf>
    <xf numFmtId="0" fontId="0" fillId="18" borderId="0" xfId="0" applyFill="1"/>
    <xf numFmtId="167" fontId="13" fillId="19" borderId="0" xfId="0" applyNumberFormat="1" applyFont="1" applyFill="1" applyAlignment="1">
      <alignment horizontal="center"/>
    </xf>
    <xf numFmtId="0" fontId="38" fillId="0" borderId="11" xfId="0" applyFont="1" applyBorder="1" applyAlignment="1">
      <alignment horizontal="left" vertical="center" wrapText="1"/>
    </xf>
    <xf numFmtId="0" fontId="38" fillId="0" borderId="115" xfId="0" applyFont="1" applyBorder="1" applyAlignment="1">
      <alignment horizontal="left" vertical="center" wrapText="1"/>
    </xf>
    <xf numFmtId="0" fontId="2" fillId="0" borderId="1" xfId="0" applyFont="1" applyBorder="1"/>
    <xf numFmtId="0" fontId="23" fillId="0" borderId="43" xfId="0" applyFont="1" applyBorder="1" applyAlignment="1">
      <alignment horizontal="center" vertical="center"/>
    </xf>
    <xf numFmtId="0" fontId="2" fillId="19" borderId="78" xfId="0" applyFont="1" applyFill="1" applyBorder="1"/>
    <xf numFmtId="0" fontId="2" fillId="19" borderId="43" xfId="0" applyFont="1" applyFill="1" applyBorder="1" applyAlignment="1">
      <alignment horizontal="center" wrapText="1"/>
    </xf>
    <xf numFmtId="0" fontId="2" fillId="19" borderId="43" xfId="0" applyFont="1" applyFill="1" applyBorder="1" applyAlignment="1">
      <alignment wrapText="1"/>
    </xf>
    <xf numFmtId="0" fontId="2" fillId="19" borderId="84" xfId="0" applyFont="1" applyFill="1" applyBorder="1"/>
    <xf numFmtId="9" fontId="2" fillId="19" borderId="0" xfId="0" applyNumberFormat="1" applyFont="1" applyFill="1"/>
    <xf numFmtId="0" fontId="2" fillId="19" borderId="0" xfId="0" applyFont="1" applyFill="1" applyAlignment="1">
      <alignment wrapText="1"/>
    </xf>
    <xf numFmtId="0" fontId="27" fillId="22" borderId="1" xfId="0" applyFont="1" applyFill="1" applyBorder="1" applyAlignment="1">
      <alignment vertical="center"/>
    </xf>
    <xf numFmtId="0" fontId="23" fillId="23" borderId="43" xfId="0" applyFont="1" applyFill="1" applyBorder="1" applyAlignment="1">
      <alignment horizontal="center" vertical="center"/>
    </xf>
    <xf numFmtId="0" fontId="27" fillId="19" borderId="0" xfId="0" applyFont="1" applyFill="1" applyAlignment="1">
      <alignment vertical="center"/>
    </xf>
    <xf numFmtId="44" fontId="17" fillId="0" borderId="43" xfId="1" applyFont="1" applyFill="1" applyBorder="1" applyAlignment="1">
      <alignment horizontal="center" vertical="center" wrapText="1"/>
    </xf>
    <xf numFmtId="174" fontId="17" fillId="0" borderId="45" xfId="1" applyNumberFormat="1" applyFont="1" applyFill="1" applyBorder="1" applyAlignment="1">
      <alignment horizontal="center" vertical="center" wrapText="1"/>
    </xf>
    <xf numFmtId="174" fontId="17" fillId="0" borderId="43" xfId="1" applyNumberFormat="1" applyFont="1" applyFill="1" applyBorder="1" applyAlignment="1">
      <alignment horizontal="center" vertical="center" wrapText="1"/>
    </xf>
    <xf numFmtId="44" fontId="64" fillId="0" borderId="43" xfId="1" applyFont="1" applyFill="1" applyBorder="1" applyAlignment="1">
      <alignment horizontal="center" vertical="center" wrapText="1"/>
    </xf>
    <xf numFmtId="2" fontId="17" fillId="0" borderId="43" xfId="1" applyNumberFormat="1" applyFont="1" applyFill="1" applyBorder="1" applyAlignment="1">
      <alignment horizontal="center" vertical="center" wrapText="1"/>
    </xf>
    <xf numFmtId="174" fontId="17" fillId="25" borderId="166" xfId="0" applyNumberFormat="1" applyFont="1" applyFill="1" applyBorder="1" applyAlignment="1">
      <alignment horizontal="center" vertical="center" wrapText="1"/>
    </xf>
    <xf numFmtId="174" fontId="17" fillId="25" borderId="167" xfId="0" applyNumberFormat="1" applyFont="1" applyFill="1" applyBorder="1" applyAlignment="1">
      <alignment horizontal="center" vertical="center" wrapText="1"/>
    </xf>
    <xf numFmtId="9" fontId="2" fillId="25" borderId="167" xfId="0" applyNumberFormat="1" applyFont="1" applyFill="1" applyBorder="1" applyAlignment="1">
      <alignment horizontal="center" vertical="center"/>
    </xf>
    <xf numFmtId="10" fontId="2" fillId="25" borderId="167" xfId="0" applyNumberFormat="1" applyFont="1" applyFill="1" applyBorder="1" applyAlignment="1">
      <alignment horizontal="center" vertical="center" wrapText="1"/>
    </xf>
    <xf numFmtId="10" fontId="2" fillId="25" borderId="168" xfId="0" applyNumberFormat="1" applyFont="1" applyFill="1" applyBorder="1" applyAlignment="1">
      <alignment horizontal="center" vertical="center" wrapText="1"/>
    </xf>
    <xf numFmtId="2" fontId="17" fillId="0" borderId="69" xfId="1" applyNumberFormat="1" applyFont="1" applyFill="1" applyBorder="1" applyAlignment="1">
      <alignment horizontal="center" vertical="center" wrapText="1"/>
    </xf>
    <xf numFmtId="173" fontId="17" fillId="25" borderId="167" xfId="0" applyNumberFormat="1" applyFont="1" applyFill="1" applyBorder="1" applyAlignment="1">
      <alignment horizontal="center" vertical="center"/>
    </xf>
    <xf numFmtId="3" fontId="17" fillId="25" borderId="167" xfId="0" applyNumberFormat="1" applyFont="1" applyFill="1" applyBorder="1" applyAlignment="1">
      <alignment horizontal="center" vertical="center" wrapText="1"/>
    </xf>
    <xf numFmtId="174" fontId="17" fillId="25" borderId="167" xfId="0" applyNumberFormat="1" applyFont="1" applyFill="1" applyBorder="1" applyAlignment="1">
      <alignment horizontal="center" vertical="center"/>
    </xf>
    <xf numFmtId="173" fontId="17" fillId="26" borderId="169" xfId="0" applyNumberFormat="1" applyFont="1" applyFill="1" applyBorder="1" applyAlignment="1">
      <alignment horizontal="center" vertical="center"/>
    </xf>
    <xf numFmtId="173" fontId="17" fillId="26" borderId="170" xfId="0" applyNumberFormat="1" applyFont="1" applyFill="1" applyBorder="1" applyAlignment="1">
      <alignment horizontal="center" vertical="center" wrapText="1"/>
    </xf>
    <xf numFmtId="174" fontId="17" fillId="26" borderId="170" xfId="0" applyNumberFormat="1" applyFont="1" applyFill="1" applyBorder="1" applyAlignment="1">
      <alignment horizontal="center" vertical="center" wrapText="1"/>
    </xf>
    <xf numFmtId="173" fontId="17" fillId="26" borderId="172" xfId="0" applyNumberFormat="1" applyFont="1" applyFill="1" applyBorder="1" applyAlignment="1">
      <alignment horizontal="center" vertical="center"/>
    </xf>
    <xf numFmtId="173" fontId="17" fillId="26" borderId="43" xfId="0" applyNumberFormat="1" applyFont="1" applyFill="1" applyBorder="1" applyAlignment="1">
      <alignment horizontal="center" vertical="center"/>
    </xf>
    <xf numFmtId="173" fontId="17" fillId="26" borderId="43" xfId="0" applyNumberFormat="1" applyFont="1" applyFill="1" applyBorder="1" applyAlignment="1">
      <alignment horizontal="center" vertical="center" wrapText="1"/>
    </xf>
    <xf numFmtId="174" fontId="17" fillId="26" borderId="43" xfId="0" applyNumberFormat="1" applyFont="1" applyFill="1" applyBorder="1" applyAlignment="1">
      <alignment horizontal="center" vertical="center"/>
    </xf>
    <xf numFmtId="174" fontId="17" fillId="26" borderId="43" xfId="0" applyNumberFormat="1" applyFont="1" applyFill="1" applyBorder="1" applyAlignment="1">
      <alignment horizontal="center" vertical="center" wrapText="1"/>
    </xf>
    <xf numFmtId="173" fontId="17" fillId="26" borderId="174" xfId="0" applyNumberFormat="1" applyFont="1" applyFill="1" applyBorder="1" applyAlignment="1">
      <alignment horizontal="center" vertical="center" wrapText="1"/>
    </xf>
    <xf numFmtId="173" fontId="17" fillId="26" borderId="175" xfId="0" applyNumberFormat="1" applyFont="1" applyFill="1" applyBorder="1" applyAlignment="1">
      <alignment horizontal="center" vertical="center" wrapText="1"/>
    </xf>
    <xf numFmtId="174" fontId="17" fillId="26" borderId="175" xfId="0" applyNumberFormat="1" applyFont="1" applyFill="1" applyBorder="1" applyAlignment="1">
      <alignment horizontal="center" vertical="center" wrapText="1"/>
    </xf>
    <xf numFmtId="173" fontId="17" fillId="26" borderId="176" xfId="0" applyNumberFormat="1" applyFont="1" applyFill="1" applyBorder="1" applyAlignment="1">
      <alignment horizontal="center" vertical="center" wrapText="1"/>
    </xf>
    <xf numFmtId="173" fontId="17" fillId="26" borderId="177" xfId="0" applyNumberFormat="1" applyFont="1" applyFill="1" applyBorder="1" applyAlignment="1">
      <alignment horizontal="center" vertical="center" wrapText="1"/>
    </xf>
    <xf numFmtId="0" fontId="7" fillId="0" borderId="90" xfId="0" applyFont="1" applyBorder="1" applyAlignment="1">
      <alignment horizontal="center" vertical="top" wrapText="1"/>
    </xf>
    <xf numFmtId="10" fontId="30" fillId="0" borderId="45" xfId="0" applyNumberFormat="1" applyFont="1" applyBorder="1" applyAlignment="1">
      <alignment horizontal="center" vertical="center" wrapText="1"/>
    </xf>
    <xf numFmtId="10" fontId="30" fillId="0" borderId="69" xfId="0" applyNumberFormat="1" applyFont="1" applyBorder="1" applyAlignment="1">
      <alignment horizontal="center" vertical="center" wrapText="1"/>
    </xf>
    <xf numFmtId="10" fontId="30" fillId="0" borderId="43" xfId="0" applyNumberFormat="1" applyFont="1" applyBorder="1" applyAlignment="1">
      <alignment horizontal="center" vertical="center" wrapText="1"/>
    </xf>
    <xf numFmtId="10" fontId="30" fillId="0" borderId="42" xfId="0" applyNumberFormat="1" applyFont="1" applyBorder="1" applyAlignment="1">
      <alignment horizontal="center" vertical="center" wrapText="1"/>
    </xf>
    <xf numFmtId="10" fontId="30" fillId="0" borderId="100" xfId="0" applyNumberFormat="1" applyFont="1" applyBorder="1" applyAlignment="1">
      <alignment horizontal="center" vertical="center" wrapText="1"/>
    </xf>
    <xf numFmtId="0" fontId="35" fillId="4" borderId="107" xfId="0" applyFont="1" applyFill="1" applyBorder="1" applyAlignment="1">
      <alignment horizontal="left" vertical="center" wrapText="1"/>
    </xf>
    <xf numFmtId="181" fontId="59" fillId="4" borderId="69" xfId="0" applyNumberFormat="1" applyFont="1" applyFill="1" applyBorder="1" applyAlignment="1">
      <alignment vertical="center"/>
    </xf>
    <xf numFmtId="181" fontId="37" fillId="4" borderId="69" xfId="0" applyNumberFormat="1" applyFont="1" applyFill="1" applyBorder="1" applyAlignment="1">
      <alignment vertical="center"/>
    </xf>
    <xf numFmtId="0" fontId="36" fillId="4" borderId="175" xfId="0" applyFont="1" applyFill="1" applyBorder="1" applyAlignment="1">
      <alignment horizontal="center" vertical="center" textRotation="90" wrapText="1"/>
    </xf>
    <xf numFmtId="0" fontId="35" fillId="4" borderId="175" xfId="0" applyFont="1" applyFill="1" applyBorder="1" applyAlignment="1">
      <alignment horizontal="center" vertical="center" wrapText="1"/>
    </xf>
    <xf numFmtId="10" fontId="2" fillId="0" borderId="84" xfId="4" applyNumberFormat="1" applyFont="1" applyFill="1" applyBorder="1"/>
    <xf numFmtId="0" fontId="4" fillId="0" borderId="43" xfId="0" applyFont="1" applyBorder="1" applyAlignment="1">
      <alignment horizontal="center" vertical="center"/>
    </xf>
    <xf numFmtId="0" fontId="2" fillId="0" borderId="140" xfId="0" applyFont="1" applyBorder="1" applyAlignment="1">
      <alignment horizontal="center" vertical="center" wrapText="1"/>
    </xf>
    <xf numFmtId="9" fontId="2" fillId="0" borderId="1" xfId="0" applyNumberFormat="1" applyFont="1" applyBorder="1"/>
    <xf numFmtId="0" fontId="2" fillId="0" borderId="1" xfId="0" applyFont="1" applyBorder="1" applyAlignment="1">
      <alignment wrapText="1"/>
    </xf>
    <xf numFmtId="10" fontId="2" fillId="0" borderId="84" xfId="4" applyNumberFormat="1" applyFont="1" applyBorder="1"/>
    <xf numFmtId="0" fontId="3" fillId="0" borderId="2" xfId="0" applyFont="1" applyBorder="1" applyAlignment="1">
      <alignment horizontal="center"/>
    </xf>
    <xf numFmtId="0" fontId="4" fillId="0" borderId="3" xfId="0" applyFont="1" applyBorder="1"/>
    <xf numFmtId="0" fontId="4" fillId="0" borderId="4" xfId="0" applyFont="1" applyBorder="1"/>
    <xf numFmtId="0" fontId="4" fillId="0" borderId="8" xfId="0" applyFont="1" applyBorder="1"/>
    <xf numFmtId="0" fontId="0" fillId="0" borderId="0" xfId="0"/>
    <xf numFmtId="0" fontId="4" fillId="0" borderId="9" xfId="0" applyFont="1" applyBorder="1"/>
    <xf numFmtId="0" fontId="4" fillId="0" borderId="13" xfId="0" applyFont="1" applyBorder="1"/>
    <xf numFmtId="0" fontId="4" fillId="0" borderId="14" xfId="0" applyFont="1" applyBorder="1"/>
    <xf numFmtId="0" fontId="4" fillId="0" borderId="15" xfId="0" applyFont="1" applyBorder="1"/>
    <xf numFmtId="0" fontId="5" fillId="4" borderId="5" xfId="0" applyFont="1" applyFill="1" applyBorder="1" applyAlignment="1">
      <alignment horizontal="center" vertical="center" wrapText="1"/>
    </xf>
    <xf numFmtId="0" fontId="4" fillId="0" borderId="6" xfId="0" applyFont="1" applyBorder="1"/>
    <xf numFmtId="0" fontId="4" fillId="0" borderId="7" xfId="0" applyFont="1" applyBorder="1"/>
    <xf numFmtId="0" fontId="6" fillId="4" borderId="10" xfId="0" applyFont="1" applyFill="1" applyBorder="1" applyAlignment="1">
      <alignment horizontal="center"/>
    </xf>
    <xf numFmtId="0" fontId="4" fillId="0" borderId="11" xfId="0" applyFont="1" applyBorder="1"/>
    <xf numFmtId="0" fontId="4" fillId="0" borderId="12" xfId="0" applyFont="1" applyBorder="1"/>
    <xf numFmtId="0" fontId="7" fillId="2" borderId="16" xfId="0" applyFont="1" applyFill="1" applyBorder="1" applyAlignment="1">
      <alignment vertical="center" wrapText="1"/>
    </xf>
    <xf numFmtId="0" fontId="4" fillId="0" borderId="17" xfId="0" applyFont="1" applyBorder="1"/>
    <xf numFmtId="0" fontId="4" fillId="0" borderId="18" xfId="0" applyFont="1" applyBorder="1"/>
    <xf numFmtId="0" fontId="7" fillId="2" borderId="19" xfId="0" applyFont="1" applyFill="1" applyBorder="1" applyAlignment="1">
      <alignment horizontal="left" vertical="center" wrapText="1"/>
    </xf>
    <xf numFmtId="0" fontId="4" fillId="0" borderId="20" xfId="0" applyFont="1" applyBorder="1"/>
    <xf numFmtId="0" fontId="9" fillId="4" borderId="21" xfId="0" applyFont="1" applyFill="1" applyBorder="1" applyAlignment="1">
      <alignment horizontal="left" vertical="center" wrapText="1"/>
    </xf>
    <xf numFmtId="0" fontId="9" fillId="0" borderId="19" xfId="0" applyFont="1" applyBorder="1" applyAlignment="1">
      <alignment horizontal="left" vertical="center" wrapText="1"/>
    </xf>
    <xf numFmtId="0" fontId="9" fillId="0" borderId="13" xfId="0" applyFont="1" applyBorder="1" applyAlignment="1">
      <alignment horizontal="left" vertical="center" wrapText="1"/>
    </xf>
    <xf numFmtId="0" fontId="10" fillId="4" borderId="19"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4" fillId="0" borderId="28" xfId="0" applyFont="1" applyBorder="1"/>
    <xf numFmtId="0" fontId="4" fillId="0" borderId="40" xfId="0" applyFont="1" applyBorder="1"/>
    <xf numFmtId="0" fontId="11" fillId="4" borderId="25" xfId="0" applyFont="1" applyFill="1" applyBorder="1" applyAlignment="1">
      <alignment horizontal="center" vertical="center" wrapText="1"/>
    </xf>
    <xf numFmtId="0" fontId="4" fillId="0" borderId="29" xfId="0" applyFont="1" applyBorder="1"/>
    <xf numFmtId="0" fontId="4" fillId="0" borderId="41" xfId="0" applyFont="1" applyBorder="1"/>
    <xf numFmtId="0" fontId="10" fillId="6" borderId="19" xfId="0" applyFont="1" applyFill="1" applyBorder="1" applyAlignment="1">
      <alignment horizontal="center" vertical="center"/>
    </xf>
    <xf numFmtId="0" fontId="10" fillId="6" borderId="16" xfId="0" applyFont="1" applyFill="1" applyBorder="1" applyAlignment="1">
      <alignment horizontal="center" vertical="center"/>
    </xf>
    <xf numFmtId="0" fontId="10" fillId="4" borderId="16"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4" fillId="0" borderId="26" xfId="0" applyFont="1" applyBorder="1"/>
    <xf numFmtId="0" fontId="4" fillId="0" borderId="38" xfId="0" applyFont="1" applyBorder="1"/>
    <xf numFmtId="0" fontId="11" fillId="6" borderId="22" xfId="0" applyFont="1" applyFill="1" applyBorder="1" applyAlignment="1">
      <alignment horizontal="center" vertical="center" wrapText="1"/>
    </xf>
    <xf numFmtId="0" fontId="9" fillId="7" borderId="22"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4" fillId="0" borderId="27" xfId="0" applyFont="1" applyBorder="1"/>
    <xf numFmtId="0" fontId="4" fillId="0" borderId="39" xfId="0" applyFont="1" applyBorder="1"/>
    <xf numFmtId="0" fontId="23" fillId="11" borderId="47" xfId="0" applyFont="1" applyFill="1" applyBorder="1" applyAlignment="1">
      <alignment horizontal="center" vertical="center"/>
    </xf>
    <xf numFmtId="0" fontId="4" fillId="0" borderId="48" xfId="0" applyFont="1" applyBorder="1"/>
    <xf numFmtId="0" fontId="4" fillId="0" borderId="49" xfId="0" applyFont="1" applyBorder="1"/>
    <xf numFmtId="0" fontId="2" fillId="2" borderId="47" xfId="0" applyFont="1" applyFill="1" applyBorder="1" applyAlignment="1">
      <alignment horizontal="left" vertical="center" wrapText="1"/>
    </xf>
    <xf numFmtId="0" fontId="2" fillId="2" borderId="47" xfId="0" applyFont="1" applyFill="1" applyBorder="1" applyAlignment="1">
      <alignment horizontal="left" vertical="center"/>
    </xf>
    <xf numFmtId="0" fontId="4" fillId="0" borderId="45" xfId="0" applyFont="1" applyBorder="1"/>
    <xf numFmtId="0" fontId="23" fillId="11" borderId="47" xfId="0" applyFont="1" applyFill="1" applyBorder="1" applyAlignment="1">
      <alignment horizontal="center" vertical="center" wrapText="1"/>
    </xf>
    <xf numFmtId="0" fontId="4" fillId="24" borderId="29" xfId="0" applyFont="1" applyFill="1" applyBorder="1"/>
    <xf numFmtId="0" fontId="4" fillId="24" borderId="41" xfId="0" applyFont="1" applyFill="1" applyBorder="1"/>
    <xf numFmtId="0" fontId="2" fillId="0" borderId="2" xfId="0" applyFont="1" applyBorder="1" applyAlignment="1">
      <alignment horizontal="center"/>
    </xf>
    <xf numFmtId="0" fontId="4" fillId="0" borderId="50" xfId="0" applyFont="1" applyBorder="1"/>
    <xf numFmtId="0" fontId="26" fillId="4" borderId="51" xfId="0" applyFont="1" applyFill="1" applyBorder="1" applyAlignment="1">
      <alignment horizontal="center" vertical="center" wrapText="1"/>
    </xf>
    <xf numFmtId="0" fontId="4" fillId="0" borderId="52" xfId="0" applyFont="1" applyBorder="1"/>
    <xf numFmtId="0" fontId="4" fillId="0" borderId="53" xfId="0" applyFont="1" applyBorder="1"/>
    <xf numFmtId="0" fontId="7" fillId="0" borderId="19" xfId="0" applyFont="1" applyBorder="1" applyAlignment="1">
      <alignment horizontal="left" vertical="center"/>
    </xf>
    <xf numFmtId="0" fontId="7" fillId="0" borderId="17" xfId="0" applyFont="1" applyBorder="1" applyAlignment="1">
      <alignment horizontal="left" vertical="center"/>
    </xf>
    <xf numFmtId="0" fontId="9" fillId="2" borderId="54" xfId="0" applyFont="1" applyFill="1" applyBorder="1" applyAlignment="1">
      <alignment horizontal="left" vertical="center" wrapText="1"/>
    </xf>
    <xf numFmtId="0" fontId="4" fillId="0" borderId="55" xfId="0" applyFont="1" applyBorder="1"/>
    <xf numFmtId="0" fontId="4" fillId="0" borderId="56" xfId="0" applyFont="1" applyBorder="1"/>
    <xf numFmtId="0" fontId="9" fillId="4" borderId="19" xfId="0" applyFont="1" applyFill="1" applyBorder="1" applyAlignment="1">
      <alignment horizontal="center" vertical="center" wrapText="1"/>
    </xf>
    <xf numFmtId="0" fontId="9" fillId="2" borderId="19"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2" fillId="0" borderId="42" xfId="0" applyFont="1" applyBorder="1" applyAlignment="1">
      <alignment horizontal="center" vertical="center" wrapText="1"/>
    </xf>
    <xf numFmtId="0" fontId="9" fillId="6" borderId="22" xfId="0" applyFont="1" applyFill="1" applyBorder="1" applyAlignment="1">
      <alignment horizontal="center" vertical="center" wrapText="1"/>
    </xf>
    <xf numFmtId="0" fontId="10" fillId="6" borderId="57" xfId="0" applyFont="1" applyFill="1" applyBorder="1" applyAlignment="1">
      <alignment horizontal="center" vertical="center" wrapText="1"/>
    </xf>
    <xf numFmtId="0" fontId="4" fillId="0" borderId="58" xfId="0" applyFont="1" applyBorder="1"/>
    <xf numFmtId="0" fontId="4" fillId="0" borderId="62" xfId="0" applyFont="1" applyBorder="1"/>
    <xf numFmtId="0" fontId="10" fillId="4" borderId="19" xfId="0" applyFont="1" applyFill="1" applyBorder="1" applyAlignment="1">
      <alignment horizontal="center" vertical="center"/>
    </xf>
    <xf numFmtId="0" fontId="10" fillId="4" borderId="2" xfId="0" applyFont="1" applyFill="1" applyBorder="1" applyAlignment="1">
      <alignment horizontal="center" vertical="center" wrapText="1"/>
    </xf>
    <xf numFmtId="0" fontId="4" fillId="24" borderId="28" xfId="0" applyFont="1" applyFill="1" applyBorder="1"/>
    <xf numFmtId="0" fontId="4" fillId="24" borderId="40" xfId="0" applyFont="1" applyFill="1" applyBorder="1"/>
    <xf numFmtId="0" fontId="27" fillId="0" borderId="42" xfId="0" applyFont="1" applyBorder="1" applyAlignment="1">
      <alignment horizontal="center" vertical="center" wrapText="1"/>
    </xf>
    <xf numFmtId="0" fontId="13" fillId="0" borderId="42" xfId="0" applyFont="1" applyBorder="1" applyAlignment="1">
      <alignment horizontal="center" vertical="center" wrapText="1"/>
    </xf>
    <xf numFmtId="173" fontId="17" fillId="4" borderId="74" xfId="0" applyNumberFormat="1" applyFont="1" applyFill="1" applyBorder="1" applyAlignment="1">
      <alignment horizontal="center" vertical="center" wrapText="1"/>
    </xf>
    <xf numFmtId="0" fontId="4" fillId="0" borderId="75" xfId="0" applyFont="1" applyBorder="1"/>
    <xf numFmtId="0" fontId="4" fillId="0" borderId="76" xfId="0" applyFont="1" applyBorder="1"/>
    <xf numFmtId="0" fontId="4" fillId="0" borderId="82" xfId="0" applyFont="1" applyBorder="1"/>
    <xf numFmtId="0" fontId="4" fillId="0" borderId="87" xfId="0" applyFont="1" applyBorder="1"/>
    <xf numFmtId="171" fontId="21" fillId="0" borderId="0" xfId="0" applyNumberFormat="1" applyFont="1" applyAlignment="1">
      <alignment horizontal="center" vertical="center" wrapText="1"/>
    </xf>
    <xf numFmtId="171" fontId="32" fillId="0" borderId="0" xfId="0" applyNumberFormat="1" applyFont="1" applyAlignment="1">
      <alignment horizontal="center" vertical="center" wrapText="1"/>
    </xf>
    <xf numFmtId="173" fontId="2" fillId="24" borderId="111" xfId="0" applyNumberFormat="1" applyFont="1" applyFill="1" applyBorder="1" applyAlignment="1">
      <alignment horizontal="center" wrapText="1"/>
    </xf>
    <xf numFmtId="0" fontId="4" fillId="24" borderId="111" xfId="0" applyFont="1" applyFill="1" applyBorder="1"/>
    <xf numFmtId="0" fontId="4" fillId="24" borderId="75" xfId="0" applyFont="1" applyFill="1" applyBorder="1"/>
    <xf numFmtId="0" fontId="4" fillId="24" borderId="81" xfId="0" applyFont="1" applyFill="1" applyBorder="1"/>
    <xf numFmtId="0" fontId="0" fillId="24" borderId="0" xfId="0" applyFill="1"/>
    <xf numFmtId="0" fontId="4" fillId="24" borderId="86" xfId="0" applyFont="1" applyFill="1" applyBorder="1"/>
    <xf numFmtId="0" fontId="4" fillId="24" borderId="155" xfId="0" applyFont="1" applyFill="1" applyBorder="1"/>
    <xf numFmtId="0" fontId="4" fillId="24" borderId="92" xfId="0" applyFont="1" applyFill="1" applyBorder="1"/>
    <xf numFmtId="0" fontId="4" fillId="24" borderId="80" xfId="0" applyFont="1" applyFill="1" applyBorder="1"/>
    <xf numFmtId="0" fontId="2" fillId="2" borderId="64" xfId="0" applyFont="1" applyFill="1" applyBorder="1" applyAlignment="1">
      <alignment horizontal="center" vertical="center"/>
    </xf>
    <xf numFmtId="0" fontId="4" fillId="0" borderId="66" xfId="0" applyFont="1" applyBorder="1"/>
    <xf numFmtId="0" fontId="4" fillId="0" borderId="68" xfId="0" applyFont="1" applyBorder="1"/>
    <xf numFmtId="0" fontId="2" fillId="2" borderId="71" xfId="0" applyFont="1" applyFill="1" applyBorder="1" applyAlignment="1">
      <alignment horizontal="center" vertical="center"/>
    </xf>
    <xf numFmtId="0" fontId="4" fillId="0" borderId="72" xfId="0" applyFont="1" applyBorder="1"/>
    <xf numFmtId="0" fontId="4" fillId="0" borderId="73" xfId="0" applyFont="1" applyBorder="1"/>
    <xf numFmtId="0" fontId="30" fillId="0" borderId="42" xfId="0" applyFont="1" applyBorder="1" applyAlignment="1">
      <alignment horizontal="left" vertical="center" wrapText="1"/>
    </xf>
    <xf numFmtId="0" fontId="58" fillId="0" borderId="100" xfId="0" applyFont="1" applyBorder="1" applyAlignment="1">
      <alignment horizontal="center" vertical="center" wrapText="1"/>
    </xf>
    <xf numFmtId="0" fontId="60" fillId="0" borderId="69" xfId="0" applyFont="1" applyBorder="1"/>
    <xf numFmtId="0" fontId="30" fillId="2" borderId="100" xfId="0" applyFont="1" applyFill="1" applyBorder="1" applyAlignment="1">
      <alignment horizontal="center" vertical="center" wrapText="1"/>
    </xf>
    <xf numFmtId="0" fontId="30" fillId="2" borderId="146" xfId="0" applyFont="1" applyFill="1" applyBorder="1" applyAlignment="1">
      <alignment horizontal="center" vertical="center" wrapText="1"/>
    </xf>
    <xf numFmtId="0" fontId="33" fillId="4" borderId="21" xfId="0" applyFont="1" applyFill="1" applyBorder="1" applyAlignment="1">
      <alignment horizontal="center" vertical="center" wrapText="1"/>
    </xf>
    <xf numFmtId="0" fontId="34" fillId="4" borderId="93" xfId="0" applyFont="1" applyFill="1" applyBorder="1" applyAlignment="1">
      <alignment horizontal="center" vertical="center" wrapText="1"/>
    </xf>
    <xf numFmtId="0" fontId="4" fillId="0" borderId="48" xfId="0" applyFont="1" applyBorder="1" applyAlignment="1">
      <alignment horizontal="center"/>
    </xf>
    <xf numFmtId="0" fontId="4" fillId="0" borderId="94" xfId="0" applyFont="1" applyBorder="1" applyAlignment="1">
      <alignment horizontal="center"/>
    </xf>
    <xf numFmtId="0" fontId="7" fillId="2" borderId="95" xfId="0" applyFont="1" applyFill="1" applyBorder="1" applyAlignment="1">
      <alignment horizontal="left" vertical="center" wrapText="1"/>
    </xf>
    <xf numFmtId="0" fontId="4" fillId="0" borderId="96" xfId="0" applyFont="1" applyBorder="1"/>
    <xf numFmtId="0" fontId="9" fillId="4" borderId="95" xfId="0" applyFont="1" applyFill="1" applyBorder="1" applyAlignment="1">
      <alignment horizontal="left" vertical="center" wrapText="1"/>
    </xf>
    <xf numFmtId="0" fontId="4" fillId="0" borderId="97" xfId="0" applyFont="1" applyBorder="1"/>
    <xf numFmtId="0" fontId="35" fillId="4" borderId="180" xfId="0" applyFont="1" applyFill="1" applyBorder="1" applyAlignment="1">
      <alignment horizontal="center" vertical="center" wrapText="1"/>
    </xf>
    <xf numFmtId="0" fontId="4" fillId="0" borderId="181" xfId="0" applyFont="1" applyBorder="1"/>
    <xf numFmtId="0" fontId="35" fillId="4" borderId="183" xfId="0" applyFont="1" applyFill="1" applyBorder="1" applyAlignment="1">
      <alignment horizontal="center" vertical="center" wrapText="1"/>
    </xf>
    <xf numFmtId="0" fontId="4" fillId="24" borderId="186" xfId="0" applyFont="1" applyFill="1" applyBorder="1"/>
    <xf numFmtId="0" fontId="35" fillId="4" borderId="179" xfId="0" applyFont="1" applyFill="1" applyBorder="1" applyAlignment="1">
      <alignment horizontal="center" vertical="center" wrapText="1"/>
    </xf>
    <xf numFmtId="0" fontId="4" fillId="0" borderId="185" xfId="0" applyFont="1" applyBorder="1"/>
    <xf numFmtId="0" fontId="9" fillId="0" borderId="57" xfId="0" applyFont="1" applyBorder="1" applyAlignment="1">
      <alignment horizontal="center" vertical="center" wrapText="1"/>
    </xf>
    <xf numFmtId="0" fontId="4" fillId="0" borderId="147" xfId="0" applyFont="1" applyBorder="1"/>
    <xf numFmtId="0" fontId="35" fillId="4" borderId="178" xfId="0" applyFont="1" applyFill="1" applyBorder="1" applyAlignment="1">
      <alignment horizontal="center" vertical="center" wrapText="1"/>
    </xf>
    <xf numFmtId="0" fontId="4" fillId="0" borderId="184" xfId="0" applyFont="1" applyBorder="1"/>
    <xf numFmtId="0" fontId="36" fillId="4" borderId="180" xfId="0" applyFont="1" applyFill="1" applyBorder="1" applyAlignment="1">
      <alignment horizontal="center" vertical="center" wrapText="1"/>
    </xf>
    <xf numFmtId="0" fontId="35" fillId="6" borderId="180" xfId="0" applyFont="1" applyFill="1" applyBorder="1" applyAlignment="1">
      <alignment horizontal="center" vertical="center" wrapText="1"/>
    </xf>
    <xf numFmtId="0" fontId="4" fillId="0" borderId="182" xfId="0" applyFont="1" applyBorder="1"/>
    <xf numFmtId="0" fontId="58" fillId="0" borderId="146" xfId="0" applyFont="1" applyBorder="1" applyAlignment="1">
      <alignment horizontal="center" vertical="center" wrapText="1"/>
    </xf>
    <xf numFmtId="0" fontId="58" fillId="0" borderId="69" xfId="0" applyFont="1" applyBorder="1" applyAlignment="1">
      <alignment horizontal="center" vertical="center" wrapText="1"/>
    </xf>
    <xf numFmtId="0" fontId="58" fillId="2" borderId="69" xfId="0" applyFont="1" applyFill="1" applyBorder="1" applyAlignment="1">
      <alignment horizontal="center" vertical="center" wrapText="1"/>
    </xf>
    <xf numFmtId="0" fontId="58" fillId="2" borderId="100" xfId="0" applyFont="1" applyFill="1" applyBorder="1" applyAlignment="1">
      <alignment horizontal="center" vertical="center" wrapText="1"/>
    </xf>
    <xf numFmtId="0" fontId="30" fillId="0" borderId="42" xfId="0" applyFont="1" applyBorder="1" applyAlignment="1">
      <alignment horizontal="center" vertical="center" wrapText="1"/>
    </xf>
    <xf numFmtId="0" fontId="30" fillId="2" borderId="42" xfId="0" applyFont="1" applyFill="1" applyBorder="1" applyAlignment="1">
      <alignment horizontal="center" vertical="center" wrapText="1"/>
    </xf>
    <xf numFmtId="0" fontId="35" fillId="4" borderId="103" xfId="0" applyFont="1" applyFill="1" applyBorder="1" applyAlignment="1">
      <alignment horizontal="center" vertical="center" wrapText="1"/>
    </xf>
    <xf numFmtId="0" fontId="4" fillId="24" borderId="104" xfId="0" applyFont="1" applyFill="1" applyBorder="1"/>
    <xf numFmtId="0" fontId="4" fillId="24" borderId="105" xfId="0" applyFont="1" applyFill="1" applyBorder="1"/>
    <xf numFmtId="0" fontId="2" fillId="0" borderId="0" xfId="0" applyFont="1" applyAlignment="1">
      <alignment horizontal="center"/>
    </xf>
    <xf numFmtId="0" fontId="30" fillId="0" borderId="42" xfId="0" applyFont="1" applyBorder="1" applyAlignment="1">
      <alignment vertical="center" wrapText="1"/>
    </xf>
    <xf numFmtId="0" fontId="4" fillId="19" borderId="124" xfId="0" applyFont="1" applyFill="1" applyBorder="1"/>
    <xf numFmtId="0" fontId="30" fillId="0" borderId="122" xfId="0" applyFont="1" applyBorder="1" applyAlignment="1">
      <alignment horizontal="center" vertical="center" wrapText="1"/>
    </xf>
    <xf numFmtId="0" fontId="30" fillId="0" borderId="122" xfId="0" applyFont="1" applyBorder="1" applyAlignment="1">
      <alignment vertical="center" wrapText="1"/>
    </xf>
    <xf numFmtId="0" fontId="4" fillId="0" borderId="86" xfId="0" applyFont="1" applyBorder="1"/>
    <xf numFmtId="0" fontId="4" fillId="0" borderId="124" xfId="0" applyFont="1" applyBorder="1"/>
    <xf numFmtId="0" fontId="72" fillId="0" borderId="100" xfId="2" applyFont="1" applyFill="1" applyBorder="1" applyAlignment="1">
      <alignment horizontal="center" vertical="center" wrapText="1"/>
    </xf>
    <xf numFmtId="0" fontId="72" fillId="0" borderId="146" xfId="2" applyFont="1" applyFill="1" applyBorder="1" applyAlignment="1">
      <alignment horizontal="center" vertical="center" wrapText="1"/>
    </xf>
    <xf numFmtId="0" fontId="72" fillId="0" borderId="69" xfId="2" applyFont="1" applyFill="1" applyBorder="1" applyAlignment="1">
      <alignment horizontal="center" vertical="center" wrapText="1"/>
    </xf>
    <xf numFmtId="0" fontId="27" fillId="0" borderId="24" xfId="0" applyFont="1" applyBorder="1" applyAlignment="1">
      <alignment horizontal="center" vertical="center" wrapText="1"/>
    </xf>
    <xf numFmtId="0" fontId="4" fillId="0" borderId="129" xfId="0" applyFont="1" applyBorder="1"/>
    <xf numFmtId="0" fontId="4" fillId="0" borderId="123" xfId="0" applyFont="1" applyBorder="1"/>
    <xf numFmtId="0" fontId="4" fillId="0" borderId="101" xfId="0" applyFont="1" applyBorder="1"/>
    <xf numFmtId="0" fontId="27" fillId="0" borderId="42" xfId="0" applyFont="1" applyBorder="1" applyAlignment="1">
      <alignment vertical="center" wrapText="1"/>
    </xf>
    <xf numFmtId="0" fontId="2" fillId="0" borderId="47" xfId="0" applyFont="1" applyBorder="1" applyAlignment="1">
      <alignment horizontal="left" vertical="center" wrapText="1"/>
    </xf>
    <xf numFmtId="0" fontId="36" fillId="4" borderId="132" xfId="0" applyFont="1" applyFill="1" applyBorder="1" applyAlignment="1">
      <alignment horizontal="center" vertical="center" wrapText="1"/>
    </xf>
    <xf numFmtId="0" fontId="4" fillId="24" borderId="116" xfId="0" applyFont="1" applyFill="1" applyBorder="1"/>
    <xf numFmtId="0" fontId="4" fillId="24" borderId="133" xfId="0" applyFont="1" applyFill="1" applyBorder="1"/>
    <xf numFmtId="0" fontId="4" fillId="24" borderId="8" xfId="0" applyFont="1" applyFill="1" applyBorder="1"/>
    <xf numFmtId="0" fontId="4" fillId="24" borderId="13" xfId="0" applyFont="1" applyFill="1" applyBorder="1"/>
    <xf numFmtId="0" fontId="4" fillId="24" borderId="14" xfId="0" applyFont="1" applyFill="1" applyBorder="1"/>
    <xf numFmtId="0" fontId="4" fillId="24" borderId="135" xfId="0" applyFont="1" applyFill="1" applyBorder="1"/>
    <xf numFmtId="0" fontId="23" fillId="4" borderId="47" xfId="0" applyFont="1" applyFill="1" applyBorder="1" applyAlignment="1">
      <alignment horizontal="center" vertical="center"/>
    </xf>
    <xf numFmtId="0" fontId="13" fillId="4" borderId="108" xfId="0" applyFont="1" applyFill="1" applyBorder="1" applyAlignment="1">
      <alignment horizontal="center" vertical="center" wrapText="1"/>
    </xf>
    <xf numFmtId="0" fontId="4" fillId="0" borderId="109" xfId="0" applyFont="1" applyBorder="1"/>
    <xf numFmtId="0" fontId="11" fillId="12" borderId="54" xfId="0" applyFont="1" applyFill="1" applyBorder="1" applyAlignment="1">
      <alignment horizontal="left" vertical="center" wrapText="1"/>
    </xf>
    <xf numFmtId="0" fontId="11" fillId="2" borderId="54" xfId="0" applyFont="1" applyFill="1" applyBorder="1" applyAlignment="1">
      <alignment horizontal="left" vertical="center"/>
    </xf>
    <xf numFmtId="0" fontId="9" fillId="4" borderId="19" xfId="0" applyFont="1" applyFill="1" applyBorder="1" applyAlignment="1">
      <alignment horizontal="left" vertical="center"/>
    </xf>
    <xf numFmtId="0" fontId="9" fillId="2" borderId="16" xfId="0" applyFont="1" applyFill="1" applyBorder="1" applyAlignment="1">
      <alignment horizontal="left" vertical="center"/>
    </xf>
    <xf numFmtId="0" fontId="9" fillId="4" borderId="19"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11" fillId="12" borderId="113" xfId="0" applyFont="1" applyFill="1" applyBorder="1" applyAlignment="1">
      <alignment horizontal="left" vertical="center" wrapText="1"/>
    </xf>
    <xf numFmtId="0" fontId="35" fillId="4" borderId="19" xfId="0" applyFont="1" applyFill="1" applyBorder="1" applyAlignment="1">
      <alignment horizontal="center" vertical="center" wrapText="1"/>
    </xf>
    <xf numFmtId="0" fontId="35" fillId="6" borderId="19" xfId="0" applyFont="1" applyFill="1" applyBorder="1" applyAlignment="1">
      <alignment horizontal="center" vertical="center" wrapText="1"/>
    </xf>
    <xf numFmtId="0" fontId="35" fillId="4" borderId="98" xfId="0" applyFont="1" applyFill="1" applyBorder="1" applyAlignment="1">
      <alignment horizontal="center" vertical="center" wrapText="1"/>
    </xf>
    <xf numFmtId="0" fontId="4" fillId="0" borderId="99" xfId="0" applyFont="1" applyBorder="1"/>
    <xf numFmtId="0" fontId="35" fillId="4" borderId="21" xfId="0" applyFont="1" applyFill="1" applyBorder="1" applyAlignment="1">
      <alignment horizontal="center" vertical="center" wrapText="1"/>
    </xf>
    <xf numFmtId="0" fontId="35" fillId="4" borderId="5" xfId="0" applyFont="1" applyFill="1" applyBorder="1" applyAlignment="1">
      <alignment horizontal="center" vertical="center" wrapText="1"/>
    </xf>
    <xf numFmtId="0" fontId="35" fillId="4" borderId="25" xfId="0" applyFont="1" applyFill="1" applyBorder="1" applyAlignment="1">
      <alignment horizontal="center" vertical="center" wrapText="1"/>
    </xf>
    <xf numFmtId="0" fontId="4" fillId="0" borderId="120" xfId="0" applyFont="1" applyBorder="1"/>
    <xf numFmtId="0" fontId="38" fillId="4" borderId="110" xfId="0" applyFont="1" applyFill="1" applyBorder="1" applyAlignment="1">
      <alignment horizontal="left" vertical="center" wrapText="1"/>
    </xf>
    <xf numFmtId="0" fontId="4" fillId="0" borderId="111" xfId="0" applyFont="1" applyBorder="1"/>
    <xf numFmtId="0" fontId="4" fillId="0" borderId="112" xfId="0" applyFont="1" applyBorder="1"/>
    <xf numFmtId="3" fontId="30" fillId="0" borderId="121" xfId="0" applyNumberFormat="1" applyFont="1" applyBorder="1" applyAlignment="1">
      <alignment horizontal="center" vertical="center"/>
    </xf>
    <xf numFmtId="0" fontId="2" fillId="0" borderId="47" xfId="0" applyFont="1" applyBorder="1" applyAlignment="1">
      <alignment horizontal="left" vertical="center"/>
    </xf>
    <xf numFmtId="0" fontId="45" fillId="4" borderId="21" xfId="0" applyFont="1" applyFill="1" applyBorder="1" applyAlignment="1">
      <alignment horizontal="center" vertical="center"/>
    </xf>
    <xf numFmtId="0" fontId="9" fillId="4" borderId="136" xfId="0" applyFont="1" applyFill="1" applyBorder="1" applyAlignment="1">
      <alignment horizontal="center" vertical="center" wrapText="1"/>
    </xf>
    <xf numFmtId="0" fontId="7" fillId="0" borderId="95" xfId="0" applyFont="1" applyBorder="1" applyAlignment="1">
      <alignment horizontal="center"/>
    </xf>
    <xf numFmtId="0" fontId="9" fillId="0" borderId="19" xfId="0" applyFont="1" applyBorder="1" applyAlignment="1">
      <alignment horizontal="center"/>
    </xf>
    <xf numFmtId="0" fontId="29" fillId="4" borderId="54" xfId="0" applyFont="1" applyFill="1" applyBorder="1" applyAlignment="1">
      <alignment horizontal="left" vertical="center"/>
    </xf>
    <xf numFmtId="0" fontId="4" fillId="0" borderId="137" xfId="0" applyFont="1" applyBorder="1"/>
    <xf numFmtId="0" fontId="29" fillId="4" borderId="19" xfId="0" applyFont="1" applyFill="1" applyBorder="1" applyAlignment="1">
      <alignment horizontal="left" vertical="center"/>
    </xf>
    <xf numFmtId="0" fontId="10" fillId="5" borderId="21" xfId="0" applyFont="1" applyFill="1" applyBorder="1" applyAlignment="1">
      <alignment horizontal="center" vertical="center"/>
    </xf>
    <xf numFmtId="0" fontId="17" fillId="0" borderId="121" xfId="0" applyFont="1" applyBorder="1" applyAlignment="1">
      <alignment horizontal="center" vertical="center"/>
    </xf>
    <xf numFmtId="0" fontId="4" fillId="0" borderId="138" xfId="0" applyFont="1" applyBorder="1"/>
    <xf numFmtId="0" fontId="17" fillId="0" borderId="139" xfId="0" applyFont="1" applyBorder="1" applyAlignment="1">
      <alignment horizontal="center" vertical="center"/>
    </xf>
    <xf numFmtId="0" fontId="2" fillId="0" borderId="122" xfId="0" applyFont="1" applyBorder="1" applyAlignment="1">
      <alignment horizontal="center" vertical="center"/>
    </xf>
    <xf numFmtId="0" fontId="2" fillId="12" borderId="128" xfId="0" applyFont="1" applyFill="1" applyBorder="1" applyAlignment="1">
      <alignment horizontal="center" vertical="center"/>
    </xf>
    <xf numFmtId="0" fontId="4" fillId="0" borderId="70" xfId="0" applyFont="1" applyBorder="1"/>
    <xf numFmtId="0" fontId="10" fillId="5" borderId="21" xfId="0" applyFont="1" applyFill="1" applyBorder="1" applyAlignment="1">
      <alignment horizontal="center"/>
    </xf>
    <xf numFmtId="0" fontId="2" fillId="0" borderId="24" xfId="0" applyFont="1" applyBorder="1" applyAlignment="1">
      <alignment horizontal="center" vertical="center" wrapText="1"/>
    </xf>
    <xf numFmtId="0" fontId="2" fillId="21" borderId="128" xfId="0" applyFont="1" applyFill="1" applyBorder="1" applyAlignment="1">
      <alignment horizontal="center" vertical="center"/>
    </xf>
    <xf numFmtId="0" fontId="4" fillId="19" borderId="27" xfId="0" applyFont="1" applyFill="1" applyBorder="1"/>
    <xf numFmtId="0" fontId="4" fillId="19" borderId="70" xfId="0" applyFont="1" applyFill="1" applyBorder="1"/>
    <xf numFmtId="0" fontId="2" fillId="0" borderId="133" xfId="0" applyFont="1" applyBorder="1" applyAlignment="1">
      <alignment horizontal="center" vertical="center"/>
    </xf>
    <xf numFmtId="0" fontId="4" fillId="0" borderId="80" xfId="0" applyFont="1" applyBorder="1"/>
    <xf numFmtId="0" fontId="2" fillId="2" borderId="128" xfId="0" applyFont="1" applyFill="1" applyBorder="1" applyAlignment="1">
      <alignment horizontal="center" vertical="center"/>
    </xf>
    <xf numFmtId="0" fontId="17" fillId="0" borderId="122" xfId="0" applyFont="1" applyBorder="1" applyAlignment="1">
      <alignment horizontal="center" vertical="center"/>
    </xf>
    <xf numFmtId="0" fontId="2" fillId="19" borderId="148" xfId="0" applyFont="1" applyFill="1" applyBorder="1" applyAlignment="1">
      <alignment horizontal="center" vertical="center"/>
    </xf>
    <xf numFmtId="0" fontId="2" fillId="19" borderId="145" xfId="0" applyFont="1" applyFill="1" applyBorder="1" applyAlignment="1">
      <alignment horizontal="center" vertical="center"/>
    </xf>
    <xf numFmtId="0" fontId="2" fillId="19" borderId="124" xfId="0" applyFont="1" applyFill="1" applyBorder="1" applyAlignment="1">
      <alignment horizontal="center" vertical="center"/>
    </xf>
    <xf numFmtId="0" fontId="2" fillId="0" borderId="148" xfId="0" applyFont="1" applyBorder="1" applyAlignment="1">
      <alignment horizontal="center" vertical="center"/>
    </xf>
    <xf numFmtId="0" fontId="2" fillId="0" borderId="145" xfId="0" applyFont="1" applyBorder="1" applyAlignment="1">
      <alignment horizontal="center" vertical="center"/>
    </xf>
    <xf numFmtId="0" fontId="2" fillId="0" borderId="124" xfId="0" applyFont="1" applyBorder="1" applyAlignment="1">
      <alignment horizontal="center" vertical="center"/>
    </xf>
    <xf numFmtId="0" fontId="23" fillId="0" borderId="122" xfId="0" applyFont="1" applyBorder="1" applyAlignment="1">
      <alignment horizontal="center" vertical="center"/>
    </xf>
    <xf numFmtId="0" fontId="2" fillId="2" borderId="122" xfId="0" applyFont="1" applyFill="1" applyBorder="1" applyAlignment="1">
      <alignment horizontal="center" vertical="center"/>
    </xf>
    <xf numFmtId="0" fontId="2" fillId="0" borderId="0" xfId="0" applyFont="1" applyAlignment="1">
      <alignment horizontal="center" wrapText="1"/>
    </xf>
    <xf numFmtId="0" fontId="2" fillId="12" borderId="122" xfId="0" applyFont="1" applyFill="1" applyBorder="1" applyAlignment="1">
      <alignment horizontal="center" vertical="center"/>
    </xf>
    <xf numFmtId="0" fontId="2" fillId="21" borderId="122" xfId="0" applyFont="1" applyFill="1" applyBorder="1" applyAlignment="1">
      <alignment horizontal="center" vertical="center"/>
    </xf>
    <xf numFmtId="0" fontId="4" fillId="19" borderId="123" xfId="0" applyFont="1" applyFill="1" applyBorder="1"/>
    <xf numFmtId="0" fontId="2" fillId="2" borderId="24" xfId="0" applyFont="1" applyFill="1" applyBorder="1" applyAlignment="1">
      <alignment horizontal="center" vertical="center" wrapText="1"/>
    </xf>
    <xf numFmtId="0" fontId="2" fillId="21" borderId="24" xfId="0" applyFont="1" applyFill="1" applyBorder="1" applyAlignment="1">
      <alignment horizontal="center" vertical="center" wrapText="1"/>
    </xf>
    <xf numFmtId="0" fontId="4" fillId="19" borderId="28" xfId="0" applyFont="1" applyFill="1" applyBorder="1"/>
    <xf numFmtId="0" fontId="4" fillId="19" borderId="45" xfId="0" applyFont="1" applyFill="1" applyBorder="1"/>
    <xf numFmtId="0" fontId="2" fillId="2" borderId="42" xfId="0" applyFont="1" applyFill="1" applyBorder="1" applyAlignment="1">
      <alignment horizontal="center" vertical="center" wrapText="1"/>
    </xf>
    <xf numFmtId="0" fontId="2" fillId="21" borderId="42" xfId="0" applyFont="1" applyFill="1" applyBorder="1" applyAlignment="1">
      <alignment horizontal="center" vertical="center" wrapText="1"/>
    </xf>
    <xf numFmtId="0" fontId="2" fillId="12" borderId="24" xfId="0" applyFont="1" applyFill="1" applyBorder="1" applyAlignment="1">
      <alignment horizontal="center" vertical="center" wrapText="1"/>
    </xf>
    <xf numFmtId="0" fontId="2" fillId="19" borderId="148" xfId="0" applyFont="1" applyFill="1" applyBorder="1" applyAlignment="1">
      <alignment horizontal="center"/>
    </xf>
    <xf numFmtId="0" fontId="2" fillId="19" borderId="145" xfId="0" applyFont="1" applyFill="1" applyBorder="1" applyAlignment="1">
      <alignment horizontal="center"/>
    </xf>
    <xf numFmtId="0" fontId="2" fillId="19" borderId="124" xfId="0" applyFont="1" applyFill="1" applyBorder="1" applyAlignment="1">
      <alignment horizontal="center"/>
    </xf>
    <xf numFmtId="0" fontId="2" fillId="12" borderId="42" xfId="0" applyFont="1" applyFill="1" applyBorder="1" applyAlignment="1">
      <alignment horizontal="center" vertical="center" wrapText="1"/>
    </xf>
    <xf numFmtId="3" fontId="43" fillId="2" borderId="42" xfId="0" applyNumberFormat="1" applyFont="1" applyFill="1" applyBorder="1" applyAlignment="1">
      <alignment horizontal="center" vertical="center" wrapText="1"/>
    </xf>
    <xf numFmtId="3" fontId="30" fillId="2" borderId="42" xfId="0" applyNumberFormat="1" applyFont="1" applyFill="1" applyBorder="1" applyAlignment="1">
      <alignment horizontal="center" vertical="center" wrapText="1"/>
    </xf>
    <xf numFmtId="0" fontId="42" fillId="2" borderId="42" xfId="0" applyFont="1" applyFill="1" applyBorder="1" applyAlignment="1">
      <alignment horizontal="center" vertical="center" wrapText="1"/>
    </xf>
    <xf numFmtId="3" fontId="27" fillId="10" borderId="125" xfId="0" applyNumberFormat="1" applyFont="1" applyFill="1" applyBorder="1" applyAlignment="1">
      <alignment horizontal="center" vertical="top" wrapText="1"/>
    </xf>
    <xf numFmtId="0" fontId="30" fillId="2" borderId="122" xfId="0" applyFont="1" applyFill="1" applyBorder="1" applyAlignment="1">
      <alignment horizontal="center" vertical="center" wrapText="1"/>
    </xf>
    <xf numFmtId="0" fontId="30" fillId="2" borderId="42" xfId="0" applyFont="1" applyFill="1" applyBorder="1" applyAlignment="1">
      <alignment vertical="center" wrapText="1"/>
    </xf>
    <xf numFmtId="0" fontId="42" fillId="2" borderId="42" xfId="0" applyFont="1" applyFill="1" applyBorder="1" applyAlignment="1">
      <alignment vertical="center" wrapText="1"/>
    </xf>
    <xf numFmtId="3" fontId="27" fillId="10" borderId="42" xfId="0" applyNumberFormat="1" applyFont="1" applyFill="1" applyBorder="1" applyAlignment="1">
      <alignment horizontal="center" vertical="top" wrapText="1"/>
    </xf>
    <xf numFmtId="3" fontId="27" fillId="15" borderId="42" xfId="0" applyNumberFormat="1" applyFont="1" applyFill="1" applyBorder="1" applyAlignment="1">
      <alignment horizontal="center" vertical="top" wrapText="1"/>
    </xf>
    <xf numFmtId="3" fontId="27" fillId="10" borderId="102" xfId="0" applyNumberFormat="1" applyFont="1" applyFill="1" applyBorder="1" applyAlignment="1">
      <alignment horizontal="center" vertical="top" wrapText="1"/>
    </xf>
    <xf numFmtId="0" fontId="30" fillId="2" borderId="122" xfId="0" applyFont="1" applyFill="1" applyBorder="1" applyAlignment="1">
      <alignment vertical="center" wrapText="1"/>
    </xf>
    <xf numFmtId="0" fontId="30" fillId="2" borderId="128" xfId="0" applyFont="1" applyFill="1" applyBorder="1" applyAlignment="1">
      <alignment vertical="center" wrapText="1"/>
    </xf>
    <xf numFmtId="4" fontId="27" fillId="15" borderId="102" xfId="0" applyNumberFormat="1" applyFont="1" applyFill="1" applyBorder="1" applyAlignment="1">
      <alignment horizontal="center" vertical="top" wrapText="1"/>
    </xf>
    <xf numFmtId="0" fontId="30" fillId="14" borderId="122" xfId="0" applyFont="1" applyFill="1" applyBorder="1" applyAlignment="1">
      <alignment vertical="center" wrapText="1"/>
    </xf>
    <xf numFmtId="4" fontId="27" fillId="15" borderId="42" xfId="0" applyNumberFormat="1" applyFont="1" applyFill="1" applyBorder="1" applyAlignment="1">
      <alignment horizontal="center" vertical="top" wrapText="1"/>
    </xf>
    <xf numFmtId="4" fontId="27" fillId="10" borderId="102" xfId="0" applyNumberFormat="1" applyFont="1" applyFill="1" applyBorder="1" applyAlignment="1">
      <alignment horizontal="center" vertical="top" wrapText="1"/>
    </xf>
    <xf numFmtId="4" fontId="27" fillId="10" borderId="125" xfId="0" applyNumberFormat="1" applyFont="1" applyFill="1" applyBorder="1" applyAlignment="1">
      <alignment horizontal="center" vertical="top" wrapText="1"/>
    </xf>
    <xf numFmtId="4" fontId="27" fillId="10" borderId="42" xfId="0" applyNumberFormat="1" applyFont="1" applyFill="1" applyBorder="1" applyAlignment="1">
      <alignment horizontal="center" vertical="top" wrapText="1"/>
    </xf>
    <xf numFmtId="3" fontId="27" fillId="15" borderId="125" xfId="0" applyNumberFormat="1" applyFont="1" applyFill="1" applyBorder="1" applyAlignment="1">
      <alignment horizontal="center" vertical="top" wrapText="1"/>
    </xf>
    <xf numFmtId="3" fontId="27" fillId="14" borderId="102" xfId="0" applyNumberFormat="1" applyFont="1" applyFill="1" applyBorder="1" applyAlignment="1">
      <alignment horizontal="center" vertical="top" wrapText="1"/>
    </xf>
    <xf numFmtId="3" fontId="27" fillId="14" borderId="42" xfId="0" applyNumberFormat="1" applyFont="1" applyFill="1" applyBorder="1" applyAlignment="1">
      <alignment horizontal="center" vertical="top" wrapText="1"/>
    </xf>
    <xf numFmtId="0" fontId="2" fillId="10" borderId="42" xfId="0" applyFont="1" applyFill="1" applyBorder="1" applyAlignment="1">
      <alignment horizontal="left" vertical="top"/>
    </xf>
    <xf numFmtId="3" fontId="43" fillId="2" borderId="42" xfId="0" applyNumberFormat="1" applyFont="1" applyFill="1" applyBorder="1" applyAlignment="1">
      <alignment vertical="center" wrapText="1"/>
    </xf>
    <xf numFmtId="0" fontId="2" fillId="10" borderId="42" xfId="0" applyFont="1" applyFill="1" applyBorder="1" applyAlignment="1">
      <alignment horizontal="left" vertical="center" wrapText="1"/>
    </xf>
    <xf numFmtId="4" fontId="30" fillId="10" borderId="102" xfId="0" applyNumberFormat="1" applyFont="1" applyFill="1" applyBorder="1" applyAlignment="1">
      <alignment horizontal="center" vertical="center" wrapText="1"/>
    </xf>
    <xf numFmtId="0" fontId="30" fillId="2" borderId="42" xfId="0" applyFont="1" applyFill="1" applyBorder="1" applyAlignment="1">
      <alignment horizontal="left" vertical="center" wrapText="1"/>
    </xf>
    <xf numFmtId="0" fontId="30" fillId="13" borderId="42" xfId="0" applyFont="1" applyFill="1" applyBorder="1" applyAlignment="1">
      <alignment horizontal="center" vertical="center" wrapText="1"/>
    </xf>
    <xf numFmtId="4" fontId="30" fillId="13" borderId="102" xfId="0" applyNumberFormat="1" applyFont="1" applyFill="1" applyBorder="1" applyAlignment="1">
      <alignment horizontal="center" vertical="center" wrapText="1"/>
    </xf>
    <xf numFmtId="0" fontId="30" fillId="13" borderId="122" xfId="0" applyFont="1" applyFill="1" applyBorder="1" applyAlignment="1">
      <alignment vertical="center" wrapText="1"/>
    </xf>
    <xf numFmtId="0" fontId="30" fillId="13" borderId="42" xfId="0" applyFont="1" applyFill="1" applyBorder="1" applyAlignment="1">
      <alignment horizontal="left" vertical="center" wrapText="1"/>
    </xf>
    <xf numFmtId="0" fontId="42" fillId="13" borderId="42" xfId="0" applyFont="1" applyFill="1" applyBorder="1" applyAlignment="1">
      <alignment horizontal="center" vertical="center" wrapText="1"/>
    </xf>
    <xf numFmtId="0" fontId="2" fillId="13" borderId="42" xfId="0" applyFont="1" applyFill="1" applyBorder="1" applyAlignment="1">
      <alignment horizontal="left" vertical="center" wrapText="1"/>
    </xf>
    <xf numFmtId="0" fontId="42" fillId="13" borderId="42" xfId="0" applyFont="1" applyFill="1" applyBorder="1" applyAlignment="1">
      <alignment horizontal="center" vertical="center"/>
    </xf>
    <xf numFmtId="4" fontId="27" fillId="13" borderId="102" xfId="0" applyNumberFormat="1" applyFont="1" applyFill="1" applyBorder="1" applyAlignment="1">
      <alignment horizontal="center" vertical="center" wrapText="1"/>
    </xf>
    <xf numFmtId="4" fontId="27" fillId="10" borderId="102" xfId="0" applyNumberFormat="1" applyFont="1" applyFill="1" applyBorder="1" applyAlignment="1">
      <alignment horizontal="center" vertical="center" wrapText="1"/>
    </xf>
    <xf numFmtId="0" fontId="30" fillId="2" borderId="154" xfId="0" applyFont="1" applyFill="1" applyBorder="1" applyAlignment="1">
      <alignment horizontal="left" vertical="center" wrapText="1"/>
    </xf>
    <xf numFmtId="0" fontId="4" fillId="0" borderId="155" xfId="0" applyFont="1" applyBorder="1"/>
    <xf numFmtId="3" fontId="43" fillId="13" borderId="42" xfId="0" applyNumberFormat="1" applyFont="1" applyFill="1" applyBorder="1" applyAlignment="1">
      <alignment vertical="center" wrapText="1"/>
    </xf>
    <xf numFmtId="3" fontId="30" fillId="13" borderId="42" xfId="0" applyNumberFormat="1" applyFont="1" applyFill="1" applyBorder="1" applyAlignment="1">
      <alignment horizontal="center" vertical="center" wrapText="1"/>
    </xf>
    <xf numFmtId="3" fontId="30" fillId="2" borderId="156" xfId="0" applyNumberFormat="1" applyFont="1" applyFill="1" applyBorder="1" applyAlignment="1">
      <alignment horizontal="center" vertical="center" wrapText="1"/>
    </xf>
    <xf numFmtId="0" fontId="4" fillId="0" borderId="133" xfId="0" applyFont="1" applyBorder="1"/>
    <xf numFmtId="0" fontId="4" fillId="0" borderId="85" xfId="0" applyFont="1" applyBorder="1"/>
    <xf numFmtId="0" fontId="4" fillId="0" borderId="91" xfId="0" applyFont="1" applyBorder="1"/>
    <xf numFmtId="3" fontId="27" fillId="15" borderId="42" xfId="0" applyNumberFormat="1" applyFont="1" applyFill="1" applyBorder="1" applyAlignment="1">
      <alignment horizontal="center" vertical="center" wrapText="1"/>
    </xf>
    <xf numFmtId="4" fontId="27" fillId="10" borderId="42" xfId="0" applyNumberFormat="1" applyFont="1" applyFill="1" applyBorder="1" applyAlignment="1">
      <alignment horizontal="center" vertical="center" wrapText="1"/>
    </xf>
    <xf numFmtId="0" fontId="2" fillId="10" borderId="42" xfId="0" applyFont="1" applyFill="1" applyBorder="1" applyAlignment="1">
      <alignment horizontal="center" vertical="center" wrapText="1"/>
    </xf>
    <xf numFmtId="0" fontId="2" fillId="10" borderId="42" xfId="0" applyFont="1" applyFill="1" applyBorder="1" applyAlignment="1">
      <alignment horizontal="center"/>
    </xf>
    <xf numFmtId="3" fontId="27" fillId="10" borderId="102" xfId="0" applyNumberFormat="1" applyFont="1" applyFill="1" applyBorder="1" applyAlignment="1">
      <alignment horizontal="center" vertical="center" wrapText="1"/>
    </xf>
    <xf numFmtId="3" fontId="27" fillId="15" borderId="102" xfId="0" applyNumberFormat="1" applyFont="1" applyFill="1" applyBorder="1" applyAlignment="1">
      <alignment horizontal="center" vertical="center" wrapText="1"/>
    </xf>
    <xf numFmtId="0" fontId="30" fillId="15" borderId="42" xfId="0" applyFont="1" applyFill="1" applyBorder="1" applyAlignment="1">
      <alignment vertical="center" wrapText="1"/>
    </xf>
    <xf numFmtId="0" fontId="27" fillId="15" borderId="24" xfId="0" applyFont="1" applyFill="1" applyBorder="1" applyAlignment="1">
      <alignment horizontal="center" vertical="center" wrapText="1"/>
    </xf>
    <xf numFmtId="182" fontId="27" fillId="10" borderId="42" xfId="0" applyNumberFormat="1" applyFont="1" applyFill="1" applyBorder="1" applyAlignment="1">
      <alignment horizontal="center" vertical="center" wrapText="1"/>
    </xf>
    <xf numFmtId="0" fontId="30" fillId="2" borderId="102" xfId="0" applyFont="1" applyFill="1" applyBorder="1" applyAlignment="1">
      <alignment horizontal="center" vertical="center" wrapText="1"/>
    </xf>
    <xf numFmtId="0" fontId="30" fillId="14" borderId="42" xfId="0" applyFont="1" applyFill="1" applyBorder="1" applyAlignment="1">
      <alignment vertical="center" wrapText="1"/>
    </xf>
    <xf numFmtId="0" fontId="30" fillId="2" borderId="102" xfId="0" applyFont="1" applyFill="1" applyBorder="1" applyAlignment="1">
      <alignment vertical="center" wrapText="1"/>
    </xf>
    <xf numFmtId="0" fontId="30" fillId="2" borderId="102" xfId="0" applyFont="1" applyFill="1" applyBorder="1" applyAlignment="1">
      <alignment horizontal="left" vertical="center" wrapText="1"/>
    </xf>
    <xf numFmtId="0" fontId="23" fillId="17" borderId="47" xfId="0" applyFont="1" applyFill="1" applyBorder="1" applyAlignment="1">
      <alignment horizontal="center" vertical="center"/>
    </xf>
    <xf numFmtId="0" fontId="2" fillId="0" borderId="47" xfId="0" applyFont="1" applyBorder="1" applyAlignment="1">
      <alignment horizontal="center" vertical="center" wrapText="1"/>
    </xf>
    <xf numFmtId="0" fontId="36" fillId="16" borderId="156" xfId="0" applyFont="1" applyFill="1" applyBorder="1" applyAlignment="1">
      <alignment horizontal="center" vertical="center" wrapText="1"/>
    </xf>
    <xf numFmtId="0" fontId="4" fillId="0" borderId="116" xfId="0" applyFont="1" applyBorder="1"/>
    <xf numFmtId="0" fontId="4" fillId="0" borderId="92" xfId="0" applyFont="1" applyBorder="1"/>
    <xf numFmtId="0" fontId="30" fillId="10" borderId="42" xfId="0" applyFont="1" applyFill="1" applyBorder="1" applyAlignment="1">
      <alignment horizontal="center" vertical="center" wrapText="1"/>
    </xf>
    <xf numFmtId="0" fontId="49" fillId="4" borderId="47" xfId="0" applyFont="1" applyFill="1" applyBorder="1" applyAlignment="1">
      <alignment horizontal="center" vertical="center"/>
    </xf>
    <xf numFmtId="0" fontId="33" fillId="4" borderId="108" xfId="0" applyFont="1" applyFill="1" applyBorder="1" applyAlignment="1">
      <alignment horizontal="center" vertical="center" wrapText="1"/>
    </xf>
    <xf numFmtId="0" fontId="11" fillId="12" borderId="54" xfId="0" applyFont="1" applyFill="1" applyBorder="1" applyAlignment="1">
      <alignment horizontal="left" vertical="center"/>
    </xf>
    <xf numFmtId="0" fontId="38" fillId="4" borderId="103" xfId="0" applyFont="1" applyFill="1" applyBorder="1" applyAlignment="1">
      <alignment horizontal="left" vertical="center" wrapText="1"/>
    </xf>
    <xf numFmtId="0" fontId="4" fillId="0" borderId="104" xfId="0" applyFont="1" applyBorder="1"/>
    <xf numFmtId="0" fontId="4" fillId="0" borderId="144" xfId="0" applyFont="1" applyBorder="1"/>
    <xf numFmtId="0" fontId="11" fillId="12" borderId="16" xfId="0" applyFont="1" applyFill="1" applyBorder="1" applyAlignment="1">
      <alignment horizontal="left" vertical="center" wrapText="1"/>
    </xf>
    <xf numFmtId="0" fontId="38" fillId="0" borderId="19" xfId="0" applyFont="1" applyBorder="1" applyAlignment="1">
      <alignment horizontal="center" vertical="center" wrapText="1"/>
    </xf>
    <xf numFmtId="0" fontId="35" fillId="4" borderId="145" xfId="0" applyFont="1" applyFill="1" applyBorder="1" applyAlignment="1">
      <alignment horizontal="center" vertical="center" wrapText="1"/>
    </xf>
    <xf numFmtId="0" fontId="35" fillId="4" borderId="146" xfId="0" applyFont="1" applyFill="1" applyBorder="1" applyAlignment="1">
      <alignment horizontal="center" vertical="center" wrapText="1"/>
    </xf>
    <xf numFmtId="0" fontId="35" fillId="4" borderId="147" xfId="0" applyFont="1" applyFill="1" applyBorder="1" applyAlignment="1">
      <alignment horizontal="center" vertical="center" wrapText="1"/>
    </xf>
    <xf numFmtId="0" fontId="30" fillId="2" borderId="24" xfId="0" applyFont="1" applyFill="1" applyBorder="1" applyAlignment="1">
      <alignment horizontal="center" vertical="center" wrapText="1"/>
    </xf>
    <xf numFmtId="0" fontId="35" fillId="4" borderId="42" xfId="0" applyFont="1" applyFill="1" applyBorder="1" applyAlignment="1">
      <alignment horizontal="center" vertical="center" wrapText="1"/>
    </xf>
    <xf numFmtId="0" fontId="27" fillId="14" borderId="24" xfId="0" applyFont="1" applyFill="1" applyBorder="1" applyAlignment="1">
      <alignment horizontal="center" vertical="center" wrapText="1"/>
    </xf>
    <xf numFmtId="3" fontId="30" fillId="11" borderId="42" xfId="0" applyNumberFormat="1" applyFont="1" applyFill="1" applyBorder="1" applyAlignment="1">
      <alignment horizontal="center" vertical="center" wrapText="1"/>
    </xf>
    <xf numFmtId="3" fontId="30" fillId="10" borderId="42" xfId="0" applyNumberFormat="1" applyFont="1" applyFill="1" applyBorder="1" applyAlignment="1">
      <alignment horizontal="center" vertical="center" wrapText="1"/>
    </xf>
    <xf numFmtId="0" fontId="23" fillId="17" borderId="47" xfId="0" applyFont="1" applyFill="1" applyBorder="1" applyAlignment="1">
      <alignment horizontal="center" vertical="center" wrapText="1"/>
    </xf>
    <xf numFmtId="0" fontId="2" fillId="0" borderId="47" xfId="0" applyFont="1" applyBorder="1" applyAlignment="1">
      <alignment horizontal="center" vertical="center"/>
    </xf>
    <xf numFmtId="0" fontId="30" fillId="11" borderId="122" xfId="0" applyFont="1" applyFill="1" applyBorder="1" applyAlignment="1">
      <alignment horizontal="center" vertical="center" wrapText="1"/>
    </xf>
    <xf numFmtId="0" fontId="30" fillId="11" borderId="42" xfId="0" applyFont="1" applyFill="1" applyBorder="1" applyAlignment="1">
      <alignment horizontal="center" vertical="center" wrapText="1"/>
    </xf>
    <xf numFmtId="0" fontId="42" fillId="10" borderId="42" xfId="0" applyFont="1" applyFill="1" applyBorder="1" applyAlignment="1">
      <alignment horizontal="center" vertical="center" wrapText="1"/>
    </xf>
    <xf numFmtId="4" fontId="30" fillId="10" borderId="102" xfId="0" applyNumberFormat="1" applyFont="1" applyFill="1" applyBorder="1" applyAlignment="1">
      <alignment horizontal="left" vertical="center" wrapText="1"/>
    </xf>
    <xf numFmtId="3" fontId="17" fillId="0" borderId="69" xfId="0" applyNumberFormat="1" applyFont="1" applyFill="1" applyBorder="1" applyAlignment="1">
      <alignment horizontal="center" vertical="center" wrapText="1"/>
    </xf>
    <xf numFmtId="39" fontId="17" fillId="0" borderId="69" xfId="0" applyNumberFormat="1" applyFont="1" applyFill="1" applyBorder="1" applyAlignment="1">
      <alignment horizontal="center"/>
    </xf>
    <xf numFmtId="37" fontId="17" fillId="0" borderId="69" xfId="0" applyNumberFormat="1" applyFont="1" applyFill="1" applyBorder="1" applyAlignment="1">
      <alignment horizontal="center" vertical="center"/>
    </xf>
    <xf numFmtId="39" fontId="17" fillId="0" borderId="69" xfId="0" applyNumberFormat="1" applyFont="1" applyFill="1" applyBorder="1" applyAlignment="1">
      <alignment horizontal="center" vertical="center"/>
    </xf>
    <xf numFmtId="39" fontId="17" fillId="0" borderId="69" xfId="0" applyNumberFormat="1" applyFont="1" applyFill="1" applyBorder="1" applyAlignment="1">
      <alignment horizontal="center" vertical="center" wrapText="1"/>
    </xf>
    <xf numFmtId="4" fontId="17" fillId="0" borderId="69" xfId="0" applyNumberFormat="1" applyFont="1" applyFill="1" applyBorder="1" applyAlignment="1">
      <alignment horizontal="center" vertical="center" wrapText="1"/>
    </xf>
    <xf numFmtId="168" fontId="17" fillId="0" borderId="69" xfId="0" applyNumberFormat="1" applyFont="1" applyFill="1" applyBorder="1" applyAlignment="1">
      <alignment horizontal="center" vertical="center" wrapText="1"/>
    </xf>
    <xf numFmtId="4" fontId="17" fillId="0" borderId="69" xfId="0" applyNumberFormat="1" applyFont="1" applyFill="1" applyBorder="1" applyAlignment="1">
      <alignment horizontal="center" vertical="center"/>
    </xf>
    <xf numFmtId="170" fontId="17" fillId="0" borderId="69" xfId="0" applyNumberFormat="1" applyFont="1" applyFill="1" applyBorder="1" applyAlignment="1">
      <alignment horizontal="center" vertical="center" wrapText="1"/>
    </xf>
    <xf numFmtId="176" fontId="17" fillId="0" borderId="69" xfId="0" applyNumberFormat="1" applyFont="1" applyFill="1" applyBorder="1" applyAlignment="1">
      <alignment horizontal="center" vertical="center"/>
    </xf>
    <xf numFmtId="39" fontId="57" fillId="0" borderId="69" xfId="0" applyNumberFormat="1" applyFont="1" applyFill="1" applyBorder="1" applyAlignment="1">
      <alignment horizontal="center" vertical="center"/>
    </xf>
    <xf numFmtId="39" fontId="57" fillId="0" borderId="150" xfId="0" applyNumberFormat="1" applyFont="1" applyFill="1" applyBorder="1" applyAlignment="1">
      <alignment horizontal="center" vertical="center"/>
    </xf>
    <xf numFmtId="39" fontId="57" fillId="0" borderId="150" xfId="0" applyNumberFormat="1" applyFont="1" applyFill="1" applyBorder="1" applyAlignment="1">
      <alignment horizontal="center"/>
    </xf>
    <xf numFmtId="4" fontId="17" fillId="0" borderId="43" xfId="0" applyNumberFormat="1" applyFont="1" applyFill="1" applyBorder="1" applyAlignment="1">
      <alignment horizontal="center" vertical="center" wrapText="1"/>
    </xf>
    <xf numFmtId="9" fontId="2" fillId="0" borderId="43" xfId="0" applyNumberFormat="1" applyFont="1" applyFill="1" applyBorder="1" applyAlignment="1">
      <alignment horizontal="center" vertical="center"/>
    </xf>
    <xf numFmtId="9" fontId="2" fillId="0" borderId="69" xfId="0" applyNumberFormat="1" applyFont="1" applyFill="1" applyBorder="1" applyAlignment="1">
      <alignment horizontal="center" vertical="center"/>
    </xf>
    <xf numFmtId="10" fontId="2" fillId="0" borderId="69" xfId="0" applyNumberFormat="1" applyFont="1" applyFill="1" applyBorder="1" applyAlignment="1">
      <alignment horizontal="center" vertical="center" wrapText="1"/>
    </xf>
    <xf numFmtId="0" fontId="4" fillId="0" borderId="139" xfId="0" applyFont="1" applyFill="1" applyBorder="1" applyAlignment="1">
      <alignment horizontal="left" vertical="top" wrapText="1"/>
    </xf>
    <xf numFmtId="0" fontId="2" fillId="0" borderId="42" xfId="0" applyFont="1" applyFill="1" applyBorder="1" applyAlignment="1">
      <alignment horizontal="center" vertical="center" wrapText="1"/>
    </xf>
    <xf numFmtId="174" fontId="17" fillId="0" borderId="43" xfId="0" applyNumberFormat="1" applyFont="1" applyFill="1" applyBorder="1" applyAlignment="1">
      <alignment horizontal="center" vertical="center" wrapText="1"/>
    </xf>
    <xf numFmtId="174" fontId="17" fillId="0" borderId="45" xfId="0" applyNumberFormat="1" applyFont="1" applyFill="1" applyBorder="1" applyAlignment="1">
      <alignment horizontal="center" vertical="center" wrapText="1"/>
    </xf>
    <xf numFmtId="173" fontId="56" fillId="0" borderId="43" xfId="0" applyNumberFormat="1" applyFont="1" applyFill="1" applyBorder="1" applyAlignment="1">
      <alignment horizontal="center" vertical="center"/>
    </xf>
    <xf numFmtId="173" fontId="17" fillId="0" borderId="43" xfId="0" applyNumberFormat="1" applyFont="1" applyFill="1" applyBorder="1" applyAlignment="1">
      <alignment horizontal="center" vertical="center"/>
    </xf>
    <xf numFmtId="10" fontId="2" fillId="0" borderId="43" xfId="0" applyNumberFormat="1" applyFont="1" applyFill="1" applyBorder="1" applyAlignment="1">
      <alignment horizontal="center" vertical="center" wrapText="1"/>
    </xf>
    <xf numFmtId="0" fontId="4" fillId="0" borderId="86" xfId="0" applyFont="1" applyFill="1" applyBorder="1"/>
    <xf numFmtId="0" fontId="4" fillId="0" borderId="28" xfId="0" applyFont="1" applyFill="1" applyBorder="1"/>
    <xf numFmtId="168" fontId="17" fillId="0" borderId="45" xfId="0" applyNumberFormat="1" applyFont="1" applyFill="1" applyBorder="1" applyAlignment="1">
      <alignment horizontal="center" vertical="center" wrapText="1"/>
    </xf>
    <xf numFmtId="3" fontId="17" fillId="0" borderId="43" xfId="0" applyNumberFormat="1" applyFont="1" applyFill="1" applyBorder="1" applyAlignment="1">
      <alignment horizontal="center" vertical="center" wrapText="1"/>
    </xf>
    <xf numFmtId="37" fontId="17" fillId="0" borderId="43" xfId="0" applyNumberFormat="1" applyFont="1" applyFill="1" applyBorder="1" applyAlignment="1">
      <alignment horizontal="center"/>
    </xf>
    <xf numFmtId="37" fontId="17" fillId="0" borderId="43" xfId="0" applyNumberFormat="1" applyFont="1" applyFill="1" applyBorder="1" applyAlignment="1">
      <alignment horizontal="center" vertical="center"/>
    </xf>
    <xf numFmtId="0" fontId="17" fillId="0" borderId="43" xfId="0" applyFont="1" applyFill="1" applyBorder="1" applyAlignment="1">
      <alignment horizontal="center" vertical="center"/>
    </xf>
    <xf numFmtId="170" fontId="17" fillId="0" borderId="43" xfId="0" applyNumberFormat="1" applyFont="1" applyFill="1" applyBorder="1" applyAlignment="1">
      <alignment horizontal="center" vertical="center" wrapText="1"/>
    </xf>
    <xf numFmtId="0" fontId="2" fillId="0" borderId="43" xfId="0" applyFont="1" applyFill="1" applyBorder="1" applyAlignment="1">
      <alignment horizontal="center" vertical="center"/>
    </xf>
    <xf numFmtId="39" fontId="17" fillId="0" borderId="43" xfId="0" applyNumberFormat="1" applyFont="1" applyFill="1" applyBorder="1" applyAlignment="1">
      <alignment horizontal="center" vertical="center"/>
    </xf>
    <xf numFmtId="39" fontId="17" fillId="0" borderId="45" xfId="0" applyNumberFormat="1" applyFont="1" applyFill="1" applyBorder="1" applyAlignment="1">
      <alignment horizontal="center" vertical="center" wrapText="1"/>
    </xf>
    <xf numFmtId="168" fontId="17" fillId="0" borderId="43" xfId="0" applyNumberFormat="1" applyFont="1" applyFill="1" applyBorder="1" applyAlignment="1">
      <alignment horizontal="center" vertical="center" wrapText="1"/>
    </xf>
    <xf numFmtId="37" fontId="56" fillId="0" borderId="43" xfId="0" applyNumberFormat="1" applyFont="1" applyFill="1" applyBorder="1" applyAlignment="1">
      <alignment horizontal="center" vertical="center"/>
    </xf>
    <xf numFmtId="166" fontId="17" fillId="0" borderId="43" xfId="0" applyNumberFormat="1" applyFont="1" applyFill="1" applyBorder="1" applyAlignment="1">
      <alignment horizontal="center" vertical="center"/>
    </xf>
    <xf numFmtId="1" fontId="17" fillId="0" borderId="43" xfId="0" applyNumberFormat="1" applyFont="1" applyFill="1" applyBorder="1" applyAlignment="1">
      <alignment horizontal="center" vertical="center" wrapText="1"/>
    </xf>
    <xf numFmtId="174" fontId="56" fillId="0" borderId="43" xfId="0" applyNumberFormat="1" applyFont="1" applyFill="1" applyBorder="1" applyAlignment="1">
      <alignment horizontal="center" vertical="center" wrapText="1"/>
    </xf>
    <xf numFmtId="3" fontId="17" fillId="0" borderId="100" xfId="0" applyNumberFormat="1" applyFont="1" applyFill="1" applyBorder="1" applyAlignment="1">
      <alignment horizontal="center" vertical="center" wrapText="1"/>
    </xf>
    <xf numFmtId="39" fontId="17" fillId="0" borderId="100" xfId="0" applyNumberFormat="1" applyFont="1" applyFill="1" applyBorder="1" applyAlignment="1">
      <alignment horizontal="center"/>
    </xf>
    <xf numFmtId="37" fontId="17" fillId="0" borderId="100" xfId="0" applyNumberFormat="1" applyFont="1" applyFill="1" applyBorder="1" applyAlignment="1">
      <alignment horizontal="center" vertical="center"/>
    </xf>
    <xf numFmtId="176" fontId="17" fillId="0" borderId="100" xfId="0" applyNumberFormat="1" applyFont="1" applyFill="1" applyBorder="1" applyAlignment="1">
      <alignment horizontal="center" vertical="center"/>
    </xf>
    <xf numFmtId="176" fontId="17" fillId="0" borderId="100" xfId="0" applyNumberFormat="1" applyFont="1" applyFill="1" applyBorder="1" applyAlignment="1">
      <alignment horizontal="center" vertical="center" wrapText="1"/>
    </xf>
    <xf numFmtId="170" fontId="17" fillId="0" borderId="100" xfId="0" applyNumberFormat="1" applyFont="1" applyFill="1" applyBorder="1" applyAlignment="1">
      <alignment horizontal="center" vertical="center" wrapText="1"/>
    </xf>
    <xf numFmtId="4" fontId="17" fillId="0" borderId="100" xfId="0" applyNumberFormat="1" applyFont="1" applyFill="1" applyBorder="1" applyAlignment="1">
      <alignment horizontal="center" vertical="center" wrapText="1"/>
    </xf>
    <xf numFmtId="39" fontId="17" fillId="0" borderId="100" xfId="0" applyNumberFormat="1" applyFont="1" applyFill="1" applyBorder="1" applyAlignment="1">
      <alignment horizontal="center" vertical="center"/>
    </xf>
    <xf numFmtId="39" fontId="17" fillId="0" borderId="146" xfId="0" applyNumberFormat="1" applyFont="1" applyFill="1" applyBorder="1" applyAlignment="1">
      <alignment horizontal="center" vertical="center" wrapText="1"/>
    </xf>
    <xf numFmtId="168" fontId="17" fillId="0" borderId="100" xfId="0" applyNumberFormat="1" applyFont="1" applyFill="1" applyBorder="1" applyAlignment="1">
      <alignment horizontal="center" vertical="center" wrapText="1"/>
    </xf>
    <xf numFmtId="168" fontId="17" fillId="0" borderId="146" xfId="0" applyNumberFormat="1" applyFont="1" applyFill="1" applyBorder="1" applyAlignment="1">
      <alignment horizontal="center" vertical="center" wrapText="1"/>
    </xf>
    <xf numFmtId="166" fontId="17" fillId="0" borderId="100" xfId="0" applyNumberFormat="1" applyFont="1" applyFill="1" applyBorder="1" applyAlignment="1">
      <alignment horizontal="center" vertical="center"/>
    </xf>
    <xf numFmtId="9" fontId="2" fillId="0" borderId="100" xfId="0" applyNumberFormat="1" applyFont="1" applyFill="1" applyBorder="1" applyAlignment="1">
      <alignment horizontal="center" vertical="center"/>
    </xf>
    <xf numFmtId="10" fontId="2" fillId="0" borderId="100" xfId="0" applyNumberFormat="1" applyFont="1" applyFill="1" applyBorder="1" applyAlignment="1">
      <alignment horizontal="center" vertical="center" wrapText="1"/>
    </xf>
    <xf numFmtId="0" fontId="4" fillId="0" borderId="150" xfId="0" applyFont="1" applyFill="1" applyBorder="1"/>
    <xf numFmtId="0" fontId="4" fillId="0" borderId="45" xfId="0" applyFont="1" applyFill="1" applyBorder="1"/>
    <xf numFmtId="3" fontId="17" fillId="0" borderId="69" xfId="0" applyNumberFormat="1" applyFont="1" applyFill="1" applyBorder="1" applyAlignment="1">
      <alignment horizontal="center" wrapText="1"/>
    </xf>
    <xf numFmtId="166" fontId="17" fillId="0" borderId="69" xfId="0" applyNumberFormat="1" applyFont="1" applyFill="1" applyBorder="1" applyAlignment="1">
      <alignment horizontal="center" vertical="center"/>
    </xf>
    <xf numFmtId="4" fontId="56" fillId="0" borderId="69" xfId="0" applyNumberFormat="1" applyFont="1" applyFill="1" applyBorder="1" applyAlignment="1">
      <alignment horizontal="center" vertical="center" wrapText="1"/>
    </xf>
    <xf numFmtId="1" fontId="17" fillId="0" borderId="69" xfId="0" applyNumberFormat="1" applyFont="1" applyFill="1" applyBorder="1" applyAlignment="1">
      <alignment horizontal="center" vertical="center" wrapText="1"/>
    </xf>
    <xf numFmtId="0" fontId="2" fillId="0" borderId="100" xfId="0" applyFont="1" applyFill="1" applyBorder="1" applyAlignment="1">
      <alignment horizontal="left" vertical="top" wrapText="1"/>
    </xf>
    <xf numFmtId="174" fontId="17" fillId="0" borderId="43" xfId="0" applyNumberFormat="1" applyFont="1" applyFill="1" applyBorder="1" applyAlignment="1">
      <alignment horizontal="center"/>
    </xf>
    <xf numFmtId="174" fontId="17" fillId="0" borderId="43" xfId="0" applyNumberFormat="1" applyFont="1" applyFill="1" applyBorder="1" applyAlignment="1">
      <alignment horizontal="center" vertical="center"/>
    </xf>
    <xf numFmtId="174" fontId="56" fillId="0" borderId="43" xfId="0" applyNumberFormat="1" applyFont="1" applyFill="1" applyBorder="1" applyAlignment="1">
      <alignment horizontal="center" vertical="center"/>
    </xf>
    <xf numFmtId="0" fontId="4" fillId="0" borderId="146" xfId="0" applyFont="1" applyFill="1" applyBorder="1" applyAlignment="1">
      <alignment vertical="top"/>
    </xf>
    <xf numFmtId="0" fontId="17" fillId="0" borderId="43" xfId="0" applyFont="1" applyFill="1" applyBorder="1" applyAlignment="1">
      <alignment horizontal="center"/>
    </xf>
    <xf numFmtId="3" fontId="17" fillId="0" borderId="43" xfId="0" applyNumberFormat="1" applyFont="1" applyFill="1" applyBorder="1" applyAlignment="1">
      <alignment horizontal="center" vertical="center"/>
    </xf>
    <xf numFmtId="0" fontId="56" fillId="0" borderId="43" xfId="0" applyFont="1" applyFill="1" applyBorder="1" applyAlignment="1">
      <alignment horizontal="center" vertical="center"/>
    </xf>
    <xf numFmtId="4" fontId="56" fillId="0" borderId="43" xfId="0" applyNumberFormat="1" applyFont="1" applyFill="1" applyBorder="1" applyAlignment="1">
      <alignment horizontal="center" vertical="center"/>
    </xf>
    <xf numFmtId="0" fontId="17" fillId="0" borderId="100" xfId="0" applyFont="1" applyFill="1" applyBorder="1" applyAlignment="1">
      <alignment horizontal="center"/>
    </xf>
    <xf numFmtId="0" fontId="17" fillId="0" borderId="100" xfId="0" applyFont="1" applyFill="1" applyBorder="1" applyAlignment="1">
      <alignment horizontal="center" vertical="center"/>
    </xf>
    <xf numFmtId="4" fontId="17" fillId="0" borderId="100" xfId="0" applyNumberFormat="1" applyFont="1" applyFill="1" applyBorder="1" applyAlignment="1">
      <alignment horizontal="center" vertical="center"/>
    </xf>
    <xf numFmtId="168" fontId="17" fillId="0" borderId="100" xfId="0" applyNumberFormat="1" applyFont="1" applyFill="1" applyBorder="1" applyAlignment="1">
      <alignment horizontal="center" vertical="center"/>
    </xf>
    <xf numFmtId="4" fontId="56" fillId="0" borderId="100" xfId="0" applyNumberFormat="1" applyFont="1" applyFill="1" applyBorder="1" applyAlignment="1">
      <alignment horizontal="center" vertical="center" wrapText="1"/>
    </xf>
    <xf numFmtId="1" fontId="17" fillId="0" borderId="100" xfId="0" applyNumberFormat="1" applyFont="1" applyFill="1" applyBorder="1" applyAlignment="1">
      <alignment horizontal="center" vertical="center" wrapText="1"/>
    </xf>
    <xf numFmtId="0" fontId="4" fillId="0" borderId="69" xfId="0" applyFont="1" applyFill="1" applyBorder="1" applyAlignment="1">
      <alignment vertical="top"/>
    </xf>
    <xf numFmtId="1" fontId="17" fillId="0" borderId="69" xfId="0" applyNumberFormat="1" applyFont="1" applyFill="1" applyBorder="1" applyAlignment="1">
      <alignment horizontal="center" vertical="center"/>
    </xf>
    <xf numFmtId="177" fontId="17" fillId="0" borderId="69" xfId="0" applyNumberFormat="1" applyFont="1" applyFill="1" applyBorder="1" applyAlignment="1">
      <alignment horizontal="center" vertical="center"/>
    </xf>
    <xf numFmtId="37" fontId="56" fillId="0" borderId="69" xfId="0" applyNumberFormat="1" applyFont="1" applyFill="1" applyBorder="1" applyAlignment="1">
      <alignment horizontal="center" vertical="center"/>
    </xf>
    <xf numFmtId="0" fontId="2" fillId="0" borderId="100" xfId="0" applyFont="1" applyFill="1" applyBorder="1" applyAlignment="1">
      <alignment horizontal="center" vertical="center" wrapText="1"/>
    </xf>
    <xf numFmtId="0" fontId="4" fillId="0" borderId="146" xfId="0" applyFont="1" applyFill="1" applyBorder="1"/>
    <xf numFmtId="170" fontId="17" fillId="0" borderId="45" xfId="0" applyNumberFormat="1" applyFont="1" applyFill="1" applyBorder="1" applyAlignment="1">
      <alignment horizontal="center" vertical="center" wrapText="1"/>
    </xf>
    <xf numFmtId="170" fontId="17" fillId="0" borderId="146" xfId="0" applyNumberFormat="1" applyFont="1" applyFill="1" applyBorder="1" applyAlignment="1">
      <alignment horizontal="center" vertical="center" wrapText="1"/>
    </xf>
    <xf numFmtId="0" fontId="4" fillId="0" borderId="69" xfId="0" applyFont="1" applyFill="1" applyBorder="1"/>
    <xf numFmtId="2" fontId="17" fillId="0" borderId="69" xfId="0" applyNumberFormat="1" applyFont="1" applyFill="1" applyBorder="1" applyAlignment="1">
      <alignment horizontal="center" wrapText="1"/>
    </xf>
    <xf numFmtId="4" fontId="64" fillId="0" borderId="69" xfId="0" applyNumberFormat="1" applyFont="1" applyFill="1" applyBorder="1" applyAlignment="1">
      <alignment horizontal="center" vertical="center" wrapText="1"/>
    </xf>
    <xf numFmtId="3" fontId="64" fillId="0" borderId="69" xfId="0" applyNumberFormat="1" applyFont="1" applyFill="1" applyBorder="1" applyAlignment="1">
      <alignment horizontal="center" vertical="center" wrapText="1"/>
    </xf>
    <xf numFmtId="168" fontId="64" fillId="0" borderId="69" xfId="0" applyNumberFormat="1" applyFont="1" applyFill="1" applyBorder="1" applyAlignment="1">
      <alignment horizontal="center" vertical="center" wrapText="1"/>
    </xf>
    <xf numFmtId="185" fontId="64" fillId="0" borderId="69" xfId="0" applyNumberFormat="1" applyFont="1" applyFill="1" applyBorder="1" applyAlignment="1">
      <alignment horizontal="center" vertical="center" wrapText="1"/>
    </xf>
    <xf numFmtId="0" fontId="4" fillId="0" borderId="31" xfId="0" applyFont="1" applyFill="1" applyBorder="1" applyAlignment="1">
      <alignment horizontal="left" vertical="top" wrapText="1"/>
    </xf>
    <xf numFmtId="174" fontId="64" fillId="0" borderId="43" xfId="0" applyNumberFormat="1" applyFont="1" applyFill="1" applyBorder="1" applyAlignment="1">
      <alignment horizontal="center" vertical="center" wrapText="1"/>
    </xf>
    <xf numFmtId="174" fontId="64" fillId="0" borderId="43" xfId="0" applyNumberFormat="1" applyFont="1" applyFill="1" applyBorder="1" applyAlignment="1">
      <alignment horizontal="center" vertical="center"/>
    </xf>
    <xf numFmtId="173" fontId="64" fillId="0" borderId="43" xfId="0" applyNumberFormat="1" applyFont="1" applyFill="1" applyBorder="1" applyAlignment="1">
      <alignment horizontal="center" vertical="center"/>
    </xf>
    <xf numFmtId="4" fontId="17" fillId="0" borderId="45" xfId="0" applyNumberFormat="1" applyFont="1" applyFill="1" applyBorder="1" applyAlignment="1">
      <alignment horizontal="center" vertical="center" wrapText="1"/>
    </xf>
    <xf numFmtId="4" fontId="64" fillId="0" borderId="45" xfId="0" applyNumberFormat="1" applyFont="1" applyFill="1" applyBorder="1" applyAlignment="1">
      <alignment horizontal="center" vertical="center" wrapText="1"/>
    </xf>
    <xf numFmtId="4" fontId="64" fillId="0" borderId="43" xfId="0" applyNumberFormat="1" applyFont="1" applyFill="1" applyBorder="1" applyAlignment="1">
      <alignment horizontal="center" vertical="center" wrapText="1"/>
    </xf>
    <xf numFmtId="2" fontId="64" fillId="0" borderId="43" xfId="0" applyNumberFormat="1" applyFont="1" applyFill="1" applyBorder="1" applyAlignment="1">
      <alignment horizontal="center" vertical="center"/>
    </xf>
    <xf numFmtId="0" fontId="64" fillId="0" borderId="43" xfId="0" applyFont="1" applyFill="1" applyBorder="1" applyAlignment="1">
      <alignment horizontal="center" vertical="center"/>
    </xf>
    <xf numFmtId="168" fontId="64" fillId="0" borderId="43" xfId="0" applyNumberFormat="1" applyFont="1" applyFill="1" applyBorder="1" applyAlignment="1">
      <alignment horizontal="center" vertical="center" wrapText="1"/>
    </xf>
    <xf numFmtId="188" fontId="64" fillId="0" borderId="43" xfId="0" applyNumberFormat="1" applyFont="1" applyFill="1" applyBorder="1" applyAlignment="1">
      <alignment horizontal="center" vertical="center"/>
    </xf>
    <xf numFmtId="188" fontId="64" fillId="0" borderId="43" xfId="0" applyNumberFormat="1" applyFont="1" applyFill="1" applyBorder="1" applyAlignment="1">
      <alignment horizontal="center" vertical="center" wrapText="1"/>
    </xf>
    <xf numFmtId="2" fontId="17" fillId="0" borderId="100" xfId="0" applyNumberFormat="1" applyFont="1" applyFill="1" applyBorder="1" applyAlignment="1">
      <alignment horizontal="center"/>
    </xf>
    <xf numFmtId="178" fontId="17" fillId="0" borderId="100" xfId="0" applyNumberFormat="1" applyFont="1" applyFill="1" applyBorder="1" applyAlignment="1">
      <alignment horizontal="center" vertical="center" wrapText="1"/>
    </xf>
    <xf numFmtId="4" fontId="17" fillId="0" borderId="146" xfId="0" applyNumberFormat="1" applyFont="1" applyFill="1" applyBorder="1" applyAlignment="1">
      <alignment horizontal="center" vertical="center" wrapText="1"/>
    </xf>
    <xf numFmtId="37" fontId="17" fillId="0" borderId="69" xfId="0" applyNumberFormat="1" applyFont="1" applyFill="1" applyBorder="1" applyAlignment="1">
      <alignment horizontal="center"/>
    </xf>
    <xf numFmtId="39" fontId="64" fillId="0" borderId="69" xfId="0" applyNumberFormat="1" applyFont="1" applyFill="1" applyBorder="1" applyAlignment="1">
      <alignment horizontal="center" vertical="center"/>
    </xf>
    <xf numFmtId="176" fontId="64" fillId="0" borderId="69" xfId="0" applyNumberFormat="1" applyFont="1" applyFill="1" applyBorder="1" applyAlignment="1">
      <alignment horizontal="center" vertical="center"/>
    </xf>
    <xf numFmtId="37" fontId="64" fillId="0" borderId="69" xfId="0" applyNumberFormat="1" applyFont="1" applyFill="1" applyBorder="1" applyAlignment="1">
      <alignment horizontal="center" vertical="center"/>
    </xf>
    <xf numFmtId="2" fontId="64" fillId="0" borderId="69" xfId="0" applyNumberFormat="1" applyFont="1" applyFill="1" applyBorder="1" applyAlignment="1">
      <alignment horizontal="center" vertical="center" wrapText="1"/>
    </xf>
    <xf numFmtId="173" fontId="17" fillId="0" borderId="43" xfId="0" applyNumberFormat="1" applyFont="1" applyFill="1" applyBorder="1" applyAlignment="1">
      <alignment horizontal="center"/>
    </xf>
    <xf numFmtId="173" fontId="17" fillId="0" borderId="43" xfId="0" applyNumberFormat="1" applyFont="1" applyFill="1" applyBorder="1" applyAlignment="1">
      <alignment horizontal="center" vertical="center" wrapText="1"/>
    </xf>
    <xf numFmtId="173" fontId="17" fillId="0" borderId="43" xfId="0" applyNumberFormat="1" applyFont="1" applyFill="1" applyBorder="1" applyAlignment="1">
      <alignment vertical="center" wrapText="1"/>
    </xf>
    <xf numFmtId="0" fontId="2" fillId="0" borderId="146" xfId="0" applyFont="1" applyFill="1" applyBorder="1" applyAlignment="1">
      <alignment horizontal="center" vertical="center" wrapText="1"/>
    </xf>
    <xf numFmtId="0" fontId="2" fillId="0" borderId="43" xfId="0" applyFont="1" applyFill="1" applyBorder="1" applyAlignment="1">
      <alignment horizontal="center"/>
    </xf>
    <xf numFmtId="3" fontId="64" fillId="0" borderId="43" xfId="0" applyNumberFormat="1" applyFont="1" applyFill="1" applyBorder="1" applyAlignment="1">
      <alignment horizontal="center" vertical="center" wrapText="1"/>
    </xf>
    <xf numFmtId="37" fontId="64" fillId="0" borderId="43" xfId="0" applyNumberFormat="1" applyFont="1" applyFill="1" applyBorder="1" applyAlignment="1">
      <alignment horizontal="center" vertical="center"/>
    </xf>
    <xf numFmtId="166" fontId="64" fillId="0" borderId="43" xfId="0" applyNumberFormat="1" applyFont="1" applyFill="1" applyBorder="1" applyAlignment="1">
      <alignment horizontal="center" vertical="center"/>
    </xf>
    <xf numFmtId="1" fontId="64" fillId="0" borderId="43" xfId="0" applyNumberFormat="1" applyFont="1" applyFill="1" applyBorder="1" applyAlignment="1">
      <alignment horizontal="center" vertical="center" wrapText="1"/>
    </xf>
    <xf numFmtId="2" fontId="17" fillId="0" borderId="100" xfId="0" applyNumberFormat="1" applyFont="1" applyFill="1" applyBorder="1" applyAlignment="1">
      <alignment horizontal="center" vertical="center"/>
    </xf>
    <xf numFmtId="2" fontId="17" fillId="0" borderId="100" xfId="0" applyNumberFormat="1" applyFont="1" applyFill="1" applyBorder="1" applyAlignment="1">
      <alignment horizontal="center" vertical="center" wrapText="1"/>
    </xf>
    <xf numFmtId="0" fontId="2" fillId="0" borderId="69" xfId="0" applyFont="1" applyFill="1" applyBorder="1" applyAlignment="1">
      <alignment horizontal="center" vertical="center" wrapText="1"/>
    </xf>
    <xf numFmtId="0" fontId="2" fillId="0" borderId="42" xfId="0" applyFont="1" applyFill="1" applyBorder="1" applyAlignment="1">
      <alignment horizontal="left" vertical="center" wrapText="1"/>
    </xf>
    <xf numFmtId="175" fontId="17" fillId="0" borderId="43" xfId="0" applyNumberFormat="1" applyFont="1" applyFill="1" applyBorder="1" applyAlignment="1">
      <alignment horizontal="center" vertical="center" wrapText="1"/>
    </xf>
    <xf numFmtId="177" fontId="17" fillId="0" borderId="69" xfId="0" applyNumberFormat="1" applyFont="1" applyFill="1" applyBorder="1" applyAlignment="1">
      <alignment horizontal="center"/>
    </xf>
    <xf numFmtId="179" fontId="17" fillId="0" borderId="69" xfId="0" applyNumberFormat="1" applyFont="1" applyFill="1" applyBorder="1" applyAlignment="1">
      <alignment horizontal="center" vertical="center"/>
    </xf>
    <xf numFmtId="39" fontId="56" fillId="0" borderId="69" xfId="0" applyNumberFormat="1" applyFont="1" applyFill="1" applyBorder="1" applyAlignment="1">
      <alignment horizontal="center" vertical="center"/>
    </xf>
    <xf numFmtId="2" fontId="17" fillId="0" borderId="69" xfId="0" applyNumberFormat="1" applyFont="1" applyFill="1" applyBorder="1" applyAlignment="1">
      <alignment horizontal="center" vertical="center" wrapText="1"/>
    </xf>
    <xf numFmtId="0" fontId="4" fillId="0" borderId="100" xfId="0" applyFont="1" applyFill="1" applyBorder="1" applyAlignment="1">
      <alignment horizontal="center" vertical="center" wrapText="1"/>
    </xf>
    <xf numFmtId="0" fontId="2" fillId="0" borderId="24" xfId="0" applyFont="1" applyFill="1" applyBorder="1" applyAlignment="1">
      <alignment horizontal="left" vertical="center" wrapText="1"/>
    </xf>
    <xf numFmtId="180" fontId="17" fillId="0" borderId="43" xfId="0" applyNumberFormat="1" applyFont="1" applyFill="1" applyBorder="1" applyAlignment="1">
      <alignment horizontal="center" vertical="center" wrapText="1"/>
    </xf>
    <xf numFmtId="189" fontId="17" fillId="0" borderId="100" xfId="0" applyNumberFormat="1" applyFont="1" applyFill="1" applyBorder="1" applyAlignment="1">
      <alignment horizontal="center" vertical="center" wrapText="1"/>
    </xf>
    <xf numFmtId="10" fontId="2" fillId="0" borderId="146" xfId="0" applyNumberFormat="1" applyFont="1" applyFill="1" applyBorder="1" applyAlignment="1">
      <alignment horizontal="center" vertical="center" wrapText="1"/>
    </xf>
    <xf numFmtId="173" fontId="17" fillId="26" borderId="171" xfId="0" applyNumberFormat="1" applyFont="1" applyFill="1" applyBorder="1" applyAlignment="1">
      <alignment horizontal="center" vertical="center" wrapText="1"/>
    </xf>
    <xf numFmtId="173" fontId="17" fillId="26" borderId="173" xfId="0" applyNumberFormat="1" applyFont="1" applyFill="1" applyBorder="1" applyAlignment="1">
      <alignment horizontal="center" vertical="center"/>
    </xf>
    <xf numFmtId="0" fontId="29" fillId="4" borderId="190" xfId="0" applyFont="1" applyFill="1" applyBorder="1" applyAlignment="1">
      <alignment horizontal="center" vertical="center" wrapText="1"/>
    </xf>
    <xf numFmtId="0" fontId="10" fillId="6" borderId="57" xfId="0" applyFont="1" applyFill="1" applyBorder="1" applyAlignment="1">
      <alignment horizontal="center" vertical="center"/>
    </xf>
    <xf numFmtId="0" fontId="10" fillId="6" borderId="110" xfId="0" applyFont="1" applyFill="1" applyBorder="1" applyAlignment="1">
      <alignment horizontal="center" vertical="center"/>
    </xf>
    <xf numFmtId="0" fontId="17" fillId="6" borderId="191" xfId="0" applyFont="1" applyFill="1" applyBorder="1" applyAlignment="1">
      <alignment horizontal="center" vertical="center" wrapText="1"/>
    </xf>
    <xf numFmtId="0" fontId="13" fillId="5" borderId="192" xfId="0" applyFont="1" applyFill="1" applyBorder="1" applyAlignment="1">
      <alignment horizontal="center" vertical="center" wrapText="1"/>
    </xf>
    <xf numFmtId="0" fontId="13" fillId="8" borderId="167" xfId="0" applyFont="1" applyFill="1" applyBorder="1" applyAlignment="1">
      <alignment horizontal="center" vertical="center" wrapText="1"/>
    </xf>
    <xf numFmtId="0" fontId="13" fillId="4" borderId="167" xfId="0" applyFont="1" applyFill="1" applyBorder="1" applyAlignment="1">
      <alignment horizontal="center" vertical="center" wrapText="1"/>
    </xf>
    <xf numFmtId="0" fontId="13" fillId="4" borderId="193" xfId="0" applyFont="1" applyFill="1" applyBorder="1" applyAlignment="1">
      <alignment horizontal="center" vertical="center" wrapText="1"/>
    </xf>
    <xf numFmtId="0" fontId="11" fillId="6" borderId="194" xfId="0" applyFont="1" applyFill="1" applyBorder="1" applyAlignment="1">
      <alignment horizontal="center" vertical="center" wrapText="1"/>
    </xf>
    <xf numFmtId="0" fontId="11" fillId="9" borderId="194" xfId="0" applyFont="1" applyFill="1" applyBorder="1" applyAlignment="1">
      <alignment horizontal="center" vertical="center" wrapText="1"/>
    </xf>
    <xf numFmtId="0" fontId="11" fillId="4" borderId="194" xfId="0" applyFont="1" applyFill="1" applyBorder="1" applyAlignment="1">
      <alignment horizontal="center" vertical="center" wrapText="1"/>
    </xf>
    <xf numFmtId="0" fontId="11" fillId="8" borderId="194" xfId="0" applyFont="1" applyFill="1" applyBorder="1" applyAlignment="1">
      <alignment horizontal="center" vertical="center" wrapText="1"/>
    </xf>
    <xf numFmtId="0" fontId="14" fillId="8" borderId="167" xfId="0" applyFont="1" applyFill="1" applyBorder="1" applyAlignment="1">
      <alignment horizontal="center" vertical="center" wrapText="1"/>
    </xf>
    <xf numFmtId="0" fontId="14" fillId="4" borderId="167" xfId="0" applyFont="1" applyFill="1" applyBorder="1" applyAlignment="1">
      <alignment horizontal="center" vertical="center" wrapText="1"/>
    </xf>
    <xf numFmtId="0" fontId="14" fillId="4" borderId="193" xfId="0" applyFont="1" applyFill="1" applyBorder="1" applyAlignment="1">
      <alignment horizontal="center" vertical="center" wrapText="1"/>
    </xf>
    <xf numFmtId="0" fontId="11" fillId="6" borderId="195" xfId="0" applyFont="1" applyFill="1" applyBorder="1" applyAlignment="1">
      <alignment horizontal="center" vertical="center" wrapText="1"/>
    </xf>
    <xf numFmtId="0" fontId="11" fillId="9" borderId="196" xfId="0" applyFont="1" applyFill="1" applyBorder="1" applyAlignment="1">
      <alignment horizontal="center" vertical="center" wrapText="1"/>
    </xf>
    <xf numFmtId="0" fontId="11" fillId="4" borderId="195" xfId="0" applyFont="1" applyFill="1" applyBorder="1" applyAlignment="1">
      <alignment horizontal="center" vertical="center" wrapText="1"/>
    </xf>
    <xf numFmtId="0" fontId="11" fillId="9" borderId="193" xfId="0" applyFont="1" applyFill="1" applyBorder="1" applyAlignment="1">
      <alignment horizontal="center" vertical="center" wrapText="1"/>
    </xf>
    <xf numFmtId="0" fontId="11" fillId="4" borderId="168" xfId="0" applyFont="1" applyFill="1" applyBorder="1" applyAlignment="1">
      <alignment horizontal="center" vertical="center" wrapText="1"/>
    </xf>
    <xf numFmtId="0" fontId="30" fillId="0" borderId="146" xfId="0" applyFont="1" applyFill="1" applyBorder="1" applyAlignment="1">
      <alignment horizontal="center" vertical="center" wrapText="1"/>
    </xf>
    <xf numFmtId="0" fontId="30" fillId="0" borderId="146" xfId="0" applyFont="1" applyFill="1" applyBorder="1" applyAlignment="1">
      <alignment horizontal="left" vertical="center" wrapText="1"/>
    </xf>
    <xf numFmtId="0" fontId="30" fillId="0" borderId="146" xfId="0" applyFont="1" applyFill="1" applyBorder="1" applyAlignment="1">
      <alignment vertical="top" wrapText="1"/>
    </xf>
    <xf numFmtId="0" fontId="58" fillId="0" borderId="69" xfId="0" applyFont="1" applyFill="1" applyBorder="1" applyAlignment="1">
      <alignment vertical="top" wrapText="1"/>
    </xf>
    <xf numFmtId="0" fontId="30" fillId="0" borderId="42" xfId="0" applyFont="1" applyFill="1" applyBorder="1" applyAlignment="1">
      <alignment horizontal="left" vertical="center" wrapText="1"/>
    </xf>
    <xf numFmtId="0" fontId="30" fillId="0" borderId="100" xfId="0" applyFont="1" applyFill="1" applyBorder="1" applyAlignment="1">
      <alignment vertical="top" wrapText="1"/>
    </xf>
    <xf numFmtId="0" fontId="30" fillId="0" borderId="42" xfId="0" applyFont="1" applyFill="1" applyBorder="1" applyAlignment="1">
      <alignment horizontal="center" vertical="center" wrapText="1"/>
    </xf>
    <xf numFmtId="0" fontId="60" fillId="0" borderId="69" xfId="0" applyFont="1" applyFill="1" applyBorder="1"/>
    <xf numFmtId="0" fontId="67" fillId="0" borderId="69" xfId="0" applyFont="1" applyFill="1" applyBorder="1"/>
    <xf numFmtId="0" fontId="66" fillId="0" borderId="69" xfId="0" applyFont="1" applyFill="1" applyBorder="1" applyAlignment="1">
      <alignment vertical="top" wrapText="1"/>
    </xf>
    <xf numFmtId="0" fontId="30" fillId="0" borderId="69" xfId="0" applyFont="1" applyFill="1" applyBorder="1" applyAlignment="1">
      <alignment vertical="top" wrapText="1"/>
    </xf>
    <xf numFmtId="10" fontId="58" fillId="0" borderId="69" xfId="0" applyNumberFormat="1" applyFont="1" applyFill="1" applyBorder="1" applyAlignment="1">
      <alignment horizontal="center" vertical="center" wrapText="1"/>
    </xf>
    <xf numFmtId="10" fontId="58" fillId="0" borderId="43" xfId="0" applyNumberFormat="1" applyFont="1" applyFill="1" applyBorder="1" applyAlignment="1">
      <alignment horizontal="center" vertical="center" wrapText="1"/>
    </xf>
    <xf numFmtId="10" fontId="30" fillId="0" borderId="69" xfId="0" applyNumberFormat="1" applyFont="1" applyFill="1" applyBorder="1" applyAlignment="1">
      <alignment horizontal="center" vertical="center" wrapText="1"/>
    </xf>
    <xf numFmtId="10" fontId="66" fillId="0" borderId="43" xfId="0" applyNumberFormat="1" applyFont="1" applyFill="1" applyBorder="1" applyAlignment="1">
      <alignment horizontal="center" vertical="center" wrapText="1"/>
    </xf>
    <xf numFmtId="10" fontId="30" fillId="0" borderId="43" xfId="0" applyNumberFormat="1" applyFont="1" applyFill="1" applyBorder="1" applyAlignment="1">
      <alignment horizontal="center" vertical="center" wrapText="1"/>
    </xf>
    <xf numFmtId="10" fontId="66" fillId="0" borderId="69" xfId="0" applyNumberFormat="1" applyFont="1" applyFill="1" applyBorder="1" applyAlignment="1">
      <alignment horizontal="center" vertical="center" wrapText="1"/>
    </xf>
    <xf numFmtId="10" fontId="66" fillId="0" borderId="100" xfId="0" applyNumberFormat="1" applyFont="1" applyFill="1" applyBorder="1" applyAlignment="1">
      <alignment horizontal="center" vertical="center" wrapText="1"/>
    </xf>
    <xf numFmtId="10" fontId="30" fillId="0" borderId="100" xfId="0" applyNumberFormat="1" applyFont="1" applyFill="1" applyBorder="1" applyAlignment="1">
      <alignment horizontal="center" vertical="center" wrapText="1"/>
    </xf>
    <xf numFmtId="10" fontId="61" fillId="0" borderId="43" xfId="0" applyNumberFormat="1" applyFont="1" applyFill="1" applyBorder="1" applyAlignment="1">
      <alignment horizontal="center" vertical="center" wrapText="1"/>
    </xf>
    <xf numFmtId="10" fontId="30" fillId="0" borderId="146" xfId="0" applyNumberFormat="1" applyFont="1" applyFill="1" applyBorder="1" applyAlignment="1">
      <alignment horizontal="center" vertical="center" wrapText="1"/>
    </xf>
    <xf numFmtId="0" fontId="30" fillId="0" borderId="131" xfId="0" applyFont="1" applyFill="1" applyBorder="1" applyAlignment="1">
      <alignment horizontal="left" vertical="top" wrapText="1"/>
    </xf>
    <xf numFmtId="0" fontId="4" fillId="0" borderId="101" xfId="0" applyFont="1" applyFill="1" applyBorder="1"/>
    <xf numFmtId="10" fontId="30" fillId="0" borderId="42" xfId="0" applyNumberFormat="1" applyFont="1" applyFill="1" applyBorder="1" applyAlignment="1">
      <alignment horizontal="center" vertical="center" wrapText="1"/>
    </xf>
    <xf numFmtId="0" fontId="30" fillId="0" borderId="102" xfId="0" applyFont="1" applyFill="1" applyBorder="1" applyAlignment="1">
      <alignment horizontal="left" vertical="top" wrapText="1"/>
    </xf>
    <xf numFmtId="0" fontId="30" fillId="0" borderId="157" xfId="0" applyFont="1" applyFill="1" applyBorder="1" applyAlignment="1">
      <alignment horizontal="left" vertical="top" wrapText="1"/>
    </xf>
    <xf numFmtId="0" fontId="4" fillId="0" borderId="142" xfId="0" applyFont="1" applyFill="1" applyBorder="1"/>
    <xf numFmtId="0" fontId="30" fillId="0" borderId="142" xfId="0" applyFont="1" applyFill="1" applyBorder="1" applyAlignment="1">
      <alignment horizontal="left" vertical="top" wrapText="1"/>
    </xf>
    <xf numFmtId="0" fontId="61" fillId="0" borderId="157" xfId="0" applyFont="1" applyFill="1" applyBorder="1" applyAlignment="1">
      <alignment horizontal="left" vertical="center" wrapText="1"/>
    </xf>
    <xf numFmtId="0" fontId="4" fillId="0" borderId="142" xfId="0" applyFont="1" applyFill="1" applyBorder="1" applyAlignment="1">
      <alignment horizontal="left"/>
    </xf>
    <xf numFmtId="0" fontId="61" fillId="0" borderId="100" xfId="0" applyFont="1" applyFill="1" applyBorder="1" applyAlignment="1">
      <alignment horizontal="left" vertical="top" wrapText="1"/>
    </xf>
    <xf numFmtId="0" fontId="61" fillId="0" borderId="100" xfId="0" applyFont="1" applyFill="1" applyBorder="1" applyAlignment="1">
      <alignment horizontal="left" vertical="center" wrapText="1"/>
    </xf>
    <xf numFmtId="0" fontId="2" fillId="0" borderId="122" xfId="0" applyFont="1" applyFill="1" applyBorder="1" applyAlignment="1">
      <alignment horizontal="center" vertical="center"/>
    </xf>
    <xf numFmtId="0" fontId="17" fillId="0" borderId="43" xfId="0" applyFont="1" applyFill="1" applyBorder="1" applyAlignment="1">
      <alignment horizontal="center" vertical="center" wrapText="1"/>
    </xf>
    <xf numFmtId="0" fontId="17" fillId="0" borderId="43" xfId="0" applyFont="1" applyFill="1" applyBorder="1" applyAlignment="1">
      <alignment vertical="center" wrapText="1"/>
    </xf>
    <xf numFmtId="0" fontId="2" fillId="0" borderId="43" xfId="0" applyFont="1" applyFill="1" applyBorder="1" applyAlignment="1">
      <alignment vertical="center"/>
    </xf>
    <xf numFmtId="0" fontId="2" fillId="0" borderId="43" xfId="0" applyFont="1" applyFill="1" applyBorder="1"/>
    <xf numFmtId="10" fontId="2" fillId="0" borderId="43" xfId="0" applyNumberFormat="1" applyFont="1" applyFill="1" applyBorder="1"/>
    <xf numFmtId="0" fontId="2" fillId="0" borderId="84" xfId="0" applyFont="1" applyFill="1" applyBorder="1" applyAlignment="1">
      <alignment wrapText="1"/>
    </xf>
    <xf numFmtId="0" fontId="0" fillId="0" borderId="0" xfId="0" applyFill="1"/>
    <xf numFmtId="9" fontId="2" fillId="0" borderId="0" xfId="0" applyNumberFormat="1" applyFont="1" applyFill="1"/>
    <xf numFmtId="0" fontId="2" fillId="0" borderId="0" xfId="0" applyFont="1" applyFill="1" applyAlignment="1">
      <alignment wrapText="1"/>
    </xf>
    <xf numFmtId="0" fontId="4" fillId="0" borderId="123" xfId="0" applyFont="1" applyFill="1" applyBorder="1"/>
    <xf numFmtId="0" fontId="4" fillId="0" borderId="124" xfId="0" applyFont="1" applyFill="1" applyBorder="1"/>
    <xf numFmtId="0" fontId="2" fillId="0" borderId="148" xfId="0" applyFont="1" applyFill="1" applyBorder="1" applyAlignment="1">
      <alignment horizontal="center"/>
    </xf>
    <xf numFmtId="0" fontId="2" fillId="0" borderId="140" xfId="0" applyFont="1" applyFill="1" applyBorder="1" applyAlignment="1">
      <alignment horizontal="center" vertical="center" wrapText="1"/>
    </xf>
    <xf numFmtId="0" fontId="2" fillId="0" borderId="44" xfId="0" applyFont="1" applyFill="1" applyBorder="1" applyAlignment="1">
      <alignment vertical="center" wrapText="1"/>
    </xf>
    <xf numFmtId="0" fontId="2" fillId="0" borderId="46" xfId="0" applyFont="1" applyFill="1" applyBorder="1" applyAlignment="1">
      <alignment horizontal="center" vertical="center"/>
    </xf>
    <xf numFmtId="0" fontId="2" fillId="0" borderId="44" xfId="0" applyFont="1" applyFill="1" applyBorder="1" applyAlignment="1">
      <alignment horizontal="center" vertical="center"/>
    </xf>
    <xf numFmtId="9" fontId="2" fillId="0" borderId="43" xfId="0" applyNumberFormat="1" applyFont="1" applyFill="1" applyBorder="1"/>
    <xf numFmtId="0" fontId="2" fillId="0" borderId="145" xfId="0" applyFont="1" applyFill="1" applyBorder="1" applyAlignment="1">
      <alignment horizontal="center"/>
    </xf>
    <xf numFmtId="0" fontId="2" fillId="0" borderId="43" xfId="0" applyFont="1" applyFill="1" applyBorder="1" applyAlignment="1">
      <alignment horizontal="center" vertical="center" wrapText="1"/>
    </xf>
    <xf numFmtId="0" fontId="2" fillId="0" borderId="43" xfId="0" applyFont="1" applyFill="1" applyBorder="1" applyAlignment="1">
      <alignment vertical="center" wrapText="1"/>
    </xf>
    <xf numFmtId="0" fontId="2" fillId="0" borderId="124" xfId="0" applyFont="1" applyFill="1" applyBorder="1" applyAlignment="1">
      <alignment horizontal="center"/>
    </xf>
    <xf numFmtId="0" fontId="2" fillId="0" borderId="46" xfId="0" applyFont="1" applyFill="1" applyBorder="1" applyAlignment="1">
      <alignment horizontal="center" vertical="center" wrapText="1"/>
    </xf>
    <xf numFmtId="0" fontId="2" fillId="0" borderId="46" xfId="0" applyFont="1" applyFill="1" applyBorder="1" applyAlignment="1">
      <alignment vertical="center" wrapText="1"/>
    </xf>
    <xf numFmtId="0" fontId="4" fillId="0" borderId="131" xfId="0" applyFont="1" applyFill="1" applyBorder="1"/>
    <xf numFmtId="0" fontId="4" fillId="0" borderId="145" xfId="0" applyFont="1" applyFill="1" applyBorder="1"/>
    <xf numFmtId="0" fontId="63" fillId="0" borderId="146" xfId="0" applyFont="1" applyFill="1" applyBorder="1" applyAlignment="1">
      <alignment vertical="center" wrapText="1"/>
    </xf>
    <xf numFmtId="0" fontId="4" fillId="0" borderId="120" xfId="0" applyFont="1" applyFill="1" applyBorder="1"/>
    <xf numFmtId="0" fontId="4" fillId="0" borderId="38" xfId="0" applyFont="1" applyFill="1" applyBorder="1"/>
    <xf numFmtId="0" fontId="73" fillId="0" borderId="145" xfId="0" applyFont="1" applyFill="1" applyBorder="1"/>
    <xf numFmtId="0" fontId="4" fillId="0" borderId="127" xfId="0" applyFont="1" applyFill="1" applyBorder="1"/>
    <xf numFmtId="0" fontId="73" fillId="0" borderId="124" xfId="0" applyFont="1" applyFill="1" applyBorder="1"/>
    <xf numFmtId="0" fontId="23" fillId="0" borderId="146" xfId="0" applyFont="1" applyFill="1" applyBorder="1"/>
    <xf numFmtId="0" fontId="23" fillId="0" borderId="69" xfId="0" applyFont="1" applyFill="1" applyBorder="1"/>
    <xf numFmtId="0" fontId="4" fillId="0" borderId="85" xfId="0" applyFont="1" applyFill="1" applyBorder="1"/>
    <xf numFmtId="0" fontId="74" fillId="0" borderId="146" xfId="0" applyFont="1" applyFill="1" applyBorder="1"/>
    <xf numFmtId="0" fontId="74" fillId="0" borderId="69" xfId="0" applyFont="1" applyFill="1" applyBorder="1"/>
    <xf numFmtId="0" fontId="30" fillId="0" borderId="122" xfId="0" applyFont="1" applyFill="1" applyBorder="1" applyAlignment="1">
      <alignment horizontal="center" vertical="center" wrapText="1"/>
    </xf>
    <xf numFmtId="0" fontId="30" fillId="0" borderId="42" xfId="0" applyFont="1" applyFill="1" applyBorder="1" applyAlignment="1">
      <alignment vertical="center" wrapText="1"/>
    </xf>
    <xf numFmtId="0" fontId="2" fillId="0" borderId="123" xfId="0" applyFont="1" applyFill="1" applyBorder="1"/>
    <xf numFmtId="0" fontId="2" fillId="0" borderId="28" xfId="0" applyFont="1" applyFill="1" applyBorder="1"/>
    <xf numFmtId="0" fontId="2" fillId="0" borderId="124" xfId="0" applyFont="1" applyFill="1" applyBorder="1"/>
    <xf numFmtId="0" fontId="2" fillId="0" borderId="45" xfId="0" applyFont="1" applyFill="1" applyBorder="1"/>
    <xf numFmtId="39" fontId="17" fillId="0" borderId="43" xfId="0" applyNumberFormat="1" applyFont="1" applyFill="1" applyBorder="1" applyAlignment="1">
      <alignment horizontal="center" vertical="center" wrapText="1"/>
    </xf>
    <xf numFmtId="0" fontId="73" fillId="0" borderId="146" xfId="0" applyFont="1" applyFill="1" applyBorder="1"/>
    <xf numFmtId="0" fontId="73" fillId="0" borderId="69" xfId="0" applyFont="1" applyFill="1" applyBorder="1"/>
    <xf numFmtId="4" fontId="17" fillId="0" borderId="43" xfId="0" applyNumberFormat="1" applyFont="1" applyFill="1" applyBorder="1" applyAlignment="1">
      <alignment horizontal="center" vertical="center"/>
    </xf>
    <xf numFmtId="0" fontId="2" fillId="0" borderId="42" xfId="0" applyFont="1" applyFill="1" applyBorder="1" applyAlignment="1">
      <alignment horizontal="left" vertical="top" wrapText="1"/>
    </xf>
    <xf numFmtId="0" fontId="2" fillId="0" borderId="28" xfId="0" applyFont="1" applyFill="1" applyBorder="1" applyAlignment="1">
      <alignment wrapText="1"/>
    </xf>
    <xf numFmtId="0" fontId="2" fillId="0" borderId="146" xfId="0" applyFont="1" applyFill="1" applyBorder="1" applyAlignment="1">
      <alignment wrapText="1"/>
    </xf>
    <xf numFmtId="0" fontId="2" fillId="0" borderId="43" xfId="0" applyFont="1" applyFill="1" applyBorder="1" applyAlignment="1">
      <alignment horizontal="left" vertical="top"/>
    </xf>
    <xf numFmtId="0" fontId="2" fillId="0" borderId="29" xfId="0" applyFont="1" applyFill="1" applyBorder="1"/>
    <xf numFmtId="0" fontId="2" fillId="0" borderId="41" xfId="0" applyFont="1" applyFill="1" applyBorder="1"/>
    <xf numFmtId="0" fontId="4" fillId="0" borderId="100" xfId="0" applyFont="1" applyFill="1" applyBorder="1" applyAlignment="1">
      <alignment horizontal="left" vertical="center" wrapText="1"/>
    </xf>
    <xf numFmtId="0" fontId="4" fillId="0" borderId="110" xfId="0" applyFont="1" applyFill="1" applyBorder="1"/>
    <xf numFmtId="0" fontId="4" fillId="0" borderId="141" xfId="0" applyFont="1" applyFill="1" applyBorder="1"/>
    <xf numFmtId="0" fontId="4" fillId="0" borderId="146" xfId="0" applyFont="1" applyFill="1" applyBorder="1" applyAlignment="1">
      <alignment vertical="center"/>
    </xf>
    <xf numFmtId="0" fontId="4" fillId="0" borderId="69" xfId="0" applyFont="1" applyFill="1" applyBorder="1" applyAlignment="1">
      <alignment vertical="center"/>
    </xf>
    <xf numFmtId="0" fontId="4" fillId="0" borderId="146" xfId="0" applyFont="1" applyFill="1" applyBorder="1" applyAlignment="1">
      <alignment horizontal="left" vertical="center"/>
    </xf>
    <xf numFmtId="0" fontId="4" fillId="0" borderId="69" xfId="0" applyFont="1" applyFill="1" applyBorder="1" applyAlignment="1">
      <alignment horizontal="left" vertical="center"/>
    </xf>
    <xf numFmtId="0" fontId="30" fillId="0" borderId="100" xfId="0" applyFont="1" applyFill="1" applyBorder="1" applyAlignment="1">
      <alignment vertical="center" wrapText="1"/>
    </xf>
    <xf numFmtId="0" fontId="2" fillId="0" borderId="146" xfId="0" applyFont="1" applyFill="1" applyBorder="1"/>
    <xf numFmtId="0" fontId="2" fillId="0" borderId="69" xfId="0" applyFont="1" applyFill="1" applyBorder="1"/>
    <xf numFmtId="0" fontId="17" fillId="0" borderId="148" xfId="0" applyFont="1" applyFill="1" applyBorder="1" applyAlignment="1">
      <alignment horizontal="center" vertical="center" wrapText="1"/>
    </xf>
    <xf numFmtId="0" fontId="17" fillId="0" borderId="100" xfId="0" applyFont="1" applyFill="1" applyBorder="1" applyAlignment="1">
      <alignment horizontal="center" vertical="center" wrapText="1"/>
    </xf>
    <xf numFmtId="0" fontId="17" fillId="0" borderId="100" xfId="0" applyFont="1" applyFill="1" applyBorder="1" applyAlignment="1">
      <alignment vertical="center" wrapText="1"/>
    </xf>
    <xf numFmtId="0" fontId="17" fillId="0" borderId="145" xfId="0" applyFont="1" applyFill="1" applyBorder="1" applyAlignment="1">
      <alignment horizontal="center" vertical="center" wrapText="1"/>
    </xf>
    <xf numFmtId="0" fontId="17" fillId="0" borderId="146" xfId="0" applyFont="1" applyFill="1" applyBorder="1" applyAlignment="1">
      <alignment horizontal="center" vertical="center" wrapText="1"/>
    </xf>
    <xf numFmtId="0" fontId="17" fillId="0" borderId="146" xfId="0" applyFont="1" applyFill="1" applyBorder="1" applyAlignment="1">
      <alignment vertical="center" wrapText="1"/>
    </xf>
    <xf numFmtId="0" fontId="17" fillId="0" borderId="124" xfId="0" applyFont="1" applyFill="1" applyBorder="1" applyAlignment="1">
      <alignment horizontal="center" vertical="center" wrapText="1"/>
    </xf>
    <xf numFmtId="0" fontId="17" fillId="0" borderId="69" xfId="0" applyFont="1" applyFill="1" applyBorder="1" applyAlignment="1">
      <alignment horizontal="center" vertical="center" wrapText="1"/>
    </xf>
    <xf numFmtId="0" fontId="17" fillId="0" borderId="69" xfId="0" applyFont="1" applyFill="1" applyBorder="1" applyAlignment="1">
      <alignment vertical="center" wrapText="1"/>
    </xf>
    <xf numFmtId="0" fontId="2" fillId="0" borderId="101" xfId="0" applyFont="1" applyFill="1" applyBorder="1"/>
    <xf numFmtId="3" fontId="17" fillId="0" borderId="100" xfId="0" applyNumberFormat="1" applyFont="1" applyFill="1" applyBorder="1" applyAlignment="1">
      <alignment horizontal="center" vertical="center" wrapText="1"/>
    </xf>
    <xf numFmtId="0" fontId="2" fillId="0" borderId="1" xfId="0" applyFont="1" applyFill="1" applyBorder="1"/>
    <xf numFmtId="0" fontId="17" fillId="0" borderId="163" xfId="0" applyFont="1" applyFill="1" applyBorder="1" applyAlignment="1">
      <alignment horizontal="center" vertical="center" wrapText="1"/>
    </xf>
    <xf numFmtId="0" fontId="17" fillId="0" borderId="164" xfId="0" applyFont="1" applyFill="1" applyBorder="1" applyAlignment="1">
      <alignment horizontal="center" vertical="center" wrapText="1"/>
    </xf>
    <xf numFmtId="0" fontId="17" fillId="0" borderId="165" xfId="0" applyFont="1" applyFill="1" applyBorder="1" applyAlignment="1">
      <alignment horizontal="center" vertical="center" wrapText="1"/>
    </xf>
    <xf numFmtId="1" fontId="17" fillId="0" borderId="100" xfId="0" applyNumberFormat="1" applyFont="1" applyFill="1" applyBorder="1" applyAlignment="1">
      <alignment horizontal="center" vertical="center" wrapText="1"/>
    </xf>
    <xf numFmtId="0" fontId="17" fillId="0" borderId="133" xfId="0" applyFont="1" applyFill="1" applyBorder="1" applyAlignment="1">
      <alignment horizontal="center" vertical="center" wrapText="1"/>
    </xf>
    <xf numFmtId="0" fontId="2" fillId="0" borderId="159" xfId="0" applyFont="1" applyFill="1" applyBorder="1"/>
    <xf numFmtId="0" fontId="2" fillId="0" borderId="86" xfId="0" applyFont="1" applyFill="1" applyBorder="1"/>
    <xf numFmtId="0" fontId="2" fillId="0" borderId="160" xfId="0" applyFont="1" applyFill="1" applyBorder="1"/>
    <xf numFmtId="0" fontId="2" fillId="0" borderId="150" xfId="0" applyFont="1" applyFill="1" applyBorder="1"/>
    <xf numFmtId="0" fontId="2" fillId="0" borderId="42" xfId="0" applyFont="1" applyFill="1" applyBorder="1" applyAlignment="1">
      <alignment horizontal="center"/>
    </xf>
    <xf numFmtId="184" fontId="2" fillId="0" borderId="1" xfId="0" applyNumberFormat="1" applyFont="1" applyFill="1" applyBorder="1" applyAlignment="1">
      <alignment horizontal="center" vertical="center"/>
    </xf>
    <xf numFmtId="0" fontId="2" fillId="0" borderId="145" xfId="0" applyFont="1" applyFill="1" applyBorder="1"/>
    <xf numFmtId="185" fontId="2" fillId="0" borderId="1" xfId="0" applyNumberFormat="1" applyFont="1" applyFill="1" applyBorder="1"/>
    <xf numFmtId="0" fontId="2" fillId="0" borderId="42" xfId="0" applyFont="1" applyFill="1" applyBorder="1" applyAlignment="1">
      <alignment horizontal="center" vertical="top" wrapText="1"/>
    </xf>
    <xf numFmtId="173" fontId="17" fillId="24" borderId="170" xfId="0" applyNumberFormat="1" applyFont="1" applyFill="1" applyBorder="1" applyAlignment="1">
      <alignment horizontal="center" vertical="center" wrapText="1"/>
    </xf>
    <xf numFmtId="173" fontId="17" fillId="24" borderId="171" xfId="0" applyNumberFormat="1" applyFont="1" applyFill="1" applyBorder="1" applyAlignment="1">
      <alignment horizontal="center" vertical="center" wrapText="1"/>
    </xf>
    <xf numFmtId="173" fontId="17" fillId="24" borderId="43" xfId="0" applyNumberFormat="1" applyFont="1" applyFill="1" applyBorder="1" applyAlignment="1">
      <alignment horizontal="center" vertical="center"/>
    </xf>
    <xf numFmtId="173" fontId="17" fillId="24" borderId="173" xfId="0" applyNumberFormat="1" applyFont="1" applyFill="1" applyBorder="1" applyAlignment="1">
      <alignment horizontal="center" vertical="center"/>
    </xf>
    <xf numFmtId="182" fontId="17" fillId="0" borderId="100" xfId="0" applyNumberFormat="1" applyFont="1" applyFill="1" applyBorder="1" applyAlignment="1">
      <alignment horizontal="center" vertical="center" wrapText="1"/>
    </xf>
    <xf numFmtId="3" fontId="17" fillId="0" borderId="157" xfId="0" applyNumberFormat="1" applyFont="1" applyFill="1" applyBorder="1" applyAlignment="1">
      <alignment horizontal="center" vertical="center" wrapText="1"/>
    </xf>
    <xf numFmtId="0" fontId="64" fillId="0" borderId="148" xfId="0" applyFont="1" applyFill="1" applyBorder="1" applyAlignment="1">
      <alignment vertical="center" wrapText="1"/>
    </xf>
    <xf numFmtId="0" fontId="64" fillId="0" borderId="100" xfId="0" applyFont="1" applyFill="1" applyBorder="1" applyAlignment="1">
      <alignment horizontal="center" vertical="center" wrapText="1"/>
    </xf>
    <xf numFmtId="0" fontId="64" fillId="0" borderId="31" xfId="0" applyFont="1" applyFill="1" applyBorder="1" applyAlignment="1">
      <alignment horizontal="center" vertical="center" wrapText="1"/>
    </xf>
    <xf numFmtId="3" fontId="64" fillId="0" borderId="100" xfId="0" applyNumberFormat="1" applyFont="1" applyFill="1" applyBorder="1" applyAlignment="1">
      <alignment horizontal="center" vertical="center" wrapText="1"/>
    </xf>
    <xf numFmtId="0" fontId="4" fillId="0" borderId="100" xfId="0" applyFont="1" applyFill="1" applyBorder="1" applyAlignment="1">
      <alignment vertical="center" wrapText="1"/>
    </xf>
    <xf numFmtId="3" fontId="17" fillId="0" borderId="131" xfId="0" applyNumberFormat="1" applyFont="1" applyFill="1" applyBorder="1" applyAlignment="1">
      <alignment horizontal="center" vertical="center" wrapText="1"/>
    </xf>
    <xf numFmtId="0" fontId="64" fillId="0" borderId="148" xfId="0" applyFont="1" applyFill="1" applyBorder="1" applyAlignment="1">
      <alignment horizontal="center" vertical="center" wrapText="1"/>
    </xf>
    <xf numFmtId="0" fontId="64" fillId="0" borderId="100" xfId="0" applyFont="1" applyFill="1" applyBorder="1" applyAlignment="1">
      <alignment vertical="center" wrapText="1"/>
    </xf>
    <xf numFmtId="3" fontId="75" fillId="0" borderId="100" xfId="0" applyNumberFormat="1" applyFont="1" applyFill="1" applyBorder="1" applyAlignment="1">
      <alignment horizontal="center" vertical="center" wrapText="1"/>
    </xf>
    <xf numFmtId="0" fontId="74" fillId="0" borderId="100" xfId="0" applyFont="1" applyFill="1" applyBorder="1" applyAlignment="1">
      <alignment horizontal="center" vertical="center" wrapText="1"/>
    </xf>
    <xf numFmtId="0" fontId="74" fillId="0" borderId="100" xfId="0" applyFont="1" applyFill="1" applyBorder="1" applyAlignment="1">
      <alignment vertical="center" wrapText="1"/>
    </xf>
    <xf numFmtId="0" fontId="64" fillId="0" borderId="146" xfId="0" applyFont="1" applyFill="1" applyBorder="1" applyAlignment="1">
      <alignment vertical="center" wrapText="1"/>
    </xf>
    <xf numFmtId="0" fontId="64" fillId="0" borderId="69" xfId="0" applyFont="1" applyFill="1" applyBorder="1" applyAlignment="1">
      <alignment vertical="center" wrapText="1"/>
    </xf>
    <xf numFmtId="3" fontId="17" fillId="0" borderId="35" xfId="0" applyNumberFormat="1" applyFont="1" applyFill="1" applyBorder="1" applyAlignment="1">
      <alignment horizontal="center" vertical="center" wrapText="1"/>
    </xf>
    <xf numFmtId="0" fontId="76" fillId="0" borderId="148" xfId="0" applyFont="1" applyFill="1" applyBorder="1" applyAlignment="1">
      <alignment horizontal="center" vertical="center" wrapText="1"/>
    </xf>
    <xf numFmtId="3" fontId="64" fillId="0" borderId="146" xfId="0" applyNumberFormat="1" applyFont="1" applyFill="1" applyBorder="1" applyAlignment="1">
      <alignment horizontal="center" vertical="center" wrapText="1"/>
    </xf>
    <xf numFmtId="3" fontId="64" fillId="0" borderId="69" xfId="0" applyNumberFormat="1" applyFont="1" applyFill="1" applyBorder="1" applyAlignment="1">
      <alignment horizontal="center" vertical="center" wrapText="1"/>
    </xf>
    <xf numFmtId="3" fontId="29" fillId="0" borderId="100" xfId="0" applyNumberFormat="1" applyFont="1" applyFill="1" applyBorder="1" applyAlignment="1">
      <alignment horizontal="center" vertical="center" wrapText="1"/>
    </xf>
    <xf numFmtId="3" fontId="64" fillId="0" borderId="131" xfId="0" applyNumberFormat="1" applyFont="1" applyFill="1" applyBorder="1" applyAlignment="1">
      <alignment horizontal="center" vertical="center" wrapText="1"/>
    </xf>
    <xf numFmtId="3" fontId="75" fillId="0" borderId="146" xfId="0" applyNumberFormat="1" applyFont="1" applyFill="1" applyBorder="1" applyAlignment="1">
      <alignment horizontal="center" vertical="center" wrapText="1"/>
    </xf>
    <xf numFmtId="3" fontId="75" fillId="0" borderId="69" xfId="0" applyNumberFormat="1" applyFont="1" applyFill="1" applyBorder="1" applyAlignment="1">
      <alignment horizontal="center" vertical="center" wrapText="1"/>
    </xf>
    <xf numFmtId="3" fontId="17" fillId="0" borderId="85" xfId="0" applyNumberFormat="1" applyFont="1" applyFill="1" applyBorder="1" applyAlignment="1">
      <alignment horizontal="center" vertical="center" wrapText="1"/>
    </xf>
    <xf numFmtId="0" fontId="64" fillId="0" borderId="133" xfId="0" applyFont="1" applyFill="1" applyBorder="1" applyAlignment="1">
      <alignment horizontal="center" vertical="center" wrapText="1"/>
    </xf>
    <xf numFmtId="3" fontId="17" fillId="0" borderId="43" xfId="0" applyNumberFormat="1" applyFont="1" applyFill="1" applyBorder="1" applyAlignment="1">
      <alignment vertical="center" wrapText="1"/>
    </xf>
    <xf numFmtId="0" fontId="17" fillId="0" borderId="122"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42" xfId="0" applyFont="1" applyFill="1" applyBorder="1" applyAlignment="1">
      <alignment vertical="center" wrapText="1"/>
    </xf>
    <xf numFmtId="3" fontId="17" fillId="0" borderId="42" xfId="0" applyNumberFormat="1" applyFont="1" applyFill="1" applyBorder="1" applyAlignment="1">
      <alignment horizontal="center" vertical="center" wrapText="1"/>
    </xf>
    <xf numFmtId="0" fontId="2" fillId="0" borderId="42" xfId="0" applyFont="1" applyFill="1" applyBorder="1" applyAlignment="1">
      <alignment vertical="center" wrapText="1"/>
    </xf>
    <xf numFmtId="183" fontId="17" fillId="0" borderId="43" xfId="0" applyNumberFormat="1" applyFont="1" applyFill="1" applyBorder="1" applyAlignment="1">
      <alignment horizontal="center" vertical="center"/>
    </xf>
    <xf numFmtId="4" fontId="17" fillId="0" borderId="100" xfId="0" applyNumberFormat="1" applyFont="1" applyFill="1" applyBorder="1" applyAlignment="1">
      <alignment horizontal="center" vertical="top" wrapText="1"/>
    </xf>
    <xf numFmtId="4" fontId="17" fillId="0" borderId="157" xfId="0" applyNumberFormat="1" applyFont="1" applyFill="1" applyBorder="1" applyAlignment="1">
      <alignment horizontal="center" vertical="top" wrapText="1"/>
    </xf>
    <xf numFmtId="4" fontId="29" fillId="0" borderId="130" xfId="0" applyNumberFormat="1" applyFont="1" applyFill="1" applyBorder="1" applyAlignment="1">
      <alignment horizontal="center" vertical="center"/>
    </xf>
    <xf numFmtId="4" fontId="17" fillId="0" borderId="131" xfId="0" applyNumberFormat="1" applyFont="1" applyFill="1" applyBorder="1" applyAlignment="1">
      <alignment horizontal="center" vertical="top" wrapText="1"/>
    </xf>
    <xf numFmtId="0" fontId="64" fillId="0" borderId="100" xfId="0" applyFont="1" applyFill="1" applyBorder="1" applyAlignment="1">
      <alignment vertical="center" wrapText="1"/>
    </xf>
    <xf numFmtId="0" fontId="76" fillId="0" borderId="100" xfId="0" applyFont="1" applyFill="1" applyBorder="1" applyAlignment="1">
      <alignment horizontal="center" vertical="center" wrapText="1"/>
    </xf>
    <xf numFmtId="4" fontId="17" fillId="0" borderId="131" xfId="0" applyNumberFormat="1" applyFont="1" applyFill="1" applyBorder="1" applyAlignment="1">
      <alignment vertical="top" wrapText="1"/>
    </xf>
    <xf numFmtId="0" fontId="17" fillId="0" borderId="122" xfId="0" applyFont="1" applyFill="1" applyBorder="1" applyAlignment="1">
      <alignment vertical="center" wrapText="1"/>
    </xf>
    <xf numFmtId="4" fontId="17" fillId="0" borderId="43" xfId="0" applyNumberFormat="1" applyFont="1" applyFill="1" applyBorder="1" applyAlignment="1">
      <alignment vertical="top" wrapText="1"/>
    </xf>
    <xf numFmtId="4" fontId="17" fillId="0" borderId="42" xfId="0" applyNumberFormat="1" applyFont="1" applyFill="1" applyBorder="1" applyAlignment="1">
      <alignment horizontal="center" vertical="top" wrapText="1"/>
    </xf>
    <xf numFmtId="3" fontId="17" fillId="0" borderId="100" xfId="0" applyNumberFormat="1" applyFont="1" applyFill="1" applyBorder="1" applyAlignment="1">
      <alignment horizontal="center" vertical="top" wrapText="1"/>
    </xf>
    <xf numFmtId="3" fontId="17" fillId="0" borderId="42" xfId="0" applyNumberFormat="1" applyFont="1" applyFill="1" applyBorder="1" applyAlignment="1">
      <alignment horizontal="center" vertical="top" wrapText="1"/>
    </xf>
    <xf numFmtId="4" fontId="17" fillId="0" borderId="130" xfId="0" applyNumberFormat="1" applyFont="1" applyFill="1" applyBorder="1" applyAlignment="1">
      <alignment horizontal="center" vertical="center"/>
    </xf>
    <xf numFmtId="0" fontId="29" fillId="0" borderId="122" xfId="0" applyFont="1" applyFill="1" applyBorder="1" applyAlignment="1">
      <alignment horizontal="center" vertical="center" wrapText="1"/>
    </xf>
    <xf numFmtId="4" fontId="29" fillId="0" borderId="78" xfId="0" applyNumberFormat="1" applyFont="1" applyFill="1" applyBorder="1" applyAlignment="1">
      <alignment horizontal="center" vertical="center"/>
    </xf>
    <xf numFmtId="4" fontId="29" fillId="0" borderId="49" xfId="0" applyNumberFormat="1" applyFont="1" applyFill="1" applyBorder="1" applyAlignment="1">
      <alignment horizontal="center" vertical="center"/>
    </xf>
    <xf numFmtId="3" fontId="17" fillId="0" borderId="49" xfId="0" applyNumberFormat="1" applyFont="1" applyFill="1" applyBorder="1" applyAlignment="1">
      <alignment horizontal="center" vertical="center"/>
    </xf>
    <xf numFmtId="3" fontId="17" fillId="0" borderId="125" xfId="0" applyNumberFormat="1" applyFont="1" applyFill="1" applyBorder="1" applyAlignment="1">
      <alignment horizontal="center" vertical="top" wrapText="1"/>
    </xf>
    <xf numFmtId="3" fontId="29" fillId="0" borderId="42" xfId="0" applyNumberFormat="1" applyFont="1" applyFill="1" applyBorder="1" applyAlignment="1">
      <alignment horizontal="center" vertical="center" wrapText="1"/>
    </xf>
    <xf numFmtId="3" fontId="17" fillId="0" borderId="130" xfId="0" applyNumberFormat="1" applyFont="1" applyFill="1" applyBorder="1" applyAlignment="1">
      <alignment horizontal="center" vertical="center"/>
    </xf>
    <xf numFmtId="4" fontId="17" fillId="0" borderId="49" xfId="0" applyNumberFormat="1" applyFont="1" applyFill="1" applyBorder="1" applyAlignment="1">
      <alignment horizontal="center" vertical="center"/>
    </xf>
    <xf numFmtId="4" fontId="17" fillId="0" borderId="42" xfId="0" applyNumberFormat="1" applyFont="1" applyFill="1" applyBorder="1" applyAlignment="1">
      <alignment horizontal="center" vertical="center" wrapText="1"/>
    </xf>
    <xf numFmtId="168" fontId="17" fillId="0" borderId="43" xfId="0" applyNumberFormat="1" applyFont="1" applyFill="1" applyBorder="1" applyAlignment="1">
      <alignment horizontal="center" vertical="center"/>
    </xf>
    <xf numFmtId="37" fontId="17" fillId="0" borderId="43" xfId="0" applyNumberFormat="1" applyFont="1" applyFill="1" applyBorder="1" applyAlignment="1">
      <alignment horizontal="center" vertical="center" wrapText="1"/>
    </xf>
    <xf numFmtId="4" fontId="17" fillId="0" borderId="100" xfId="0" applyNumberFormat="1" applyFont="1" applyFill="1" applyBorder="1" applyAlignment="1">
      <alignment horizontal="center" vertical="center" wrapText="1"/>
    </xf>
    <xf numFmtId="4" fontId="17" fillId="0" borderId="157" xfId="0" applyNumberFormat="1" applyFont="1" applyFill="1" applyBorder="1" applyAlignment="1">
      <alignment horizontal="center" vertical="center" wrapText="1"/>
    </xf>
    <xf numFmtId="0" fontId="17" fillId="0" borderId="43" xfId="0" applyFont="1" applyFill="1" applyBorder="1"/>
    <xf numFmtId="4" fontId="29" fillId="0" borderId="43" xfId="0" applyNumberFormat="1" applyFont="1" applyFill="1" applyBorder="1" applyAlignment="1">
      <alignment horizontal="center" vertical="center"/>
    </xf>
    <xf numFmtId="4" fontId="17" fillId="0" borderId="157" xfId="0" applyNumberFormat="1" applyFont="1" applyFill="1" applyBorder="1" applyAlignment="1">
      <alignment horizontal="left" vertical="center" wrapText="1"/>
    </xf>
    <xf numFmtId="0" fontId="64" fillId="0" borderId="148" xfId="0" applyFont="1" applyFill="1" applyBorder="1" applyAlignment="1">
      <alignment horizontal="left" vertical="center" wrapText="1"/>
    </xf>
    <xf numFmtId="0" fontId="64" fillId="0" borderId="100" xfId="0" applyFont="1" applyFill="1" applyBorder="1" applyAlignment="1">
      <alignment horizontal="left" vertical="center" wrapText="1"/>
    </xf>
    <xf numFmtId="3" fontId="17" fillId="0" borderId="130" xfId="0" applyNumberFormat="1" applyFont="1" applyFill="1" applyBorder="1" applyAlignment="1">
      <alignment horizontal="center" vertical="center" wrapText="1"/>
    </xf>
    <xf numFmtId="0" fontId="64" fillId="0" borderId="136" xfId="0" applyFont="1" applyFill="1" applyBorder="1" applyAlignment="1">
      <alignment horizontal="center" vertical="center" wrapText="1"/>
    </xf>
    <xf numFmtId="0" fontId="64" fillId="0" borderId="133" xfId="0" applyFont="1" applyFill="1" applyBorder="1" applyAlignment="1">
      <alignment horizontal="left" vertical="center" wrapText="1"/>
    </xf>
    <xf numFmtId="4" fontId="64" fillId="0" borderId="157" xfId="0" applyNumberFormat="1" applyFont="1" applyFill="1" applyBorder="1" applyAlignment="1">
      <alignment horizontal="center" vertical="center" wrapText="1"/>
    </xf>
    <xf numFmtId="0" fontId="64" fillId="0" borderId="100" xfId="0" applyFont="1" applyFill="1" applyBorder="1" applyAlignment="1">
      <alignment horizontal="left" vertical="top" wrapText="1"/>
    </xf>
    <xf numFmtId="39" fontId="17" fillId="0" borderId="130" xfId="0" applyNumberFormat="1" applyFont="1" applyFill="1" applyBorder="1" applyAlignment="1">
      <alignment horizontal="center" vertical="center"/>
    </xf>
    <xf numFmtId="0" fontId="2" fillId="0" borderId="100" xfId="0" applyFont="1" applyFill="1" applyBorder="1" applyAlignment="1">
      <alignment vertical="center" wrapText="1"/>
    </xf>
    <xf numFmtId="167" fontId="17" fillId="0" borderId="43" xfId="0" applyNumberFormat="1" applyFont="1" applyFill="1" applyBorder="1" applyAlignment="1">
      <alignment horizontal="center" vertical="center"/>
    </xf>
    <xf numFmtId="170" fontId="17" fillId="0" borderId="43" xfId="0" applyNumberFormat="1" applyFont="1" applyFill="1" applyBorder="1" applyAlignment="1">
      <alignment horizontal="center" vertical="center"/>
    </xf>
    <xf numFmtId="4" fontId="17" fillId="0" borderId="43" xfId="0" applyNumberFormat="1" applyFont="1" applyFill="1" applyBorder="1" applyAlignment="1">
      <alignment vertical="center" wrapText="1"/>
    </xf>
    <xf numFmtId="3" fontId="17" fillId="0" borderId="146" xfId="0" applyNumberFormat="1" applyFont="1" applyFill="1" applyBorder="1" applyAlignment="1">
      <alignment horizontal="center" vertical="center" wrapText="1"/>
    </xf>
    <xf numFmtId="3" fontId="17" fillId="0" borderId="69" xfId="0" applyNumberFormat="1" applyFont="1" applyFill="1" applyBorder="1" applyAlignment="1">
      <alignment horizontal="center" vertical="center" wrapText="1"/>
    </xf>
    <xf numFmtId="4" fontId="17" fillId="0" borderId="102" xfId="0" applyNumberFormat="1" applyFont="1" applyFill="1" applyBorder="1" applyAlignment="1">
      <alignment horizontal="center" vertical="center" wrapText="1"/>
    </xf>
    <xf numFmtId="39" fontId="17" fillId="0" borderId="49" xfId="0" applyNumberFormat="1" applyFont="1" applyFill="1" applyBorder="1" applyAlignment="1">
      <alignment horizontal="center" vertical="center"/>
    </xf>
    <xf numFmtId="3" fontId="17" fillId="0" borderId="49" xfId="0" applyNumberFormat="1" applyFont="1" applyFill="1" applyBorder="1" applyAlignment="1">
      <alignment horizontal="center" vertical="center" wrapText="1"/>
    </xf>
    <xf numFmtId="4" fontId="17" fillId="0" borderId="130" xfId="0" applyNumberFormat="1" applyFont="1" applyFill="1" applyBorder="1" applyAlignment="1">
      <alignment horizontal="center" vertical="center" wrapText="1"/>
    </xf>
    <xf numFmtId="4" fontId="17" fillId="0" borderId="78" xfId="0" applyNumberFormat="1" applyFont="1" applyFill="1" applyBorder="1" applyAlignment="1">
      <alignment horizontal="center" vertical="center"/>
    </xf>
    <xf numFmtId="4" fontId="17" fillId="0" borderId="187" xfId="0" applyNumberFormat="1" applyFont="1" applyFill="1" applyBorder="1" applyAlignment="1">
      <alignment horizontal="center" vertical="center" wrapText="1"/>
    </xf>
    <xf numFmtId="39" fontId="17" fillId="0" borderId="134" xfId="0" applyNumberFormat="1" applyFont="1" applyFill="1" applyBorder="1" applyAlignment="1">
      <alignment horizontal="center" vertical="center"/>
    </xf>
    <xf numFmtId="4" fontId="17" fillId="0" borderId="188" xfId="0" applyNumberFormat="1" applyFont="1" applyFill="1" applyBorder="1" applyAlignment="1">
      <alignment horizontal="center" vertical="center" wrapText="1"/>
    </xf>
    <xf numFmtId="4" fontId="17" fillId="0" borderId="189" xfId="0" applyNumberFormat="1" applyFont="1" applyFill="1" applyBorder="1" applyAlignment="1">
      <alignment horizontal="center" vertical="center" wrapText="1"/>
    </xf>
    <xf numFmtId="4" fontId="17" fillId="0" borderId="131" xfId="0" applyNumberFormat="1" applyFont="1" applyFill="1" applyBorder="1" applyAlignment="1">
      <alignment horizontal="center" vertical="center" wrapText="1"/>
    </xf>
    <xf numFmtId="4" fontId="17" fillId="0" borderId="142" xfId="0" applyNumberFormat="1" applyFont="1" applyFill="1" applyBorder="1" applyAlignment="1">
      <alignment horizontal="center" vertical="center" wrapText="1"/>
    </xf>
    <xf numFmtId="4" fontId="17" fillId="0" borderId="161" xfId="0" applyNumberFormat="1" applyFont="1" applyFill="1" applyBorder="1" applyAlignment="1">
      <alignment horizontal="center" vertical="center" wrapText="1"/>
    </xf>
    <xf numFmtId="4" fontId="17" fillId="0" borderId="158" xfId="0" applyNumberFormat="1" applyFont="1" applyFill="1" applyBorder="1" applyAlignment="1">
      <alignment horizontal="center" vertical="center" wrapText="1"/>
    </xf>
    <xf numFmtId="178" fontId="17" fillId="0" borderId="43" xfId="0" applyNumberFormat="1" applyFont="1" applyFill="1" applyBorder="1" applyAlignment="1">
      <alignment horizontal="center" vertical="center" wrapText="1"/>
    </xf>
    <xf numFmtId="4" fontId="64" fillId="0" borderId="157" xfId="0" applyNumberFormat="1" applyFont="1" applyFill="1" applyBorder="1" applyAlignment="1">
      <alignment horizontal="center" vertical="top" wrapText="1"/>
    </xf>
    <xf numFmtId="0" fontId="17" fillId="0" borderId="148" xfId="0" applyFont="1" applyFill="1" applyBorder="1" applyAlignment="1">
      <alignment vertical="center" wrapText="1"/>
    </xf>
    <xf numFmtId="4" fontId="64" fillId="0" borderId="131" xfId="0" applyNumberFormat="1" applyFont="1" applyFill="1" applyBorder="1" applyAlignment="1">
      <alignment horizontal="center" vertical="top" wrapText="1"/>
    </xf>
    <xf numFmtId="178" fontId="17" fillId="0" borderId="43" xfId="0" applyNumberFormat="1" applyFont="1" applyFill="1" applyBorder="1" applyAlignment="1">
      <alignment horizontal="center" vertical="center"/>
    </xf>
    <xf numFmtId="3" fontId="29" fillId="0" borderId="42" xfId="0" applyNumberFormat="1" applyFont="1" applyFill="1" applyBorder="1" applyAlignment="1">
      <alignment vertical="center" wrapText="1"/>
    </xf>
    <xf numFmtId="4" fontId="64" fillId="0" borderId="100" xfId="0" applyNumberFormat="1" applyFont="1" applyFill="1" applyBorder="1" applyAlignment="1">
      <alignment horizontal="center" vertical="center" wrapText="1"/>
    </xf>
    <xf numFmtId="180" fontId="17" fillId="0" borderId="43" xfId="0" applyNumberFormat="1" applyFont="1" applyFill="1" applyBorder="1" applyAlignment="1">
      <alignment horizontal="center" vertical="center"/>
    </xf>
    <xf numFmtId="175" fontId="17" fillId="4" borderId="43" xfId="0" applyNumberFormat="1" applyFont="1" applyFill="1" applyBorder="1" applyAlignment="1">
      <alignment horizontal="center" vertical="center" wrapText="1"/>
    </xf>
    <xf numFmtId="0" fontId="1" fillId="24" borderId="0" xfId="0" applyFont="1" applyFill="1"/>
    <xf numFmtId="0" fontId="17" fillId="4" borderId="43" xfId="0" applyFont="1" applyFill="1" applyBorder="1" applyAlignment="1">
      <alignment vertical="center" wrapText="1"/>
    </xf>
    <xf numFmtId="0" fontId="17" fillId="4" borderId="43" xfId="0" applyFont="1" applyFill="1" applyBorder="1" applyAlignment="1">
      <alignment horizontal="center" vertical="center" wrapText="1"/>
    </xf>
    <xf numFmtId="0" fontId="1" fillId="0" borderId="0" xfId="0" applyFont="1"/>
    <xf numFmtId="3" fontId="30" fillId="0" borderId="121" xfId="0" applyNumberFormat="1" applyFont="1" applyFill="1" applyBorder="1" applyAlignment="1">
      <alignment horizontal="center" vertical="center"/>
    </xf>
    <xf numFmtId="0" fontId="27" fillId="0" borderId="24" xfId="0" applyFont="1" applyFill="1" applyBorder="1" applyAlignment="1">
      <alignment horizontal="center" vertical="center" wrapText="1"/>
    </xf>
    <xf numFmtId="0" fontId="30" fillId="0" borderId="42" xfId="0" applyFont="1" applyFill="1" applyBorder="1" applyAlignment="1">
      <alignment vertical="top" wrapText="1"/>
    </xf>
    <xf numFmtId="0" fontId="4" fillId="0" borderId="129" xfId="0" applyFont="1" applyFill="1" applyBorder="1"/>
    <xf numFmtId="0" fontId="27" fillId="0" borderId="42" xfId="0" applyFont="1" applyFill="1" applyBorder="1" applyAlignment="1">
      <alignment vertical="center" wrapText="1"/>
    </xf>
    <xf numFmtId="0" fontId="30" fillId="0" borderId="102" xfId="0" applyFont="1" applyFill="1" applyBorder="1" applyAlignment="1">
      <alignment horizontal="center" vertical="center" wrapText="1"/>
    </xf>
    <xf numFmtId="0" fontId="4" fillId="0" borderId="29" xfId="0" applyFont="1" applyFill="1" applyBorder="1"/>
    <xf numFmtId="0" fontId="30" fillId="0" borderId="102" xfId="0" applyFont="1" applyFill="1" applyBorder="1" applyAlignment="1">
      <alignment vertical="center" wrapText="1"/>
    </xf>
    <xf numFmtId="0" fontId="30" fillId="0" borderId="161" xfId="0" applyFont="1" applyFill="1" applyBorder="1" applyAlignment="1">
      <alignment horizontal="center" vertical="center" wrapText="1"/>
    </xf>
    <xf numFmtId="0" fontId="4" fillId="0" borderId="159" xfId="0" applyFont="1" applyFill="1" applyBorder="1"/>
    <xf numFmtId="0" fontId="4" fillId="0" borderId="160" xfId="0" applyFont="1" applyFill="1" applyBorder="1"/>
    <xf numFmtId="0" fontId="4" fillId="0" borderId="162" xfId="0" applyFont="1" applyFill="1" applyBorder="1"/>
    <xf numFmtId="0" fontId="12" fillId="0" borderId="42" xfId="0" applyFont="1" applyFill="1" applyBorder="1" applyAlignment="1">
      <alignment horizontal="center" vertical="center" wrapText="1"/>
    </xf>
    <xf numFmtId="0" fontId="12" fillId="0" borderId="43" xfId="0" applyFont="1" applyFill="1" applyBorder="1" applyAlignment="1">
      <alignment horizontal="center" vertical="center"/>
    </xf>
    <xf numFmtId="0" fontId="12" fillId="0" borderId="43" xfId="0" applyFont="1" applyFill="1" applyBorder="1" applyAlignment="1">
      <alignment horizontal="center" vertical="top" wrapText="1"/>
    </xf>
    <xf numFmtId="165" fontId="12" fillId="0" borderId="43" xfId="0" applyNumberFormat="1" applyFont="1" applyFill="1" applyBorder="1" applyAlignment="1">
      <alignment horizontal="center" vertical="center"/>
    </xf>
    <xf numFmtId="166" fontId="12" fillId="0" borderId="43" xfId="0" applyNumberFormat="1" applyFont="1" applyFill="1" applyBorder="1" applyAlignment="1">
      <alignment horizontal="center" vertical="center"/>
    </xf>
    <xf numFmtId="166" fontId="12" fillId="0" borderId="43" xfId="0" applyNumberFormat="1" applyFont="1" applyFill="1" applyBorder="1" applyAlignment="1">
      <alignment horizontal="left" vertical="center"/>
    </xf>
    <xf numFmtId="2" fontId="12" fillId="0" borderId="43" xfId="0" applyNumberFormat="1" applyFont="1" applyFill="1" applyBorder="1" applyAlignment="1">
      <alignment horizontal="center" vertical="center"/>
    </xf>
    <xf numFmtId="9" fontId="12" fillId="0" borderId="43" xfId="0" applyNumberFormat="1" applyFont="1" applyFill="1" applyBorder="1" applyAlignment="1">
      <alignment horizontal="center" vertical="center"/>
    </xf>
    <xf numFmtId="4" fontId="14" fillId="0" borderId="43" xfId="0" applyNumberFormat="1" applyFont="1" applyFill="1" applyBorder="1" applyAlignment="1">
      <alignment horizontal="center" vertical="center" wrapText="1"/>
    </xf>
    <xf numFmtId="166" fontId="12" fillId="0" borderId="43" xfId="0" applyNumberFormat="1" applyFont="1" applyFill="1" applyBorder="1" applyAlignment="1">
      <alignment vertical="center"/>
    </xf>
    <xf numFmtId="167" fontId="14" fillId="0" borderId="43" xfId="0" applyNumberFormat="1" applyFont="1" applyFill="1" applyBorder="1" applyAlignment="1">
      <alignment horizontal="center" vertical="center"/>
    </xf>
    <xf numFmtId="167" fontId="15" fillId="0" borderId="43" xfId="0" applyNumberFormat="1" applyFont="1" applyFill="1" applyBorder="1" applyAlignment="1">
      <alignment horizontal="center" vertical="center"/>
    </xf>
    <xf numFmtId="166" fontId="15" fillId="0" borderId="43" xfId="0" applyNumberFormat="1" applyFont="1" applyFill="1" applyBorder="1" applyAlignment="1">
      <alignment horizontal="center" vertical="center"/>
    </xf>
    <xf numFmtId="4" fontId="70" fillId="0" borderId="43" xfId="0" applyNumberFormat="1" applyFont="1" applyFill="1" applyBorder="1" applyAlignment="1">
      <alignment horizontal="center" vertical="center" wrapText="1"/>
    </xf>
    <xf numFmtId="3" fontId="14" fillId="0" borderId="43" xfId="0" applyNumberFormat="1" applyFont="1" applyFill="1" applyBorder="1" applyAlignment="1">
      <alignment horizontal="center" vertical="center" wrapText="1"/>
    </xf>
    <xf numFmtId="9" fontId="16" fillId="0" borderId="43" xfId="0" applyNumberFormat="1" applyFont="1" applyFill="1" applyBorder="1" applyAlignment="1">
      <alignment horizontal="center" vertical="center"/>
    </xf>
    <xf numFmtId="10" fontId="16" fillId="0" borderId="43" xfId="0" applyNumberFormat="1" applyFont="1" applyFill="1" applyBorder="1" applyAlignment="1">
      <alignment horizontal="center" vertical="center" wrapText="1"/>
    </xf>
    <xf numFmtId="0" fontId="4" fillId="0" borderId="44" xfId="0" applyFont="1" applyFill="1" applyBorder="1" applyAlignment="1">
      <alignment horizontal="left" vertical="top" wrapText="1"/>
    </xf>
    <xf numFmtId="0" fontId="4" fillId="0" borderId="43" xfId="0" applyFont="1" applyFill="1" applyBorder="1" applyAlignment="1">
      <alignment horizontal="center" vertical="center" wrapText="1"/>
    </xf>
    <xf numFmtId="0" fontId="64" fillId="0" borderId="43" xfId="0" applyFont="1" applyFill="1" applyBorder="1" applyAlignment="1">
      <alignment horizontal="left" vertical="center" wrapText="1"/>
    </xf>
    <xf numFmtId="167" fontId="12" fillId="0" borderId="43" xfId="0" applyNumberFormat="1" applyFont="1" applyFill="1" applyBorder="1" applyAlignment="1">
      <alignment horizontal="center" vertical="center"/>
    </xf>
    <xf numFmtId="167" fontId="12" fillId="0" borderId="43" xfId="0" applyNumberFormat="1" applyFont="1" applyFill="1" applyBorder="1" applyAlignment="1">
      <alignment vertical="center"/>
    </xf>
    <xf numFmtId="168" fontId="14" fillId="0" borderId="43" xfId="0" applyNumberFormat="1" applyFont="1" applyFill="1" applyBorder="1" applyAlignment="1">
      <alignment horizontal="center" vertical="center" wrapText="1"/>
    </xf>
    <xf numFmtId="168" fontId="15" fillId="0" borderId="43" xfId="0" applyNumberFormat="1" applyFont="1" applyFill="1" applyBorder="1" applyAlignment="1">
      <alignment horizontal="center" vertical="center"/>
    </xf>
    <xf numFmtId="168" fontId="15" fillId="0" borderId="130" xfId="0" applyNumberFormat="1" applyFont="1" applyFill="1" applyBorder="1" applyAlignment="1">
      <alignment horizontal="center" vertical="center"/>
    </xf>
    <xf numFmtId="4" fontId="15" fillId="0" borderId="130" xfId="0" applyNumberFormat="1" applyFont="1" applyFill="1" applyBorder="1" applyAlignment="1">
      <alignment horizontal="center" vertical="center"/>
    </xf>
    <xf numFmtId="0" fontId="2" fillId="0" borderId="43" xfId="0" applyFont="1" applyFill="1" applyBorder="1" applyAlignment="1">
      <alignment horizontal="left" vertical="top" wrapText="1"/>
    </xf>
    <xf numFmtId="0" fontId="18" fillId="0" borderId="43" xfId="0" applyFont="1" applyFill="1" applyBorder="1" applyAlignment="1">
      <alignment horizontal="center" vertical="top" wrapText="1"/>
    </xf>
    <xf numFmtId="0" fontId="12" fillId="0" borderId="42" xfId="0" applyFont="1" applyFill="1" applyBorder="1" applyAlignment="1">
      <alignment horizontal="center" vertical="center"/>
    </xf>
    <xf numFmtId="165" fontId="12" fillId="0" borderId="43" xfId="0" applyNumberFormat="1" applyFont="1" applyFill="1" applyBorder="1" applyAlignment="1">
      <alignment horizontal="left" vertical="center"/>
    </xf>
    <xf numFmtId="165" fontId="12" fillId="0" borderId="43" xfId="0" applyNumberFormat="1" applyFont="1" applyFill="1" applyBorder="1" applyAlignment="1">
      <alignment vertical="center"/>
    </xf>
    <xf numFmtId="169" fontId="15" fillId="0" borderId="43" xfId="0" applyNumberFormat="1" applyFont="1" applyFill="1" applyBorder="1" applyAlignment="1">
      <alignment vertical="center"/>
    </xf>
    <xf numFmtId="169" fontId="15" fillId="0" borderId="43" xfId="0" applyNumberFormat="1" applyFont="1" applyFill="1" applyBorder="1" applyAlignment="1">
      <alignment horizontal="center" vertical="center"/>
    </xf>
    <xf numFmtId="170" fontId="14" fillId="0" borderId="43" xfId="0" applyNumberFormat="1" applyFont="1" applyFill="1" applyBorder="1" applyAlignment="1">
      <alignment horizontal="center" vertical="center" wrapText="1"/>
    </xf>
    <xf numFmtId="165" fontId="15" fillId="0" borderId="43" xfId="0" applyNumberFormat="1" applyFont="1" applyFill="1" applyBorder="1" applyAlignment="1">
      <alignment horizontal="center" vertical="center"/>
    </xf>
    <xf numFmtId="4" fontId="70" fillId="0" borderId="43" xfId="0" applyNumberFormat="1" applyFont="1" applyFill="1" applyBorder="1" applyAlignment="1">
      <alignment horizontal="center" vertical="center"/>
    </xf>
    <xf numFmtId="4" fontId="70" fillId="0" borderId="130" xfId="0" applyNumberFormat="1" applyFont="1" applyFill="1" applyBorder="1" applyAlignment="1">
      <alignment horizontal="center" vertical="center"/>
    </xf>
    <xf numFmtId="166" fontId="13" fillId="0" borderId="43" xfId="0" applyNumberFormat="1" applyFont="1" applyFill="1" applyBorder="1" applyAlignment="1">
      <alignment horizontal="center" vertical="center"/>
    </xf>
    <xf numFmtId="1" fontId="13" fillId="0" borderId="43" xfId="0" applyNumberFormat="1" applyFont="1" applyFill="1" applyBorder="1" applyAlignment="1">
      <alignment horizontal="center" vertical="center"/>
    </xf>
    <xf numFmtId="169" fontId="14" fillId="0" borderId="43" xfId="0" applyNumberFormat="1" applyFont="1" applyFill="1" applyBorder="1" applyAlignment="1">
      <alignment horizontal="center" vertical="center"/>
    </xf>
    <xf numFmtId="165" fontId="13" fillId="0" borderId="43" xfId="0" applyNumberFormat="1" applyFont="1" applyFill="1" applyBorder="1" applyAlignment="1">
      <alignment horizontal="center" vertical="center"/>
    </xf>
    <xf numFmtId="165" fontId="14" fillId="0" borderId="43" xfId="0" applyNumberFormat="1" applyFont="1" applyFill="1" applyBorder="1" applyAlignment="1">
      <alignment horizontal="center" vertical="center"/>
    </xf>
    <xf numFmtId="3" fontId="70" fillId="0" borderId="43" xfId="0" applyNumberFormat="1" applyFont="1" applyFill="1" applyBorder="1" applyAlignment="1">
      <alignment horizontal="center" vertical="center" wrapText="1"/>
    </xf>
    <xf numFmtId="165" fontId="70" fillId="0" borderId="69" xfId="0" applyNumberFormat="1" applyFont="1" applyFill="1" applyBorder="1" applyAlignment="1">
      <alignment horizontal="center" vertical="center"/>
    </xf>
    <xf numFmtId="165" fontId="70" fillId="0" borderId="150" xfId="0" applyNumberFormat="1" applyFont="1" applyFill="1" applyBorder="1" applyAlignment="1">
      <alignment horizontal="center" vertical="center"/>
    </xf>
    <xf numFmtId="165" fontId="15" fillId="0" borderId="150" xfId="0" applyNumberFormat="1" applyFont="1" applyFill="1" applyBorder="1" applyAlignment="1">
      <alignment horizontal="center" vertical="center"/>
    </xf>
    <xf numFmtId="39" fontId="15" fillId="0" borderId="43" xfId="0" applyNumberFormat="1" applyFont="1" applyFill="1" applyBorder="1" applyAlignment="1">
      <alignment horizontal="center" vertical="center"/>
    </xf>
    <xf numFmtId="37" fontId="15" fillId="0" borderId="43" xfId="0" applyNumberFormat="1" applyFont="1" applyFill="1" applyBorder="1" applyAlignment="1">
      <alignment horizontal="center" vertical="center"/>
    </xf>
    <xf numFmtId="37" fontId="15" fillId="0" borderId="46" xfId="0" applyNumberFormat="1" applyFont="1" applyFill="1" applyBorder="1" applyAlignment="1">
      <alignment horizontal="center" vertical="center"/>
    </xf>
    <xf numFmtId="37" fontId="70" fillId="0" borderId="43" xfId="0" applyNumberFormat="1" applyFont="1" applyFill="1" applyBorder="1" applyAlignment="1">
      <alignment horizontal="center" vertical="center"/>
    </xf>
    <xf numFmtId="37" fontId="70" fillId="0" borderId="69" xfId="0" applyNumberFormat="1" applyFont="1" applyFill="1" applyBorder="1" applyAlignment="1">
      <alignment horizontal="center" vertical="center"/>
    </xf>
    <xf numFmtId="37" fontId="70" fillId="0" borderId="150" xfId="0" applyNumberFormat="1" applyFont="1" applyFill="1" applyBorder="1" applyAlignment="1">
      <alignment horizontal="center" vertical="center"/>
    </xf>
    <xf numFmtId="37" fontId="15" fillId="0" borderId="150" xfId="0" applyNumberFormat="1" applyFont="1" applyFill="1" applyBorder="1" applyAlignment="1">
      <alignment horizontal="center" vertical="center"/>
    </xf>
    <xf numFmtId="0" fontId="2" fillId="0" borderId="46" xfId="0" applyFont="1" applyFill="1" applyBorder="1" applyAlignment="1">
      <alignment horizontal="left" vertical="top" wrapText="1"/>
    </xf>
    <xf numFmtId="165" fontId="17" fillId="0" borderId="69" xfId="0" applyNumberFormat="1" applyFont="1" applyFill="1" applyBorder="1" applyAlignment="1">
      <alignment horizontal="center" vertical="center"/>
    </xf>
    <xf numFmtId="3" fontId="56" fillId="0" borderId="69" xfId="0" applyNumberFormat="1" applyFont="1" applyFill="1" applyBorder="1" applyAlignment="1">
      <alignment horizontal="center" vertical="center" wrapText="1"/>
    </xf>
    <xf numFmtId="0" fontId="2" fillId="0" borderId="31" xfId="0" applyFont="1" applyFill="1" applyBorder="1" applyAlignment="1">
      <alignment horizontal="left" vertical="top" wrapText="1"/>
    </xf>
    <xf numFmtId="1" fontId="17" fillId="0" borderId="43" xfId="0" applyNumberFormat="1" applyFont="1" applyFill="1" applyBorder="1" applyAlignment="1">
      <alignment horizontal="center" vertical="center"/>
    </xf>
    <xf numFmtId="1" fontId="56" fillId="0" borderId="43" xfId="0" applyNumberFormat="1" applyFont="1" applyFill="1" applyBorder="1" applyAlignment="1">
      <alignment horizontal="center" vertical="center"/>
    </xf>
    <xf numFmtId="3" fontId="17" fillId="0" borderId="100" xfId="0" applyNumberFormat="1" applyFont="1" applyFill="1" applyBorder="1" applyAlignment="1">
      <alignment horizontal="center" wrapText="1"/>
    </xf>
    <xf numFmtId="3" fontId="17" fillId="0" borderId="45" xfId="0" applyNumberFormat="1" applyFont="1" applyFill="1" applyBorder="1" applyAlignment="1">
      <alignment horizontal="center" vertical="center" wrapText="1"/>
    </xf>
    <xf numFmtId="3" fontId="17" fillId="0" borderId="146" xfId="0" applyNumberFormat="1" applyFont="1" applyFill="1" applyBorder="1" applyAlignment="1">
      <alignment horizontal="center" vertical="center" wrapText="1"/>
    </xf>
    <xf numFmtId="37" fontId="17" fillId="0" borderId="100" xfId="0" applyNumberFormat="1" applyFont="1" applyFill="1" applyBorder="1" applyAlignment="1">
      <alignment horizontal="center"/>
    </xf>
  </cellXfs>
  <cellStyles count="5">
    <cellStyle name="Hipervínculo" xfId="2" builtinId="8"/>
    <cellStyle name="Millares" xfId="3" builtinId="3"/>
    <cellStyle name="Moneda" xfId="1" builtinId="4"/>
    <cellStyle name="Normal" xfId="0" builtinId="0"/>
    <cellStyle name="Porcentaje" xfId="4" builtinId="5"/>
  </cellStyles>
  <dxfs count="0"/>
  <tableStyles count="0" defaultTableStyle="TableStyleMedium2" defaultPivotStyle="PivotStyleLight16"/>
  <colors>
    <mruColors>
      <color rgb="FF87F7CA"/>
      <color rgb="FF86ED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207170</xdr:colOff>
      <xdr:row>1</xdr:row>
      <xdr:rowOff>240506</xdr:rowOff>
    </xdr:from>
    <xdr:ext cx="2126456" cy="75247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07170" y="431006"/>
          <a:ext cx="2126456" cy="7524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361950</xdr:colOff>
      <xdr:row>0</xdr:row>
      <xdr:rowOff>76200</xdr:rowOff>
    </xdr:from>
    <xdr:ext cx="2524125" cy="85725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300893</xdr:colOff>
      <xdr:row>0</xdr:row>
      <xdr:rowOff>202044</xdr:rowOff>
    </xdr:from>
    <xdr:ext cx="3595698" cy="1024659"/>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00893" y="202044"/>
          <a:ext cx="3595698" cy="102465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466975" cy="457200"/>
    <xdr:pic>
      <xdr:nvPicPr>
        <xdr:cNvPr id="2" name="image1.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371475</xdr:colOff>
      <xdr:row>0</xdr:row>
      <xdr:rowOff>266700</xdr:rowOff>
    </xdr:from>
    <xdr:ext cx="2495550" cy="1600200"/>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3BC72B5/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carolinanino\Documents\SDA-2020\PA\NCSA\7794\C:\Users\carolinanino\Documents\SDA-2020\Analisis%20procesos%20de%20contratacio&#769;n\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u/1/folders/1ni390p2SPGzsHn8uJ2qsVs4DLWMzmCEf" TargetMode="External"/><Relationship Id="rId13" Type="http://schemas.openxmlformats.org/officeDocument/2006/relationships/hyperlink" Target="https://drive.google.com/drive/u/1/folders/1ni390p2SPGzsHn8uJ2qsVs4DLWMzmCEf" TargetMode="External"/><Relationship Id="rId18" Type="http://schemas.openxmlformats.org/officeDocument/2006/relationships/hyperlink" Target="https://drive.google.com/drive/u/1/folders/1ni390p2SPGzsHn8uJ2qsVs4DLWMzmCEf" TargetMode="External"/><Relationship Id="rId26" Type="http://schemas.openxmlformats.org/officeDocument/2006/relationships/vmlDrawing" Target="../drawings/vmlDrawing4.vml"/><Relationship Id="rId3" Type="http://schemas.openxmlformats.org/officeDocument/2006/relationships/hyperlink" Target="https://drive.google.com/drive/u/1/folders/1ni390p2SPGzsHn8uJ2qsVs4DLWMzmCEf" TargetMode="External"/><Relationship Id="rId21" Type="http://schemas.openxmlformats.org/officeDocument/2006/relationships/hyperlink" Target="https://drive.google.com/drive/u/1/folders/1ni390p2SPGzsHn8uJ2qsVs4DLWMzmCEf" TargetMode="External"/><Relationship Id="rId7" Type="http://schemas.openxmlformats.org/officeDocument/2006/relationships/hyperlink" Target="https://drive.google.com/drive/u/1/folders/1ni390p2SPGzsHn8uJ2qsVs4DLWMzmCEf" TargetMode="External"/><Relationship Id="rId12" Type="http://schemas.openxmlformats.org/officeDocument/2006/relationships/hyperlink" Target="https://drive.google.com/drive/u/1/folders/1ni390p2SPGzsHn8uJ2qsVs4DLWMzmCEf" TargetMode="External"/><Relationship Id="rId17" Type="http://schemas.openxmlformats.org/officeDocument/2006/relationships/hyperlink" Target="https://drive.google.com/drive/u/1/folders/1ni390p2SPGzsHn8uJ2qsVs4DLWMzmCEf" TargetMode="External"/><Relationship Id="rId25" Type="http://schemas.openxmlformats.org/officeDocument/2006/relationships/drawing" Target="../drawings/drawing4.xml"/><Relationship Id="rId2" Type="http://schemas.openxmlformats.org/officeDocument/2006/relationships/hyperlink" Target="https://drive.google.com/drive/u/5/folders/10wh8yqPM8JcQG2cE0Y5SWP_Xfk1Pgibw" TargetMode="External"/><Relationship Id="rId16" Type="http://schemas.openxmlformats.org/officeDocument/2006/relationships/hyperlink" Target="https://drive.google.com/drive/u/1/folders/1ni390p2SPGzsHn8uJ2qsVs4DLWMzmCEf" TargetMode="External"/><Relationship Id="rId20" Type="http://schemas.openxmlformats.org/officeDocument/2006/relationships/hyperlink" Target="https://drive.google.com/drive/u/1/folders/1ni390p2SPGzsHn8uJ2qsVs4DLWMzmCEf" TargetMode="External"/><Relationship Id="rId1" Type="http://schemas.openxmlformats.org/officeDocument/2006/relationships/hyperlink" Target="https://drive.google.com/drive/u/5/folders/10wh8yqPM8JcQG2cE0Y5SWP_Xfk1Pgibw" TargetMode="External"/><Relationship Id="rId6" Type="http://schemas.openxmlformats.org/officeDocument/2006/relationships/hyperlink" Target="https://drive.google.com/drive/u/1/folders/1ni390p2SPGzsHn8uJ2qsVs4DLWMzmCEf" TargetMode="External"/><Relationship Id="rId11" Type="http://schemas.openxmlformats.org/officeDocument/2006/relationships/hyperlink" Target="https://drive.google.com/drive/u/1/folders/1ni390p2SPGzsHn8uJ2qsVs4DLWMzmCEf" TargetMode="External"/><Relationship Id="rId24" Type="http://schemas.openxmlformats.org/officeDocument/2006/relationships/printerSettings" Target="../printerSettings/printerSettings4.bin"/><Relationship Id="rId5" Type="http://schemas.openxmlformats.org/officeDocument/2006/relationships/hyperlink" Target="https://drive.google.com/drive/u/1/folders/1ni390p2SPGzsHn8uJ2qsVs4DLWMzmCEf" TargetMode="External"/><Relationship Id="rId15" Type="http://schemas.openxmlformats.org/officeDocument/2006/relationships/hyperlink" Target="https://drive.google.com/drive/u/1/folders/1ni390p2SPGzsHn8uJ2qsVs4DLWMzmCEf" TargetMode="External"/><Relationship Id="rId23" Type="http://schemas.openxmlformats.org/officeDocument/2006/relationships/hyperlink" Target="https://drive.google.com/drive/u/1/folders/1ni390p2SPGzsHn8uJ2qsVs4DLWMzmCEf" TargetMode="External"/><Relationship Id="rId10" Type="http://schemas.openxmlformats.org/officeDocument/2006/relationships/hyperlink" Target="https://drive.google.com/drive/u/1/folders/1ni390p2SPGzsHn8uJ2qsVs4DLWMzmCEf" TargetMode="External"/><Relationship Id="rId19" Type="http://schemas.openxmlformats.org/officeDocument/2006/relationships/hyperlink" Target="https://drive.google.com/drive/u/1/folders/1ni390p2SPGzsHn8uJ2qsVs4DLWMzmCEf" TargetMode="External"/><Relationship Id="rId4" Type="http://schemas.openxmlformats.org/officeDocument/2006/relationships/hyperlink" Target="https://drive.google.com/drive/u/1/folders/1ni390p2SPGzsHn8uJ2qsVs4DLWMzmCEf" TargetMode="External"/><Relationship Id="rId9" Type="http://schemas.openxmlformats.org/officeDocument/2006/relationships/hyperlink" Target="https://drive.google.com/drive/u/1/folders/1ni390p2SPGzsHn8uJ2qsVs4DLWMzmCEf" TargetMode="External"/><Relationship Id="rId14" Type="http://schemas.openxmlformats.org/officeDocument/2006/relationships/hyperlink" Target="https://drive.google.com/drive/u/1/folders/1ni390p2SPGzsHn8uJ2qsVs4DLWMzmCEf" TargetMode="External"/><Relationship Id="rId22" Type="http://schemas.openxmlformats.org/officeDocument/2006/relationships/hyperlink" Target="https://drive.google.com/drive/u/1/folders/1ni390p2SPGzsHn8uJ2qsVs4DLWMzmCEf" TargetMode="External"/><Relationship Id="rId27"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2950"/>
  <sheetViews>
    <sheetView showGridLines="0" tabSelected="1" topLeftCell="A5" zoomScale="55" zoomScaleNormal="55" workbookViewId="0">
      <selection activeCell="ER12" sqref="ER12"/>
    </sheetView>
  </sheetViews>
  <sheetFormatPr baseColWidth="10" defaultColWidth="14.42578125" defaultRowHeight="15" customHeight="1" x14ac:dyDescent="0.25"/>
  <cols>
    <col min="1" max="1" width="13.28515625" customWidth="1"/>
    <col min="2" max="2" width="8.28515625" customWidth="1"/>
    <col min="3" max="3" width="8.7109375" customWidth="1"/>
    <col min="4" max="4" width="30.42578125" customWidth="1"/>
    <col min="5" max="5" width="7.42578125" customWidth="1"/>
    <col min="6" max="6" width="29" customWidth="1"/>
    <col min="7" max="7" width="12.7109375" customWidth="1"/>
    <col min="8" max="8" width="11.5703125" customWidth="1"/>
    <col min="9" max="9" width="12.28515625" customWidth="1"/>
    <col min="10" max="23" width="15.7109375" hidden="1" customWidth="1"/>
    <col min="24" max="24" width="14.28515625" hidden="1" customWidth="1"/>
    <col min="25" max="25" width="15" hidden="1" customWidth="1"/>
    <col min="26" max="26" width="16.42578125" hidden="1" customWidth="1"/>
    <col min="27" max="27" width="17.28515625" hidden="1" customWidth="1"/>
    <col min="28" max="29" width="22.28515625" customWidth="1"/>
    <col min="30" max="30" width="15.7109375" hidden="1" customWidth="1"/>
    <col min="31" max="47" width="10.7109375" hidden="1" customWidth="1"/>
    <col min="48" max="48" width="15.42578125" hidden="1" customWidth="1"/>
    <col min="49" max="49" width="10.7109375" hidden="1" customWidth="1"/>
    <col min="50" max="50" width="15" hidden="1" customWidth="1"/>
    <col min="51" max="51" width="10.7109375" hidden="1" customWidth="1"/>
    <col min="52" max="52" width="16" hidden="1" customWidth="1"/>
    <col min="53" max="53" width="10.7109375" hidden="1" customWidth="1"/>
    <col min="54" max="54" width="18.42578125" hidden="1" customWidth="1"/>
    <col min="55" max="55" width="16" hidden="1" customWidth="1"/>
    <col min="56" max="56" width="14.42578125" hidden="1" customWidth="1"/>
    <col min="57" max="57" width="15" hidden="1" customWidth="1"/>
    <col min="58" max="59" width="20.5703125" customWidth="1"/>
    <col min="60" max="60" width="15.42578125" hidden="1" customWidth="1"/>
    <col min="61" max="64" width="10.7109375" hidden="1" customWidth="1"/>
    <col min="65" max="65" width="11.42578125" hidden="1" customWidth="1"/>
    <col min="66" max="77" width="10.7109375" hidden="1" customWidth="1"/>
    <col min="78" max="78" width="14.7109375" hidden="1" customWidth="1"/>
    <col min="79" max="82" width="10.7109375" hidden="1" customWidth="1"/>
    <col min="83" max="83" width="18.42578125" hidden="1" customWidth="1"/>
    <col min="84" max="84" width="10.7109375" hidden="1" customWidth="1"/>
    <col min="85" max="85" width="15" hidden="1" customWidth="1"/>
    <col min="86" max="86" width="14.7109375" hidden="1" customWidth="1"/>
    <col min="87" max="87" width="15.42578125" hidden="1" customWidth="1"/>
    <col min="88" max="89" width="22.42578125" customWidth="1"/>
    <col min="90" max="90" width="17" hidden="1" customWidth="1"/>
    <col min="91" max="91" width="10.7109375" hidden="1" customWidth="1"/>
    <col min="92" max="92" width="11.42578125" hidden="1" customWidth="1"/>
    <col min="93" max="114" width="10.7109375" hidden="1" customWidth="1"/>
    <col min="115" max="115" width="15" hidden="1" customWidth="1"/>
    <col min="116" max="116" width="14.7109375" hidden="1" customWidth="1"/>
    <col min="117" max="117" width="15.42578125" hidden="1" customWidth="1"/>
    <col min="118" max="119" width="23" customWidth="1"/>
    <col min="120" max="120" width="15.85546875" customWidth="1"/>
    <col min="121" max="123" width="10.7109375" customWidth="1"/>
    <col min="124" max="124" width="10.7109375" style="626" customWidth="1"/>
    <col min="125" max="129" width="10.7109375" customWidth="1"/>
    <col min="130" max="131" width="15.42578125" customWidth="1"/>
    <col min="132" max="144" width="15.42578125" hidden="1" customWidth="1"/>
    <col min="145" max="145" width="17.28515625" customWidth="1"/>
    <col min="146" max="149" width="21.85546875" customWidth="1"/>
    <col min="150" max="154" width="18.140625" customWidth="1"/>
    <col min="155" max="155" width="57" customWidth="1"/>
    <col min="156" max="157" width="12.28515625" customWidth="1"/>
    <col min="158" max="158" width="42.28515625" customWidth="1"/>
    <col min="159" max="159" width="41" customWidth="1"/>
    <col min="160" max="161" width="10.7109375" customWidth="1"/>
  </cols>
  <sheetData>
    <row r="1" spans="1:161" x14ac:dyDescent="0.25">
      <c r="C1" s="1"/>
      <c r="D1" s="1"/>
      <c r="E1" s="1"/>
      <c r="F1" s="1"/>
      <c r="G1" s="1"/>
      <c r="H1" s="1"/>
      <c r="I1" s="2"/>
      <c r="J1" s="2"/>
      <c r="K1" s="2"/>
      <c r="L1" s="2"/>
      <c r="M1" s="2"/>
      <c r="N1" s="2"/>
      <c r="O1" s="2"/>
      <c r="P1" s="2"/>
      <c r="Q1" s="2"/>
      <c r="R1" s="2"/>
      <c r="S1" s="2"/>
      <c r="T1" s="2"/>
      <c r="U1" s="2"/>
      <c r="V1" s="2"/>
      <c r="W1" s="2"/>
      <c r="X1" s="2"/>
      <c r="Y1" s="2"/>
      <c r="Z1" s="2"/>
      <c r="AA1" s="2"/>
      <c r="AB1" s="3"/>
      <c r="AC1" s="3"/>
      <c r="AD1" s="3"/>
      <c r="AE1" s="3"/>
      <c r="AF1" s="3"/>
      <c r="AG1" s="3"/>
      <c r="AH1" s="3"/>
      <c r="AI1" s="3"/>
      <c r="AJ1" s="3"/>
      <c r="AK1" s="3"/>
      <c r="AL1" s="3"/>
      <c r="AM1" s="3"/>
      <c r="AN1" s="3"/>
      <c r="AO1" s="3"/>
      <c r="AP1" s="3"/>
      <c r="AQ1" s="3"/>
      <c r="AR1" s="3"/>
      <c r="AS1" s="3"/>
      <c r="AT1" s="3"/>
      <c r="AU1" s="3"/>
      <c r="AV1" s="2"/>
      <c r="AW1" s="3"/>
      <c r="AX1" s="3"/>
      <c r="AY1" s="3"/>
      <c r="AZ1" s="3"/>
      <c r="BA1" s="3"/>
      <c r="BB1" s="2"/>
      <c r="BC1" s="3"/>
      <c r="BD1" s="3"/>
      <c r="BE1" s="3"/>
      <c r="BF1" s="3"/>
      <c r="BG1" s="3"/>
      <c r="BH1" s="2"/>
      <c r="BI1" s="2"/>
      <c r="BJ1" s="2"/>
      <c r="BK1" s="2"/>
      <c r="BL1" s="2"/>
      <c r="BM1" s="2"/>
      <c r="BN1" s="2"/>
      <c r="BO1" s="2"/>
      <c r="BP1" s="2"/>
      <c r="BQ1" s="2"/>
      <c r="BR1" s="2"/>
      <c r="BS1" s="2"/>
      <c r="BT1" s="2"/>
      <c r="BU1" s="2"/>
      <c r="BV1" s="2"/>
      <c r="BW1" s="2"/>
      <c r="BX1" s="2"/>
      <c r="BY1" s="2"/>
      <c r="BZ1" s="2"/>
      <c r="CA1" s="2"/>
      <c r="CB1" s="2"/>
      <c r="CC1" s="2"/>
      <c r="CD1" s="2"/>
      <c r="CE1" s="2"/>
      <c r="CF1" s="2"/>
      <c r="CG1" s="3"/>
      <c r="CH1" s="3"/>
      <c r="CI1" s="3"/>
      <c r="CJ1" s="3"/>
      <c r="CK1" s="3"/>
      <c r="CL1" s="3"/>
      <c r="CM1" s="3"/>
      <c r="CN1" s="3"/>
      <c r="CO1" s="3"/>
      <c r="CP1" s="3"/>
      <c r="CQ1" s="3"/>
      <c r="CR1" s="3"/>
      <c r="CS1" s="3"/>
      <c r="CT1" s="4"/>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Y1" s="1"/>
      <c r="EZ1" s="1"/>
      <c r="FA1" s="1"/>
    </row>
    <row r="2" spans="1:161" ht="31.5" x14ac:dyDescent="0.5">
      <c r="A2" s="685"/>
      <c r="B2" s="686"/>
      <c r="C2" s="686"/>
      <c r="D2" s="686"/>
      <c r="E2" s="686"/>
      <c r="F2" s="687"/>
      <c r="G2" s="694" t="s">
        <v>0</v>
      </c>
      <c r="H2" s="695"/>
      <c r="I2" s="695"/>
      <c r="J2" s="695"/>
      <c r="K2" s="695"/>
      <c r="L2" s="695"/>
      <c r="M2" s="695"/>
      <c r="N2" s="695"/>
      <c r="O2" s="695"/>
      <c r="P2" s="695"/>
      <c r="Q2" s="695"/>
      <c r="R2" s="695"/>
      <c r="S2" s="695"/>
      <c r="T2" s="695"/>
      <c r="U2" s="695"/>
      <c r="V2" s="695"/>
      <c r="W2" s="695"/>
      <c r="X2" s="695"/>
      <c r="Y2" s="695"/>
      <c r="Z2" s="695"/>
      <c r="AA2" s="695"/>
      <c r="AB2" s="695"/>
      <c r="AC2" s="695"/>
      <c r="AD2" s="695"/>
      <c r="AE2" s="695"/>
      <c r="AF2" s="695"/>
      <c r="AG2" s="695"/>
      <c r="AH2" s="695"/>
      <c r="AI2" s="695"/>
      <c r="AJ2" s="695"/>
      <c r="AK2" s="695"/>
      <c r="AL2" s="695"/>
      <c r="AM2" s="695"/>
      <c r="AN2" s="695"/>
      <c r="AO2" s="695"/>
      <c r="AP2" s="695"/>
      <c r="AQ2" s="695"/>
      <c r="AR2" s="695"/>
      <c r="AS2" s="695"/>
      <c r="AT2" s="695"/>
      <c r="AU2" s="695"/>
      <c r="AV2" s="695"/>
      <c r="AW2" s="695"/>
      <c r="AX2" s="695"/>
      <c r="AY2" s="695"/>
      <c r="AZ2" s="695"/>
      <c r="BA2" s="695"/>
      <c r="BB2" s="695"/>
      <c r="BC2" s="695"/>
      <c r="BD2" s="695"/>
      <c r="BE2" s="695"/>
      <c r="BF2" s="695"/>
      <c r="BG2" s="695"/>
      <c r="BH2" s="695"/>
      <c r="BI2" s="695"/>
      <c r="BJ2" s="695"/>
      <c r="BK2" s="695"/>
      <c r="BL2" s="695"/>
      <c r="BM2" s="695"/>
      <c r="BN2" s="695"/>
      <c r="BO2" s="695"/>
      <c r="BP2" s="695"/>
      <c r="BQ2" s="695"/>
      <c r="BR2" s="695"/>
      <c r="BS2" s="695"/>
      <c r="BT2" s="695"/>
      <c r="BU2" s="695"/>
      <c r="BV2" s="695"/>
      <c r="BW2" s="695"/>
      <c r="BX2" s="695"/>
      <c r="BY2" s="695"/>
      <c r="BZ2" s="695"/>
      <c r="CA2" s="695"/>
      <c r="CB2" s="695"/>
      <c r="CC2" s="695"/>
      <c r="CD2" s="695"/>
      <c r="CE2" s="695"/>
      <c r="CF2" s="695"/>
      <c r="CG2" s="695"/>
      <c r="CH2" s="695"/>
      <c r="CI2" s="695"/>
      <c r="CJ2" s="695"/>
      <c r="CK2" s="695"/>
      <c r="CL2" s="695"/>
      <c r="CM2" s="695"/>
      <c r="CN2" s="695"/>
      <c r="CO2" s="695"/>
      <c r="CP2" s="695"/>
      <c r="CQ2" s="695"/>
      <c r="CR2" s="695"/>
      <c r="CS2" s="695"/>
      <c r="CT2" s="695"/>
      <c r="CU2" s="695"/>
      <c r="CV2" s="695"/>
      <c r="CW2" s="695"/>
      <c r="CX2" s="695"/>
      <c r="CY2" s="695"/>
      <c r="CZ2" s="695"/>
      <c r="DA2" s="695"/>
      <c r="DB2" s="695"/>
      <c r="DC2" s="695"/>
      <c r="DD2" s="695"/>
      <c r="DE2" s="695"/>
      <c r="DF2" s="695"/>
      <c r="DG2" s="695"/>
      <c r="DH2" s="695"/>
      <c r="DI2" s="695"/>
      <c r="DJ2" s="695"/>
      <c r="DK2" s="695"/>
      <c r="DL2" s="695"/>
      <c r="DM2" s="695"/>
      <c r="DN2" s="695"/>
      <c r="DO2" s="695"/>
      <c r="DP2" s="695"/>
      <c r="DQ2" s="695"/>
      <c r="DR2" s="695"/>
      <c r="DS2" s="695"/>
      <c r="DT2" s="695"/>
      <c r="DU2" s="695"/>
      <c r="DV2" s="695"/>
      <c r="DW2" s="695"/>
      <c r="DX2" s="695"/>
      <c r="DY2" s="695"/>
      <c r="DZ2" s="695"/>
      <c r="EA2" s="695"/>
      <c r="EB2" s="695"/>
      <c r="EC2" s="695"/>
      <c r="ED2" s="695"/>
      <c r="EE2" s="695"/>
      <c r="EF2" s="695"/>
      <c r="EG2" s="695"/>
      <c r="EH2" s="695"/>
      <c r="EI2" s="695"/>
      <c r="EJ2" s="695"/>
      <c r="EK2" s="695"/>
      <c r="EL2" s="695"/>
      <c r="EM2" s="695"/>
      <c r="EN2" s="695"/>
      <c r="EO2" s="695"/>
      <c r="EP2" s="695"/>
      <c r="EQ2" s="695"/>
      <c r="ER2" s="695"/>
      <c r="ES2" s="695"/>
      <c r="ET2" s="695"/>
      <c r="EU2" s="695"/>
      <c r="EV2" s="695"/>
      <c r="EW2" s="695"/>
      <c r="EX2" s="695"/>
      <c r="EY2" s="695"/>
      <c r="EZ2" s="695"/>
      <c r="FA2" s="695"/>
      <c r="FB2" s="695"/>
      <c r="FC2" s="696"/>
      <c r="FD2" s="5"/>
      <c r="FE2" s="5"/>
    </row>
    <row r="3" spans="1:161" ht="40.5" customHeight="1" x14ac:dyDescent="0.6">
      <c r="A3" s="688"/>
      <c r="B3" s="689"/>
      <c r="C3" s="689"/>
      <c r="D3" s="689"/>
      <c r="E3" s="689"/>
      <c r="F3" s="690"/>
      <c r="G3" s="697" t="s">
        <v>1</v>
      </c>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8"/>
      <c r="AQ3" s="698"/>
      <c r="AR3" s="698"/>
      <c r="AS3" s="698"/>
      <c r="AT3" s="698"/>
      <c r="AU3" s="698"/>
      <c r="AV3" s="698"/>
      <c r="AW3" s="698"/>
      <c r="AX3" s="698"/>
      <c r="AY3" s="698"/>
      <c r="AZ3" s="698"/>
      <c r="BA3" s="698"/>
      <c r="BB3" s="698"/>
      <c r="BC3" s="698"/>
      <c r="BD3" s="698"/>
      <c r="BE3" s="698"/>
      <c r="BF3" s="698"/>
      <c r="BG3" s="698"/>
      <c r="BH3" s="698"/>
      <c r="BI3" s="698"/>
      <c r="BJ3" s="698"/>
      <c r="BK3" s="698"/>
      <c r="BL3" s="698"/>
      <c r="BM3" s="698"/>
      <c r="BN3" s="698"/>
      <c r="BO3" s="698"/>
      <c r="BP3" s="698"/>
      <c r="BQ3" s="698"/>
      <c r="BR3" s="698"/>
      <c r="BS3" s="698"/>
      <c r="BT3" s="698"/>
      <c r="BU3" s="698"/>
      <c r="BV3" s="698"/>
      <c r="BW3" s="698"/>
      <c r="BX3" s="698"/>
      <c r="BY3" s="698"/>
      <c r="BZ3" s="698"/>
      <c r="CA3" s="698"/>
      <c r="CB3" s="698"/>
      <c r="CC3" s="698"/>
      <c r="CD3" s="698"/>
      <c r="CE3" s="698"/>
      <c r="CF3" s="698"/>
      <c r="CG3" s="698"/>
      <c r="CH3" s="698"/>
      <c r="CI3" s="698"/>
      <c r="CJ3" s="698"/>
      <c r="CK3" s="698"/>
      <c r="CL3" s="698"/>
      <c r="CM3" s="698"/>
      <c r="CN3" s="698"/>
      <c r="CO3" s="698"/>
      <c r="CP3" s="698"/>
      <c r="CQ3" s="698"/>
      <c r="CR3" s="698"/>
      <c r="CS3" s="698"/>
      <c r="CT3" s="698"/>
      <c r="CU3" s="698"/>
      <c r="CV3" s="698"/>
      <c r="CW3" s="698"/>
      <c r="CX3" s="698"/>
      <c r="CY3" s="698"/>
      <c r="CZ3" s="698"/>
      <c r="DA3" s="698"/>
      <c r="DB3" s="698"/>
      <c r="DC3" s="698"/>
      <c r="DD3" s="698"/>
      <c r="DE3" s="698"/>
      <c r="DF3" s="698"/>
      <c r="DG3" s="698"/>
      <c r="DH3" s="698"/>
      <c r="DI3" s="698"/>
      <c r="DJ3" s="698"/>
      <c r="DK3" s="698"/>
      <c r="DL3" s="698"/>
      <c r="DM3" s="698"/>
      <c r="DN3" s="698"/>
      <c r="DO3" s="698"/>
      <c r="DP3" s="698"/>
      <c r="DQ3" s="698"/>
      <c r="DR3" s="698"/>
      <c r="DS3" s="698"/>
      <c r="DT3" s="698"/>
      <c r="DU3" s="698"/>
      <c r="DV3" s="698"/>
      <c r="DW3" s="698"/>
      <c r="DX3" s="698"/>
      <c r="DY3" s="698"/>
      <c r="DZ3" s="698"/>
      <c r="EA3" s="698"/>
      <c r="EB3" s="698"/>
      <c r="EC3" s="698"/>
      <c r="ED3" s="698"/>
      <c r="EE3" s="698"/>
      <c r="EF3" s="698"/>
      <c r="EG3" s="698"/>
      <c r="EH3" s="698"/>
      <c r="EI3" s="698"/>
      <c r="EJ3" s="698"/>
      <c r="EK3" s="698"/>
      <c r="EL3" s="698"/>
      <c r="EM3" s="698"/>
      <c r="EN3" s="698"/>
      <c r="EO3" s="698"/>
      <c r="EP3" s="698"/>
      <c r="EQ3" s="698"/>
      <c r="ER3" s="698"/>
      <c r="ES3" s="698"/>
      <c r="ET3" s="698"/>
      <c r="EU3" s="698"/>
      <c r="EV3" s="698"/>
      <c r="EW3" s="698"/>
      <c r="EX3" s="698"/>
      <c r="EY3" s="698"/>
      <c r="EZ3" s="698"/>
      <c r="FA3" s="698"/>
      <c r="FB3" s="698"/>
      <c r="FC3" s="699"/>
      <c r="FD3" s="5"/>
      <c r="FE3" s="5"/>
    </row>
    <row r="4" spans="1:161" ht="26.25" x14ac:dyDescent="0.4">
      <c r="A4" s="691"/>
      <c r="B4" s="692"/>
      <c r="C4" s="692"/>
      <c r="D4" s="692"/>
      <c r="E4" s="692"/>
      <c r="F4" s="693"/>
      <c r="G4" s="700" t="s">
        <v>2</v>
      </c>
      <c r="H4" s="701"/>
      <c r="I4" s="701"/>
      <c r="J4" s="701"/>
      <c r="K4" s="701"/>
      <c r="L4" s="701"/>
      <c r="M4" s="701"/>
      <c r="N4" s="701"/>
      <c r="O4" s="701"/>
      <c r="P4" s="701"/>
      <c r="Q4" s="701"/>
      <c r="R4" s="701"/>
      <c r="S4" s="701"/>
      <c r="T4" s="701"/>
      <c r="U4" s="701"/>
      <c r="V4" s="701"/>
      <c r="W4" s="701"/>
      <c r="X4" s="701"/>
      <c r="Y4" s="701"/>
      <c r="Z4" s="701"/>
      <c r="AA4" s="701"/>
      <c r="AB4" s="701"/>
      <c r="AC4" s="701"/>
      <c r="AD4" s="701"/>
      <c r="AE4" s="701"/>
      <c r="AF4" s="701"/>
      <c r="AG4" s="701"/>
      <c r="AH4" s="701"/>
      <c r="AI4" s="701"/>
      <c r="AJ4" s="701"/>
      <c r="AK4" s="701"/>
      <c r="AL4" s="701"/>
      <c r="AM4" s="701"/>
      <c r="AN4" s="701"/>
      <c r="AO4" s="701"/>
      <c r="AP4" s="701"/>
      <c r="AQ4" s="701"/>
      <c r="AR4" s="701"/>
      <c r="AS4" s="701"/>
      <c r="AT4" s="701"/>
      <c r="AU4" s="701"/>
      <c r="AV4" s="701"/>
      <c r="AW4" s="701"/>
      <c r="AX4" s="701"/>
      <c r="AY4" s="701"/>
      <c r="AZ4" s="701"/>
      <c r="BA4" s="701"/>
      <c r="BB4" s="701"/>
      <c r="BC4" s="701"/>
      <c r="BD4" s="701"/>
      <c r="BE4" s="701"/>
      <c r="BF4" s="701"/>
      <c r="BG4" s="701"/>
      <c r="BH4" s="701"/>
      <c r="BI4" s="701"/>
      <c r="BJ4" s="701"/>
      <c r="BK4" s="701"/>
      <c r="BL4" s="701"/>
      <c r="BM4" s="701"/>
      <c r="BN4" s="701"/>
      <c r="BO4" s="701"/>
      <c r="BP4" s="701"/>
      <c r="BQ4" s="701"/>
      <c r="BR4" s="701"/>
      <c r="BS4" s="701"/>
      <c r="BT4" s="701"/>
      <c r="BU4" s="701"/>
      <c r="BV4" s="701"/>
      <c r="BW4" s="701"/>
      <c r="BX4" s="701"/>
      <c r="BY4" s="701"/>
      <c r="BZ4" s="701"/>
      <c r="CA4" s="701"/>
      <c r="CB4" s="701"/>
      <c r="CC4" s="701"/>
      <c r="CD4" s="701"/>
      <c r="CE4" s="701"/>
      <c r="CF4" s="701"/>
      <c r="CG4" s="701"/>
      <c r="CH4" s="701"/>
      <c r="CI4" s="701"/>
      <c r="CJ4" s="701"/>
      <c r="CK4" s="701"/>
      <c r="CL4" s="701"/>
      <c r="CM4" s="701"/>
      <c r="CN4" s="701"/>
      <c r="CO4" s="701"/>
      <c r="CP4" s="701"/>
      <c r="CQ4" s="701"/>
      <c r="CR4" s="701"/>
      <c r="CS4" s="701"/>
      <c r="CT4" s="701"/>
      <c r="CU4" s="701"/>
      <c r="CV4" s="701"/>
      <c r="CW4" s="701"/>
      <c r="CX4" s="701"/>
      <c r="CY4" s="701"/>
      <c r="CZ4" s="701"/>
      <c r="DA4" s="701"/>
      <c r="DB4" s="701"/>
      <c r="DC4" s="701"/>
      <c r="DD4" s="701"/>
      <c r="DE4" s="701"/>
      <c r="DF4" s="701"/>
      <c r="DG4" s="701"/>
      <c r="DH4" s="701"/>
      <c r="DI4" s="701"/>
      <c r="DJ4" s="701"/>
      <c r="DK4" s="701"/>
      <c r="DL4" s="701"/>
      <c r="DM4" s="701"/>
      <c r="DN4" s="701"/>
      <c r="DO4" s="701"/>
      <c r="DP4" s="701"/>
      <c r="DQ4" s="701"/>
      <c r="DR4" s="701"/>
      <c r="DS4" s="701"/>
      <c r="DT4" s="701"/>
      <c r="DU4" s="701"/>
      <c r="DV4" s="701"/>
      <c r="DW4" s="701"/>
      <c r="DX4" s="701"/>
      <c r="DY4" s="701"/>
      <c r="DZ4" s="701"/>
      <c r="EA4" s="701"/>
      <c r="EB4" s="701"/>
      <c r="EC4" s="701"/>
      <c r="ED4" s="701"/>
      <c r="EE4" s="701"/>
      <c r="EF4" s="701"/>
      <c r="EG4" s="701"/>
      <c r="EH4" s="701"/>
      <c r="EI4" s="701"/>
      <c r="EJ4" s="701"/>
      <c r="EK4" s="701"/>
      <c r="EL4" s="701"/>
      <c r="EM4" s="701"/>
      <c r="EN4" s="701"/>
      <c r="EO4" s="701"/>
      <c r="EP4" s="701"/>
      <c r="EQ4" s="701"/>
      <c r="ER4" s="701"/>
      <c r="ES4" s="702"/>
      <c r="ET4" s="703" t="s">
        <v>3</v>
      </c>
      <c r="EU4" s="701"/>
      <c r="EV4" s="701"/>
      <c r="EW4" s="701"/>
      <c r="EX4" s="701"/>
      <c r="EY4" s="701"/>
      <c r="EZ4" s="701"/>
      <c r="FA4" s="701"/>
      <c r="FB4" s="701"/>
      <c r="FC4" s="704"/>
      <c r="FD4" s="6"/>
      <c r="FE4" s="6"/>
    </row>
    <row r="5" spans="1:161" ht="40.5" customHeight="1" x14ac:dyDescent="0.25">
      <c r="A5" s="705" t="s">
        <v>4</v>
      </c>
      <c r="B5" s="695"/>
      <c r="C5" s="695"/>
      <c r="D5" s="695"/>
      <c r="E5" s="695"/>
      <c r="F5" s="696"/>
      <c r="G5" s="706" t="s">
        <v>205</v>
      </c>
      <c r="H5" s="701"/>
      <c r="I5" s="701"/>
      <c r="J5" s="701"/>
      <c r="K5" s="701"/>
      <c r="L5" s="701"/>
      <c r="M5" s="701"/>
      <c r="N5" s="701"/>
      <c r="O5" s="701"/>
      <c r="P5" s="701"/>
      <c r="Q5" s="701"/>
      <c r="R5" s="701"/>
      <c r="S5" s="701"/>
      <c r="T5" s="701"/>
      <c r="U5" s="701"/>
      <c r="V5" s="701"/>
      <c r="W5" s="701"/>
      <c r="X5" s="701"/>
      <c r="Y5" s="701"/>
      <c r="Z5" s="701"/>
      <c r="AA5" s="701"/>
      <c r="AB5" s="701"/>
      <c r="AC5" s="701"/>
      <c r="AD5" s="701"/>
      <c r="AE5" s="701"/>
      <c r="AF5" s="701"/>
      <c r="AG5" s="701"/>
      <c r="AH5" s="701"/>
      <c r="AI5" s="701"/>
      <c r="AJ5" s="701"/>
      <c r="AK5" s="701"/>
      <c r="AL5" s="701"/>
      <c r="AM5" s="701"/>
      <c r="AN5" s="701"/>
      <c r="AO5" s="701"/>
      <c r="AP5" s="701"/>
      <c r="AQ5" s="701"/>
      <c r="AR5" s="701"/>
      <c r="AS5" s="701"/>
      <c r="AT5" s="701"/>
      <c r="AU5" s="701"/>
      <c r="AV5" s="701"/>
      <c r="AW5" s="701"/>
      <c r="AX5" s="701"/>
      <c r="AY5" s="701"/>
      <c r="AZ5" s="701"/>
      <c r="BA5" s="701"/>
      <c r="BB5" s="701"/>
      <c r="BC5" s="701"/>
      <c r="BD5" s="701"/>
      <c r="BE5" s="701"/>
      <c r="BF5" s="701"/>
      <c r="BG5" s="701"/>
      <c r="BH5" s="701"/>
      <c r="BI5" s="701"/>
      <c r="BJ5" s="701"/>
      <c r="BK5" s="701"/>
      <c r="BL5" s="701"/>
      <c r="BM5" s="701"/>
      <c r="BN5" s="701"/>
      <c r="BO5" s="701"/>
      <c r="BP5" s="701"/>
      <c r="BQ5" s="701"/>
      <c r="BR5" s="701"/>
      <c r="BS5" s="701"/>
      <c r="BT5" s="701"/>
      <c r="BU5" s="701"/>
      <c r="BV5" s="701"/>
      <c r="BW5" s="701"/>
      <c r="BX5" s="701"/>
      <c r="BY5" s="701"/>
      <c r="BZ5" s="701"/>
      <c r="CA5" s="701"/>
      <c r="CB5" s="701"/>
      <c r="CC5" s="701"/>
      <c r="CD5" s="701"/>
      <c r="CE5" s="701"/>
      <c r="CF5" s="701"/>
      <c r="CG5" s="701"/>
      <c r="CH5" s="701"/>
      <c r="CI5" s="701"/>
      <c r="CJ5" s="701"/>
      <c r="CK5" s="701"/>
      <c r="CL5" s="701"/>
      <c r="CM5" s="701"/>
      <c r="CN5" s="701"/>
      <c r="CO5" s="701"/>
      <c r="CP5" s="701"/>
      <c r="CQ5" s="701"/>
      <c r="CR5" s="701"/>
      <c r="CS5" s="701"/>
      <c r="CT5" s="701"/>
      <c r="CU5" s="701"/>
      <c r="CV5" s="701"/>
      <c r="CW5" s="701"/>
      <c r="CX5" s="701"/>
      <c r="CY5" s="701"/>
      <c r="CZ5" s="701"/>
      <c r="DA5" s="701"/>
      <c r="DB5" s="701"/>
      <c r="DC5" s="701"/>
      <c r="DD5" s="701"/>
      <c r="DE5" s="701"/>
      <c r="DF5" s="701"/>
      <c r="DG5" s="701"/>
      <c r="DH5" s="701"/>
      <c r="DI5" s="701"/>
      <c r="DJ5" s="701"/>
      <c r="DK5" s="701"/>
      <c r="DL5" s="701"/>
      <c r="DM5" s="701"/>
      <c r="DN5" s="701"/>
      <c r="DO5" s="701"/>
      <c r="DP5" s="701"/>
      <c r="DQ5" s="701"/>
      <c r="DR5" s="701"/>
      <c r="DS5" s="701"/>
      <c r="DT5" s="701"/>
      <c r="DU5" s="701"/>
      <c r="DV5" s="701"/>
      <c r="DW5" s="701"/>
      <c r="DX5" s="701"/>
      <c r="DY5" s="701"/>
      <c r="DZ5" s="701"/>
      <c r="EA5" s="701"/>
      <c r="EB5" s="701"/>
      <c r="EC5" s="701"/>
      <c r="ED5" s="701"/>
      <c r="EE5" s="701"/>
      <c r="EF5" s="701"/>
      <c r="EG5" s="701"/>
      <c r="EH5" s="701"/>
      <c r="EI5" s="701"/>
      <c r="EJ5" s="701"/>
      <c r="EK5" s="701"/>
      <c r="EL5" s="701"/>
      <c r="EM5" s="701"/>
      <c r="EN5" s="701"/>
      <c r="EO5" s="701"/>
      <c r="EP5" s="701"/>
      <c r="EQ5" s="701"/>
      <c r="ER5" s="701"/>
      <c r="ES5" s="701"/>
      <c r="ET5" s="701"/>
      <c r="EU5" s="701"/>
      <c r="EV5" s="701"/>
      <c r="EW5" s="701"/>
      <c r="EX5" s="701"/>
      <c r="EY5" s="701"/>
      <c r="EZ5" s="701"/>
      <c r="FA5" s="701"/>
      <c r="FB5" s="701"/>
      <c r="FC5" s="704"/>
    </row>
    <row r="6" spans="1:161" ht="33" customHeight="1" x14ac:dyDescent="0.25">
      <c r="A6" s="705" t="s">
        <v>5</v>
      </c>
      <c r="B6" s="695"/>
      <c r="C6" s="695"/>
      <c r="D6" s="695"/>
      <c r="E6" s="695"/>
      <c r="F6" s="696"/>
      <c r="G6" s="706" t="s">
        <v>6</v>
      </c>
      <c r="H6" s="701"/>
      <c r="I6" s="701"/>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701"/>
      <c r="AK6" s="701"/>
      <c r="AL6" s="701"/>
      <c r="AM6" s="701"/>
      <c r="AN6" s="701"/>
      <c r="AO6" s="701"/>
      <c r="AP6" s="701"/>
      <c r="AQ6" s="701"/>
      <c r="AR6" s="701"/>
      <c r="AS6" s="701"/>
      <c r="AT6" s="701"/>
      <c r="AU6" s="701"/>
      <c r="AV6" s="701"/>
      <c r="AW6" s="701"/>
      <c r="AX6" s="701"/>
      <c r="AY6" s="701"/>
      <c r="AZ6" s="701"/>
      <c r="BA6" s="701"/>
      <c r="BB6" s="701"/>
      <c r="BC6" s="701"/>
      <c r="BD6" s="701"/>
      <c r="BE6" s="701"/>
      <c r="BF6" s="701"/>
      <c r="BG6" s="701"/>
      <c r="BH6" s="701"/>
      <c r="BI6" s="701"/>
      <c r="BJ6" s="701"/>
      <c r="BK6" s="701"/>
      <c r="BL6" s="701"/>
      <c r="BM6" s="701"/>
      <c r="BN6" s="701"/>
      <c r="BO6" s="701"/>
      <c r="BP6" s="701"/>
      <c r="BQ6" s="701"/>
      <c r="BR6" s="701"/>
      <c r="BS6" s="701"/>
      <c r="BT6" s="701"/>
      <c r="BU6" s="701"/>
      <c r="BV6" s="701"/>
      <c r="BW6" s="701"/>
      <c r="BX6" s="701"/>
      <c r="BY6" s="701"/>
      <c r="BZ6" s="701"/>
      <c r="CA6" s="701"/>
      <c r="CB6" s="701"/>
      <c r="CC6" s="701"/>
      <c r="CD6" s="701"/>
      <c r="CE6" s="701"/>
      <c r="CF6" s="701"/>
      <c r="CG6" s="701"/>
      <c r="CH6" s="701"/>
      <c r="CI6" s="701"/>
      <c r="CJ6" s="701"/>
      <c r="CK6" s="701"/>
      <c r="CL6" s="701"/>
      <c r="CM6" s="701"/>
      <c r="CN6" s="701"/>
      <c r="CO6" s="701"/>
      <c r="CP6" s="701"/>
      <c r="CQ6" s="701"/>
      <c r="CR6" s="701"/>
      <c r="CS6" s="701"/>
      <c r="CT6" s="701"/>
      <c r="CU6" s="701"/>
      <c r="CV6" s="701"/>
      <c r="CW6" s="701"/>
      <c r="CX6" s="701"/>
      <c r="CY6" s="701"/>
      <c r="CZ6" s="701"/>
      <c r="DA6" s="701"/>
      <c r="DB6" s="701"/>
      <c r="DC6" s="701"/>
      <c r="DD6" s="701"/>
      <c r="DE6" s="701"/>
      <c r="DF6" s="701"/>
      <c r="DG6" s="701"/>
      <c r="DH6" s="701"/>
      <c r="DI6" s="701"/>
      <c r="DJ6" s="701"/>
      <c r="DK6" s="701"/>
      <c r="DL6" s="701"/>
      <c r="DM6" s="701"/>
      <c r="DN6" s="701"/>
      <c r="DO6" s="701"/>
      <c r="DP6" s="701"/>
      <c r="DQ6" s="701"/>
      <c r="DR6" s="701"/>
      <c r="DS6" s="701"/>
      <c r="DT6" s="701"/>
      <c r="DU6" s="701"/>
      <c r="DV6" s="701"/>
      <c r="DW6" s="701"/>
      <c r="DX6" s="701"/>
      <c r="DY6" s="701"/>
      <c r="DZ6" s="701"/>
      <c r="EA6" s="701"/>
      <c r="EB6" s="701"/>
      <c r="EC6" s="701"/>
      <c r="ED6" s="701"/>
      <c r="EE6" s="701"/>
      <c r="EF6" s="701"/>
      <c r="EG6" s="701"/>
      <c r="EH6" s="701"/>
      <c r="EI6" s="701"/>
      <c r="EJ6" s="701"/>
      <c r="EK6" s="701"/>
      <c r="EL6" s="701"/>
      <c r="EM6" s="701"/>
      <c r="EN6" s="701"/>
      <c r="EO6" s="701"/>
      <c r="EP6" s="701"/>
      <c r="EQ6" s="701"/>
      <c r="ER6" s="701"/>
      <c r="ES6" s="701"/>
      <c r="ET6" s="701"/>
      <c r="EU6" s="701"/>
      <c r="EV6" s="701"/>
      <c r="EW6" s="701"/>
      <c r="EX6" s="701"/>
      <c r="EY6" s="701"/>
      <c r="EZ6" s="701"/>
      <c r="FA6" s="701"/>
      <c r="FB6" s="701"/>
      <c r="FC6" s="704"/>
    </row>
    <row r="7" spans="1:161" ht="28.5" customHeight="1" x14ac:dyDescent="0.25">
      <c r="A7" s="705" t="s">
        <v>7</v>
      </c>
      <c r="B7" s="695"/>
      <c r="C7" s="695"/>
      <c r="D7" s="695"/>
      <c r="E7" s="695"/>
      <c r="F7" s="696"/>
      <c r="G7" s="706" t="s">
        <v>8</v>
      </c>
      <c r="H7" s="701"/>
      <c r="I7" s="701"/>
      <c r="J7" s="701"/>
      <c r="K7" s="701"/>
      <c r="L7" s="701"/>
      <c r="M7" s="701"/>
      <c r="N7" s="701"/>
      <c r="O7" s="701"/>
      <c r="P7" s="701"/>
      <c r="Q7" s="701"/>
      <c r="R7" s="701"/>
      <c r="S7" s="701"/>
      <c r="T7" s="701"/>
      <c r="U7" s="701"/>
      <c r="V7" s="701"/>
      <c r="W7" s="701"/>
      <c r="X7" s="701"/>
      <c r="Y7" s="701"/>
      <c r="Z7" s="701"/>
      <c r="AA7" s="701"/>
      <c r="AB7" s="701"/>
      <c r="AC7" s="701"/>
      <c r="AD7" s="701"/>
      <c r="AE7" s="701"/>
      <c r="AF7" s="701"/>
      <c r="AG7" s="701"/>
      <c r="AH7" s="701"/>
      <c r="AI7" s="701"/>
      <c r="AJ7" s="701"/>
      <c r="AK7" s="701"/>
      <c r="AL7" s="701"/>
      <c r="AM7" s="701"/>
      <c r="AN7" s="701"/>
      <c r="AO7" s="701"/>
      <c r="AP7" s="701"/>
      <c r="AQ7" s="701"/>
      <c r="AR7" s="701"/>
      <c r="AS7" s="701"/>
      <c r="AT7" s="701"/>
      <c r="AU7" s="701"/>
      <c r="AV7" s="701"/>
      <c r="AW7" s="701"/>
      <c r="AX7" s="701"/>
      <c r="AY7" s="701"/>
      <c r="AZ7" s="701"/>
      <c r="BA7" s="701"/>
      <c r="BB7" s="701"/>
      <c r="BC7" s="701"/>
      <c r="BD7" s="701"/>
      <c r="BE7" s="701"/>
      <c r="BF7" s="701"/>
      <c r="BG7" s="701"/>
      <c r="BH7" s="701"/>
      <c r="BI7" s="701"/>
      <c r="BJ7" s="701"/>
      <c r="BK7" s="701"/>
      <c r="BL7" s="701"/>
      <c r="BM7" s="701"/>
      <c r="BN7" s="701"/>
      <c r="BO7" s="701"/>
      <c r="BP7" s="701"/>
      <c r="BQ7" s="701"/>
      <c r="BR7" s="701"/>
      <c r="BS7" s="701"/>
      <c r="BT7" s="701"/>
      <c r="BU7" s="701"/>
      <c r="BV7" s="701"/>
      <c r="BW7" s="701"/>
      <c r="BX7" s="701"/>
      <c r="BY7" s="701"/>
      <c r="BZ7" s="701"/>
      <c r="CA7" s="701"/>
      <c r="CB7" s="701"/>
      <c r="CC7" s="701"/>
      <c r="CD7" s="701"/>
      <c r="CE7" s="701"/>
      <c r="CF7" s="701"/>
      <c r="CG7" s="701"/>
      <c r="CH7" s="701"/>
      <c r="CI7" s="701"/>
      <c r="CJ7" s="701"/>
      <c r="CK7" s="701"/>
      <c r="CL7" s="701"/>
      <c r="CM7" s="701"/>
      <c r="CN7" s="701"/>
      <c r="CO7" s="701"/>
      <c r="CP7" s="701"/>
      <c r="CQ7" s="701"/>
      <c r="CR7" s="701"/>
      <c r="CS7" s="701"/>
      <c r="CT7" s="701"/>
      <c r="CU7" s="701"/>
      <c r="CV7" s="701"/>
      <c r="CW7" s="701"/>
      <c r="CX7" s="701"/>
      <c r="CY7" s="701"/>
      <c r="CZ7" s="701"/>
      <c r="DA7" s="701"/>
      <c r="DB7" s="701"/>
      <c r="DC7" s="701"/>
      <c r="DD7" s="701"/>
      <c r="DE7" s="701"/>
      <c r="DF7" s="701"/>
      <c r="DG7" s="701"/>
      <c r="DH7" s="701"/>
      <c r="DI7" s="701"/>
      <c r="DJ7" s="701"/>
      <c r="DK7" s="701"/>
      <c r="DL7" s="701"/>
      <c r="DM7" s="701"/>
      <c r="DN7" s="701"/>
      <c r="DO7" s="701"/>
      <c r="DP7" s="701"/>
      <c r="DQ7" s="701"/>
      <c r="DR7" s="701"/>
      <c r="DS7" s="701"/>
      <c r="DT7" s="701"/>
      <c r="DU7" s="701"/>
      <c r="DV7" s="701"/>
      <c r="DW7" s="701"/>
      <c r="DX7" s="701"/>
      <c r="DY7" s="701"/>
      <c r="DZ7" s="701"/>
      <c r="EA7" s="701"/>
      <c r="EB7" s="701"/>
      <c r="EC7" s="701"/>
      <c r="ED7" s="701"/>
      <c r="EE7" s="701"/>
      <c r="EF7" s="701"/>
      <c r="EG7" s="701"/>
      <c r="EH7" s="701"/>
      <c r="EI7" s="701"/>
      <c r="EJ7" s="701"/>
      <c r="EK7" s="701"/>
      <c r="EL7" s="701"/>
      <c r="EM7" s="701"/>
      <c r="EN7" s="701"/>
      <c r="EO7" s="701"/>
      <c r="EP7" s="701"/>
      <c r="EQ7" s="701"/>
      <c r="ER7" s="701"/>
      <c r="ES7" s="701"/>
      <c r="ET7" s="701"/>
      <c r="EU7" s="701"/>
      <c r="EV7" s="701"/>
      <c r="EW7" s="701"/>
      <c r="EX7" s="701"/>
      <c r="EY7" s="701"/>
      <c r="EZ7" s="701"/>
      <c r="FA7" s="701"/>
      <c r="FB7" s="701"/>
      <c r="FC7" s="704"/>
    </row>
    <row r="8" spans="1:161" ht="36" customHeight="1" x14ac:dyDescent="0.25">
      <c r="A8" s="705" t="s">
        <v>9</v>
      </c>
      <c r="B8" s="695"/>
      <c r="C8" s="695"/>
      <c r="D8" s="695"/>
      <c r="E8" s="695"/>
      <c r="F8" s="696"/>
      <c r="G8" s="707" t="s">
        <v>10</v>
      </c>
      <c r="H8" s="692"/>
      <c r="I8" s="692"/>
      <c r="J8" s="692"/>
      <c r="K8" s="692"/>
      <c r="L8" s="692"/>
      <c r="M8" s="692"/>
      <c r="N8" s="692"/>
      <c r="O8" s="692"/>
      <c r="P8" s="692"/>
      <c r="Q8" s="692"/>
      <c r="R8" s="692"/>
      <c r="S8" s="692"/>
      <c r="T8" s="692"/>
      <c r="U8" s="692"/>
      <c r="V8" s="692"/>
      <c r="W8" s="692"/>
      <c r="X8" s="692"/>
      <c r="Y8" s="692"/>
      <c r="Z8" s="692"/>
      <c r="AA8" s="692"/>
      <c r="AB8" s="692"/>
      <c r="AC8" s="692"/>
      <c r="AD8" s="692"/>
      <c r="AE8" s="692"/>
      <c r="AF8" s="692"/>
      <c r="AG8" s="692"/>
      <c r="AH8" s="692"/>
      <c r="AI8" s="692"/>
      <c r="AJ8" s="692"/>
      <c r="AK8" s="692"/>
      <c r="AL8" s="692"/>
      <c r="AM8" s="692"/>
      <c r="AN8" s="692"/>
      <c r="AO8" s="692"/>
      <c r="AP8" s="692"/>
      <c r="AQ8" s="692"/>
      <c r="AR8" s="692"/>
      <c r="AS8" s="692"/>
      <c r="AT8" s="692"/>
      <c r="AU8" s="692"/>
      <c r="AV8" s="692"/>
      <c r="AW8" s="692"/>
      <c r="AX8" s="692"/>
      <c r="AY8" s="692"/>
      <c r="AZ8" s="692"/>
      <c r="BA8" s="692"/>
      <c r="BB8" s="692"/>
      <c r="BC8" s="692"/>
      <c r="BD8" s="692"/>
      <c r="BE8" s="692"/>
      <c r="BF8" s="692"/>
      <c r="BG8" s="692"/>
      <c r="BH8" s="692"/>
      <c r="BI8" s="692"/>
      <c r="BJ8" s="692"/>
      <c r="BK8" s="692"/>
      <c r="BL8" s="692"/>
      <c r="BM8" s="692"/>
      <c r="BN8" s="692"/>
      <c r="BO8" s="692"/>
      <c r="BP8" s="692"/>
      <c r="BQ8" s="692"/>
      <c r="BR8" s="692"/>
      <c r="BS8" s="692"/>
      <c r="BT8" s="692"/>
      <c r="BU8" s="692"/>
      <c r="BV8" s="692"/>
      <c r="BW8" s="692"/>
      <c r="BX8" s="692"/>
      <c r="BY8" s="692"/>
      <c r="BZ8" s="692"/>
      <c r="CA8" s="692"/>
      <c r="CB8" s="692"/>
      <c r="CC8" s="692"/>
      <c r="CD8" s="692"/>
      <c r="CE8" s="692"/>
      <c r="CF8" s="692"/>
      <c r="CG8" s="692"/>
      <c r="CH8" s="692"/>
      <c r="CI8" s="692"/>
      <c r="CJ8" s="692"/>
      <c r="CK8" s="692"/>
      <c r="CL8" s="692"/>
      <c r="CM8" s="692"/>
      <c r="CN8" s="692"/>
      <c r="CO8" s="692"/>
      <c r="CP8" s="692"/>
      <c r="CQ8" s="692"/>
      <c r="CR8" s="692"/>
      <c r="CS8" s="692"/>
      <c r="CT8" s="692"/>
      <c r="CU8" s="692"/>
      <c r="CV8" s="692"/>
      <c r="CW8" s="692"/>
      <c r="CX8" s="692"/>
      <c r="CY8" s="692"/>
      <c r="CZ8" s="692"/>
      <c r="DA8" s="692"/>
      <c r="DB8" s="692"/>
      <c r="DC8" s="692"/>
      <c r="DD8" s="692"/>
      <c r="DE8" s="692"/>
      <c r="DF8" s="692"/>
      <c r="DG8" s="692"/>
      <c r="DH8" s="692"/>
      <c r="DI8" s="692"/>
      <c r="DJ8" s="692"/>
      <c r="DK8" s="692"/>
      <c r="DL8" s="692"/>
      <c r="DM8" s="692"/>
      <c r="DN8" s="692"/>
      <c r="DO8" s="692"/>
      <c r="DP8" s="692"/>
      <c r="DQ8" s="692"/>
      <c r="DR8" s="692"/>
      <c r="DS8" s="692"/>
      <c r="DT8" s="692"/>
      <c r="DU8" s="692"/>
      <c r="DV8" s="692"/>
      <c r="DW8" s="692"/>
      <c r="DX8" s="692"/>
      <c r="DY8" s="692"/>
      <c r="DZ8" s="692"/>
      <c r="EA8" s="692"/>
      <c r="EB8" s="692"/>
      <c r="EC8" s="692"/>
      <c r="ED8" s="692"/>
      <c r="EE8" s="692"/>
      <c r="EF8" s="692"/>
      <c r="EG8" s="692"/>
      <c r="EH8" s="692"/>
      <c r="EI8" s="692"/>
      <c r="EJ8" s="692"/>
      <c r="EK8" s="692"/>
      <c r="EL8" s="692"/>
      <c r="EM8" s="692"/>
      <c r="EN8" s="692"/>
      <c r="EO8" s="692"/>
      <c r="EP8" s="692"/>
      <c r="EQ8" s="692"/>
      <c r="ER8" s="692"/>
      <c r="ES8" s="692"/>
      <c r="ET8" s="692"/>
      <c r="EU8" s="692"/>
      <c r="EV8" s="692"/>
      <c r="EW8" s="692"/>
      <c r="EX8" s="692"/>
      <c r="EY8" s="692"/>
      <c r="EZ8" s="692"/>
      <c r="FA8" s="692"/>
      <c r="FB8" s="692"/>
      <c r="FC8" s="693"/>
    </row>
    <row r="9" spans="1:161" ht="18" x14ac:dyDescent="0.25">
      <c r="A9" s="7"/>
      <c r="B9" s="8"/>
      <c r="C9" s="8"/>
      <c r="D9" s="8"/>
      <c r="E9" s="8"/>
      <c r="F9" s="8"/>
      <c r="G9" s="8"/>
      <c r="H9" s="8"/>
      <c r="I9" s="9"/>
      <c r="J9" s="8"/>
      <c r="K9" s="8"/>
      <c r="L9" s="8"/>
      <c r="M9" s="8"/>
      <c r="N9" s="8"/>
      <c r="O9" s="8"/>
      <c r="P9" s="8"/>
      <c r="Q9" s="8"/>
      <c r="R9" s="8"/>
      <c r="S9" s="8"/>
      <c r="T9" s="8"/>
      <c r="U9" s="9"/>
      <c r="V9" s="8"/>
      <c r="W9" s="8"/>
      <c r="X9" s="8"/>
      <c r="Y9" s="9"/>
      <c r="Z9" s="8"/>
      <c r="AA9" s="8"/>
      <c r="AB9" s="8"/>
      <c r="AC9" s="8"/>
      <c r="AD9" s="8"/>
      <c r="AE9" s="8"/>
      <c r="AF9" s="8"/>
      <c r="AG9" s="8"/>
      <c r="AH9" s="8"/>
      <c r="AI9" s="8"/>
      <c r="AJ9" s="8"/>
      <c r="AK9" s="8"/>
      <c r="AL9" s="8"/>
      <c r="AM9" s="8"/>
      <c r="AN9" s="8"/>
      <c r="AO9" s="8"/>
      <c r="AP9" s="8"/>
      <c r="AQ9" s="8"/>
      <c r="AR9" s="8"/>
      <c r="AS9" s="8"/>
      <c r="AT9" s="8"/>
      <c r="AU9" s="8"/>
      <c r="AV9" s="10"/>
      <c r="AW9" s="8"/>
      <c r="AX9" s="8"/>
      <c r="AY9" s="8"/>
      <c r="AZ9" s="8"/>
      <c r="BA9" s="8"/>
      <c r="BB9" s="11"/>
      <c r="BC9" s="8"/>
      <c r="BD9" s="8"/>
      <c r="BE9" s="8"/>
      <c r="BF9" s="8"/>
      <c r="BG9" s="8"/>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11"/>
      <c r="EZ9" s="11"/>
      <c r="FA9" s="11"/>
      <c r="FB9" s="8"/>
      <c r="FC9" s="8"/>
    </row>
    <row r="10" spans="1:161" ht="36" customHeight="1" x14ac:dyDescent="0.25">
      <c r="A10" s="708" t="s">
        <v>11</v>
      </c>
      <c r="B10" s="701"/>
      <c r="C10" s="701"/>
      <c r="D10" s="701"/>
      <c r="E10" s="701"/>
      <c r="F10" s="701"/>
      <c r="G10" s="701"/>
      <c r="H10" s="701"/>
      <c r="I10" s="704"/>
      <c r="J10" s="717" t="s">
        <v>12</v>
      </c>
      <c r="K10" s="701"/>
      <c r="L10" s="701"/>
      <c r="M10" s="701"/>
      <c r="N10" s="701"/>
      <c r="O10" s="701"/>
      <c r="P10" s="701"/>
      <c r="Q10" s="701"/>
      <c r="R10" s="701"/>
      <c r="S10" s="701"/>
      <c r="T10" s="701"/>
      <c r="U10" s="701"/>
      <c r="V10" s="701"/>
      <c r="W10" s="701"/>
      <c r="X10" s="701"/>
      <c r="Y10" s="701"/>
      <c r="Z10" s="701"/>
      <c r="AA10" s="701"/>
      <c r="AB10" s="701"/>
      <c r="AC10" s="701"/>
      <c r="AD10" s="701"/>
      <c r="AE10" s="701"/>
      <c r="AF10" s="701"/>
      <c r="AG10" s="701"/>
      <c r="AH10" s="701"/>
      <c r="AI10" s="701"/>
      <c r="AJ10" s="701"/>
      <c r="AK10" s="701"/>
      <c r="AL10" s="701"/>
      <c r="AM10" s="701"/>
      <c r="AN10" s="701"/>
      <c r="AO10" s="701"/>
      <c r="AP10" s="701"/>
      <c r="AQ10" s="701"/>
      <c r="AR10" s="701"/>
      <c r="AS10" s="701"/>
      <c r="AT10" s="701"/>
      <c r="AU10" s="701"/>
      <c r="AV10" s="701"/>
      <c r="AW10" s="701"/>
      <c r="AX10" s="701"/>
      <c r="AY10" s="701"/>
      <c r="AZ10" s="701"/>
      <c r="BA10" s="701"/>
      <c r="BB10" s="701"/>
      <c r="BC10" s="701"/>
      <c r="BD10" s="701"/>
      <c r="BE10" s="701"/>
      <c r="BF10" s="701"/>
      <c r="BG10" s="701"/>
      <c r="BH10" s="701"/>
      <c r="BI10" s="701"/>
      <c r="BJ10" s="701"/>
      <c r="BK10" s="701"/>
      <c r="BL10" s="701"/>
      <c r="BM10" s="701"/>
      <c r="BN10" s="701"/>
      <c r="BO10" s="701"/>
      <c r="BP10" s="701"/>
      <c r="BQ10" s="701"/>
      <c r="BR10" s="701"/>
      <c r="BS10" s="701"/>
      <c r="BT10" s="701"/>
      <c r="BU10" s="701"/>
      <c r="BV10" s="701"/>
      <c r="BW10" s="701"/>
      <c r="BX10" s="701"/>
      <c r="BY10" s="701"/>
      <c r="BZ10" s="701"/>
      <c r="CA10" s="701"/>
      <c r="CB10" s="701"/>
      <c r="CC10" s="701"/>
      <c r="CD10" s="701"/>
      <c r="CE10" s="701"/>
      <c r="CF10" s="701"/>
      <c r="CG10" s="701"/>
      <c r="CH10" s="701"/>
      <c r="CI10" s="701"/>
      <c r="CJ10" s="701"/>
      <c r="CK10" s="701"/>
      <c r="CL10" s="701"/>
      <c r="CM10" s="701"/>
      <c r="CN10" s="701"/>
      <c r="CO10" s="701"/>
      <c r="CP10" s="701"/>
      <c r="CQ10" s="701"/>
      <c r="CR10" s="701"/>
      <c r="CS10" s="701"/>
      <c r="CT10" s="701"/>
      <c r="CU10" s="701"/>
      <c r="CV10" s="701"/>
      <c r="CW10" s="701"/>
      <c r="CX10" s="701"/>
      <c r="CY10" s="701"/>
      <c r="CZ10" s="701"/>
      <c r="DA10" s="701"/>
      <c r="DB10" s="701"/>
      <c r="DC10" s="701"/>
      <c r="DD10" s="701"/>
      <c r="DE10" s="701"/>
      <c r="DF10" s="701"/>
      <c r="DG10" s="701"/>
      <c r="DH10" s="701"/>
      <c r="DI10" s="701"/>
      <c r="DJ10" s="701"/>
      <c r="DK10" s="701"/>
      <c r="DL10" s="701"/>
      <c r="DM10" s="701"/>
      <c r="DN10" s="701"/>
      <c r="DO10" s="701"/>
      <c r="DP10" s="701"/>
      <c r="DQ10" s="701"/>
      <c r="DR10" s="701"/>
      <c r="DS10" s="701"/>
      <c r="DT10" s="701"/>
      <c r="DU10" s="701"/>
      <c r="DV10" s="701"/>
      <c r="DW10" s="701"/>
      <c r="DX10" s="701"/>
      <c r="DY10" s="701"/>
      <c r="DZ10" s="701"/>
      <c r="EA10" s="701"/>
      <c r="EB10" s="701"/>
      <c r="EC10" s="701"/>
      <c r="ED10" s="701"/>
      <c r="EE10" s="701"/>
      <c r="EF10" s="701"/>
      <c r="EG10" s="701"/>
      <c r="EH10" s="701"/>
      <c r="EI10" s="701"/>
      <c r="EJ10" s="701"/>
      <c r="EK10" s="701"/>
      <c r="EL10" s="701"/>
      <c r="EM10" s="701"/>
      <c r="EN10" s="701"/>
      <c r="EO10" s="701"/>
      <c r="EP10" s="701"/>
      <c r="EQ10" s="701"/>
      <c r="ER10" s="701"/>
      <c r="ES10" s="704"/>
      <c r="ET10" s="718" t="s">
        <v>13</v>
      </c>
      <c r="EU10" s="718" t="s">
        <v>14</v>
      </c>
      <c r="EV10" s="721" t="s">
        <v>15</v>
      </c>
      <c r="EW10" s="722" t="s">
        <v>16</v>
      </c>
      <c r="EX10" s="721" t="s">
        <v>17</v>
      </c>
      <c r="EY10" s="723" t="s">
        <v>18</v>
      </c>
      <c r="EZ10" s="709" t="s">
        <v>19</v>
      </c>
      <c r="FA10" s="709" t="s">
        <v>20</v>
      </c>
      <c r="FB10" s="709" t="s">
        <v>21</v>
      </c>
      <c r="FC10" s="712" t="s">
        <v>22</v>
      </c>
      <c r="FD10" s="12"/>
      <c r="FE10" s="12"/>
    </row>
    <row r="11" spans="1:161" ht="24.75" customHeight="1" x14ac:dyDescent="0.25">
      <c r="A11" s="708" t="s">
        <v>23</v>
      </c>
      <c r="B11" s="701"/>
      <c r="C11" s="701"/>
      <c r="D11" s="701"/>
      <c r="E11" s="701"/>
      <c r="F11" s="701"/>
      <c r="G11" s="701"/>
      <c r="H11" s="701"/>
      <c r="I11" s="704"/>
      <c r="J11" s="715" t="s">
        <v>24</v>
      </c>
      <c r="K11" s="701"/>
      <c r="L11" s="701"/>
      <c r="M11" s="701"/>
      <c r="N11" s="701"/>
      <c r="O11" s="701"/>
      <c r="P11" s="701"/>
      <c r="Q11" s="701"/>
      <c r="R11" s="701"/>
      <c r="S11" s="701"/>
      <c r="T11" s="701"/>
      <c r="U11" s="701"/>
      <c r="V11" s="701"/>
      <c r="W11" s="701"/>
      <c r="X11" s="701"/>
      <c r="Y11" s="701"/>
      <c r="Z11" s="701"/>
      <c r="AA11" s="701"/>
      <c r="AB11" s="701"/>
      <c r="AC11" s="704"/>
      <c r="AD11" s="715" t="s">
        <v>25</v>
      </c>
      <c r="AE11" s="701"/>
      <c r="AF11" s="701"/>
      <c r="AG11" s="701"/>
      <c r="AH11" s="701"/>
      <c r="AI11" s="701"/>
      <c r="AJ11" s="701"/>
      <c r="AK11" s="701"/>
      <c r="AL11" s="701"/>
      <c r="AM11" s="701"/>
      <c r="AN11" s="701"/>
      <c r="AO11" s="701"/>
      <c r="AP11" s="701"/>
      <c r="AQ11" s="701"/>
      <c r="AR11" s="701"/>
      <c r="AS11" s="701"/>
      <c r="AT11" s="701"/>
      <c r="AU11" s="701"/>
      <c r="AV11" s="701"/>
      <c r="AW11" s="701"/>
      <c r="AX11" s="701"/>
      <c r="AY11" s="701"/>
      <c r="AZ11" s="701"/>
      <c r="BA11" s="701"/>
      <c r="BB11" s="701"/>
      <c r="BC11" s="701"/>
      <c r="BD11" s="701"/>
      <c r="BE11" s="701"/>
      <c r="BF11" s="701"/>
      <c r="BG11" s="704"/>
      <c r="BH11" s="715" t="s">
        <v>26</v>
      </c>
      <c r="BI11" s="701"/>
      <c r="BJ11" s="701"/>
      <c r="BK11" s="701"/>
      <c r="BL11" s="701"/>
      <c r="BM11" s="701"/>
      <c r="BN11" s="701"/>
      <c r="BO11" s="701"/>
      <c r="BP11" s="701"/>
      <c r="BQ11" s="701"/>
      <c r="BR11" s="701"/>
      <c r="BS11" s="701"/>
      <c r="BT11" s="701"/>
      <c r="BU11" s="701"/>
      <c r="BV11" s="701"/>
      <c r="BW11" s="701"/>
      <c r="BX11" s="701"/>
      <c r="BY11" s="701"/>
      <c r="BZ11" s="701"/>
      <c r="CA11" s="701"/>
      <c r="CB11" s="701"/>
      <c r="CC11" s="701"/>
      <c r="CD11" s="701"/>
      <c r="CE11" s="701"/>
      <c r="CF11" s="701"/>
      <c r="CG11" s="701"/>
      <c r="CH11" s="701"/>
      <c r="CI11" s="701"/>
      <c r="CJ11" s="701"/>
      <c r="CK11" s="704"/>
      <c r="CL11" s="716" t="s">
        <v>27</v>
      </c>
      <c r="CM11" s="701"/>
      <c r="CN11" s="701"/>
      <c r="CO11" s="701"/>
      <c r="CP11" s="701"/>
      <c r="CQ11" s="701"/>
      <c r="CR11" s="701"/>
      <c r="CS11" s="701"/>
      <c r="CT11" s="701"/>
      <c r="CU11" s="701"/>
      <c r="CV11" s="701"/>
      <c r="CW11" s="701"/>
      <c r="CX11" s="701"/>
      <c r="CY11" s="701"/>
      <c r="CZ11" s="701"/>
      <c r="DA11" s="701"/>
      <c r="DB11" s="701"/>
      <c r="DC11" s="701"/>
      <c r="DD11" s="701"/>
      <c r="DE11" s="701"/>
      <c r="DF11" s="701"/>
      <c r="DG11" s="701"/>
      <c r="DH11" s="701"/>
      <c r="DI11" s="701"/>
      <c r="DJ11" s="701"/>
      <c r="DK11" s="701"/>
      <c r="DL11" s="701"/>
      <c r="DM11" s="701"/>
      <c r="DN11" s="701"/>
      <c r="DO11" s="702"/>
      <c r="DP11" s="715" t="s">
        <v>28</v>
      </c>
      <c r="DQ11" s="701"/>
      <c r="DR11" s="701"/>
      <c r="DS11" s="701"/>
      <c r="DT11" s="701"/>
      <c r="DU11" s="701"/>
      <c r="DV11" s="701"/>
      <c r="DW11" s="701"/>
      <c r="DX11" s="701"/>
      <c r="DY11" s="701"/>
      <c r="DZ11" s="701"/>
      <c r="EA11" s="701"/>
      <c r="EB11" s="701"/>
      <c r="EC11" s="701"/>
      <c r="ED11" s="701"/>
      <c r="EE11" s="701"/>
      <c r="EF11" s="701"/>
      <c r="EG11" s="701"/>
      <c r="EH11" s="701"/>
      <c r="EI11" s="701"/>
      <c r="EJ11" s="701"/>
      <c r="EK11" s="701"/>
      <c r="EL11" s="701"/>
      <c r="EM11" s="701"/>
      <c r="EN11" s="701"/>
      <c r="EO11" s="701"/>
      <c r="EP11" s="701"/>
      <c r="EQ11" s="701"/>
      <c r="ER11" s="701"/>
      <c r="ES11" s="702"/>
      <c r="ET11" s="719"/>
      <c r="EU11" s="719"/>
      <c r="EV11" s="719"/>
      <c r="EW11" s="719"/>
      <c r="EX11" s="719"/>
      <c r="EY11" s="724"/>
      <c r="EZ11" s="710"/>
      <c r="FA11" s="710"/>
      <c r="FB11" s="710"/>
      <c r="FC11" s="713"/>
      <c r="FD11" s="12"/>
      <c r="FE11" s="12"/>
    </row>
    <row r="12" spans="1:161" ht="123.75" customHeight="1" thickBot="1" x14ac:dyDescent="0.3">
      <c r="A12" s="13" t="s">
        <v>29</v>
      </c>
      <c r="B12" s="13" t="s">
        <v>30</v>
      </c>
      <c r="C12" s="14" t="s">
        <v>31</v>
      </c>
      <c r="D12" s="14" t="s">
        <v>32</v>
      </c>
      <c r="E12" s="14" t="s">
        <v>33</v>
      </c>
      <c r="F12" s="14" t="s">
        <v>34</v>
      </c>
      <c r="G12" s="14" t="s">
        <v>35</v>
      </c>
      <c r="H12" s="14" t="s">
        <v>36</v>
      </c>
      <c r="I12" s="15" t="s">
        <v>37</v>
      </c>
      <c r="J12" s="16" t="s">
        <v>38</v>
      </c>
      <c r="K12" s="17" t="s">
        <v>39</v>
      </c>
      <c r="L12" s="18" t="s">
        <v>40</v>
      </c>
      <c r="M12" s="17" t="s">
        <v>41</v>
      </c>
      <c r="N12" s="18" t="s">
        <v>42</v>
      </c>
      <c r="O12" s="17" t="s">
        <v>43</v>
      </c>
      <c r="P12" s="18" t="s">
        <v>44</v>
      </c>
      <c r="Q12" s="17" t="s">
        <v>45</v>
      </c>
      <c r="R12" s="18" t="s">
        <v>46</v>
      </c>
      <c r="S12" s="17" t="s">
        <v>47</v>
      </c>
      <c r="T12" s="18" t="s">
        <v>48</v>
      </c>
      <c r="U12" s="17" t="s">
        <v>49</v>
      </c>
      <c r="V12" s="18" t="s">
        <v>50</v>
      </c>
      <c r="W12" s="17" t="s">
        <v>51</v>
      </c>
      <c r="X12" s="19" t="s">
        <v>52</v>
      </c>
      <c r="Y12" s="20" t="s">
        <v>53</v>
      </c>
      <c r="Z12" s="21" t="s">
        <v>54</v>
      </c>
      <c r="AA12" s="22" t="s">
        <v>55</v>
      </c>
      <c r="AB12" s="23" t="s">
        <v>56</v>
      </c>
      <c r="AC12" s="22" t="s">
        <v>57</v>
      </c>
      <c r="AD12" s="16" t="s">
        <v>58</v>
      </c>
      <c r="AE12" s="17" t="s">
        <v>59</v>
      </c>
      <c r="AF12" s="18" t="s">
        <v>60</v>
      </c>
      <c r="AG12" s="17" t="s">
        <v>61</v>
      </c>
      <c r="AH12" s="18" t="s">
        <v>62</v>
      </c>
      <c r="AI12" s="17" t="s">
        <v>63</v>
      </c>
      <c r="AJ12" s="18" t="s">
        <v>64</v>
      </c>
      <c r="AK12" s="17" t="s">
        <v>65</v>
      </c>
      <c r="AL12" s="18" t="s">
        <v>66</v>
      </c>
      <c r="AM12" s="17" t="s">
        <v>67</v>
      </c>
      <c r="AN12" s="18" t="s">
        <v>68</v>
      </c>
      <c r="AO12" s="17" t="s">
        <v>69</v>
      </c>
      <c r="AP12" s="18" t="s">
        <v>70</v>
      </c>
      <c r="AQ12" s="17" t="s">
        <v>71</v>
      </c>
      <c r="AR12" s="18" t="s">
        <v>72</v>
      </c>
      <c r="AS12" s="17" t="s">
        <v>73</v>
      </c>
      <c r="AT12" s="18" t="s">
        <v>74</v>
      </c>
      <c r="AU12" s="17" t="s">
        <v>75</v>
      </c>
      <c r="AV12" s="18" t="s">
        <v>76</v>
      </c>
      <c r="AW12" s="17" t="s">
        <v>77</v>
      </c>
      <c r="AX12" s="18" t="s">
        <v>78</v>
      </c>
      <c r="AY12" s="17" t="s">
        <v>79</v>
      </c>
      <c r="AZ12" s="18" t="s">
        <v>80</v>
      </c>
      <c r="BA12" s="17" t="s">
        <v>81</v>
      </c>
      <c r="BB12" s="19" t="s">
        <v>82</v>
      </c>
      <c r="BC12" s="20" t="s">
        <v>53</v>
      </c>
      <c r="BD12" s="24" t="s">
        <v>83</v>
      </c>
      <c r="BE12" s="22" t="s">
        <v>84</v>
      </c>
      <c r="BF12" s="23" t="s">
        <v>85</v>
      </c>
      <c r="BG12" s="22" t="s">
        <v>86</v>
      </c>
      <c r="BH12" s="16" t="s">
        <v>87</v>
      </c>
      <c r="BI12" s="17" t="s">
        <v>88</v>
      </c>
      <c r="BJ12" s="18" t="s">
        <v>89</v>
      </c>
      <c r="BK12" s="17" t="s">
        <v>90</v>
      </c>
      <c r="BL12" s="18" t="s">
        <v>91</v>
      </c>
      <c r="BM12" s="17" t="s">
        <v>92</v>
      </c>
      <c r="BN12" s="18" t="s">
        <v>93</v>
      </c>
      <c r="BO12" s="17" t="s">
        <v>94</v>
      </c>
      <c r="BP12" s="18" t="s">
        <v>95</v>
      </c>
      <c r="BQ12" s="17" t="s">
        <v>96</v>
      </c>
      <c r="BR12" s="18" t="s">
        <v>97</v>
      </c>
      <c r="BS12" s="17" t="s">
        <v>98</v>
      </c>
      <c r="BT12" s="18" t="s">
        <v>99</v>
      </c>
      <c r="BU12" s="17" t="s">
        <v>100</v>
      </c>
      <c r="BV12" s="18" t="s">
        <v>101</v>
      </c>
      <c r="BW12" s="17" t="s">
        <v>102</v>
      </c>
      <c r="BX12" s="18" t="s">
        <v>103</v>
      </c>
      <c r="BY12" s="17" t="s">
        <v>104</v>
      </c>
      <c r="BZ12" s="18" t="s">
        <v>105</v>
      </c>
      <c r="CA12" s="17" t="s">
        <v>106</v>
      </c>
      <c r="CB12" s="18" t="s">
        <v>107</v>
      </c>
      <c r="CC12" s="17" t="s">
        <v>108</v>
      </c>
      <c r="CD12" s="18" t="s">
        <v>109</v>
      </c>
      <c r="CE12" s="17" t="s">
        <v>110</v>
      </c>
      <c r="CF12" s="19" t="s">
        <v>111</v>
      </c>
      <c r="CG12" s="20" t="s">
        <v>53</v>
      </c>
      <c r="CH12" s="23" t="s">
        <v>112</v>
      </c>
      <c r="CI12" s="22" t="s">
        <v>113</v>
      </c>
      <c r="CJ12" s="23" t="s">
        <v>114</v>
      </c>
      <c r="CK12" s="22" t="s">
        <v>115</v>
      </c>
      <c r="CL12" s="25" t="s">
        <v>116</v>
      </c>
      <c r="CM12" s="17" t="s">
        <v>117</v>
      </c>
      <c r="CN12" s="18" t="s">
        <v>118</v>
      </c>
      <c r="CO12" s="17" t="s">
        <v>119</v>
      </c>
      <c r="CP12" s="18" t="s">
        <v>120</v>
      </c>
      <c r="CQ12" s="17" t="s">
        <v>121</v>
      </c>
      <c r="CR12" s="18" t="s">
        <v>122</v>
      </c>
      <c r="CS12" s="17" t="s">
        <v>123</v>
      </c>
      <c r="CT12" s="18" t="s">
        <v>124</v>
      </c>
      <c r="CU12" s="17" t="s">
        <v>125</v>
      </c>
      <c r="CV12" s="18" t="s">
        <v>126</v>
      </c>
      <c r="CW12" s="17" t="s">
        <v>127</v>
      </c>
      <c r="CX12" s="18" t="s">
        <v>128</v>
      </c>
      <c r="CY12" s="17" t="s">
        <v>129</v>
      </c>
      <c r="CZ12" s="18" t="s">
        <v>130</v>
      </c>
      <c r="DA12" s="17" t="s">
        <v>131</v>
      </c>
      <c r="DB12" s="18" t="s">
        <v>132</v>
      </c>
      <c r="DC12" s="17" t="s">
        <v>133</v>
      </c>
      <c r="DD12" s="18" t="s">
        <v>134</v>
      </c>
      <c r="DE12" s="17" t="s">
        <v>135</v>
      </c>
      <c r="DF12" s="18" t="s">
        <v>136</v>
      </c>
      <c r="DG12" s="17" t="s">
        <v>137</v>
      </c>
      <c r="DH12" s="18" t="s">
        <v>138</v>
      </c>
      <c r="DI12" s="17" t="s">
        <v>139</v>
      </c>
      <c r="DJ12" s="19" t="s">
        <v>140</v>
      </c>
      <c r="DK12" s="20" t="s">
        <v>53</v>
      </c>
      <c r="DL12" s="26" t="s">
        <v>141</v>
      </c>
      <c r="DM12" s="27" t="s">
        <v>142</v>
      </c>
      <c r="DN12" s="28" t="s">
        <v>143</v>
      </c>
      <c r="DO12" s="27" t="s">
        <v>144</v>
      </c>
      <c r="DP12" s="25" t="s">
        <v>145</v>
      </c>
      <c r="DQ12" s="17" t="s">
        <v>146</v>
      </c>
      <c r="DR12" s="18" t="s">
        <v>147</v>
      </c>
      <c r="DS12" s="17" t="s">
        <v>148</v>
      </c>
      <c r="DT12" s="18" t="s">
        <v>149</v>
      </c>
      <c r="DU12" s="17" t="s">
        <v>150</v>
      </c>
      <c r="DV12" s="18" t="s">
        <v>151</v>
      </c>
      <c r="DW12" s="17" t="s">
        <v>152</v>
      </c>
      <c r="DX12" s="18" t="s">
        <v>153</v>
      </c>
      <c r="DY12" s="17" t="s">
        <v>154</v>
      </c>
      <c r="DZ12" s="18" t="s">
        <v>155</v>
      </c>
      <c r="EA12" s="17" t="s">
        <v>156</v>
      </c>
      <c r="EB12" s="18" t="s">
        <v>157</v>
      </c>
      <c r="EC12" s="17" t="s">
        <v>158</v>
      </c>
      <c r="ED12" s="18" t="s">
        <v>159</v>
      </c>
      <c r="EE12" s="17" t="s">
        <v>160</v>
      </c>
      <c r="EF12" s="18" t="s">
        <v>161</v>
      </c>
      <c r="EG12" s="17" t="s">
        <v>162</v>
      </c>
      <c r="EH12" s="18" t="s">
        <v>163</v>
      </c>
      <c r="EI12" s="17" t="s">
        <v>164</v>
      </c>
      <c r="EJ12" s="18" t="s">
        <v>165</v>
      </c>
      <c r="EK12" s="17" t="s">
        <v>166</v>
      </c>
      <c r="EL12" s="18" t="s">
        <v>167</v>
      </c>
      <c r="EM12" s="17" t="s">
        <v>168</v>
      </c>
      <c r="EN12" s="19" t="s">
        <v>169</v>
      </c>
      <c r="EO12" s="20" t="s">
        <v>53</v>
      </c>
      <c r="EP12" s="26" t="s">
        <v>170</v>
      </c>
      <c r="EQ12" s="27" t="s">
        <v>171</v>
      </c>
      <c r="ER12" s="28" t="s">
        <v>172</v>
      </c>
      <c r="ES12" s="29" t="s">
        <v>173</v>
      </c>
      <c r="ET12" s="720"/>
      <c r="EU12" s="720"/>
      <c r="EV12" s="720"/>
      <c r="EW12" s="720"/>
      <c r="EX12" s="720"/>
      <c r="EY12" s="725"/>
      <c r="EZ12" s="711"/>
      <c r="FA12" s="711"/>
      <c r="FB12" s="711"/>
      <c r="FC12" s="714"/>
      <c r="FD12" s="12"/>
      <c r="FE12" s="12"/>
    </row>
    <row r="13" spans="1:161" ht="118.5" customHeight="1" x14ac:dyDescent="0.25">
      <c r="A13" s="1385">
        <v>2</v>
      </c>
      <c r="B13" s="1385">
        <v>27</v>
      </c>
      <c r="C13" s="1386">
        <v>198</v>
      </c>
      <c r="D13" s="1387" t="s">
        <v>174</v>
      </c>
      <c r="E13" s="1386">
        <v>212</v>
      </c>
      <c r="F13" s="1387" t="s">
        <v>175</v>
      </c>
      <c r="G13" s="1386" t="s">
        <v>176</v>
      </c>
      <c r="H13" s="1386" t="s">
        <v>177</v>
      </c>
      <c r="I13" s="1388">
        <v>1</v>
      </c>
      <c r="J13" s="1389">
        <f>AB13</f>
        <v>0.15</v>
      </c>
      <c r="K13" s="1390"/>
      <c r="L13" s="1390"/>
      <c r="M13" s="1390">
        <v>0.03</v>
      </c>
      <c r="N13" s="1390">
        <v>0.03</v>
      </c>
      <c r="O13" s="1390">
        <v>0.05</v>
      </c>
      <c r="P13" s="1390">
        <v>0.05</v>
      </c>
      <c r="Q13" s="1390">
        <v>0.08</v>
      </c>
      <c r="R13" s="1390">
        <v>0.08</v>
      </c>
      <c r="S13" s="1390">
        <v>0.1</v>
      </c>
      <c r="T13" s="1390">
        <v>0.1</v>
      </c>
      <c r="U13" s="1390">
        <v>0.13</v>
      </c>
      <c r="V13" s="1390">
        <v>0.13</v>
      </c>
      <c r="W13" s="1389">
        <v>0.15</v>
      </c>
      <c r="X13" s="1391">
        <v>0.15</v>
      </c>
      <c r="Y13" s="1391">
        <v>0.15</v>
      </c>
      <c r="Z13" s="1392">
        <f>+X13/Y13</f>
        <v>1</v>
      </c>
      <c r="AA13" s="1391">
        <v>0.15</v>
      </c>
      <c r="AB13" s="1391">
        <v>0.15</v>
      </c>
      <c r="AC13" s="1393">
        <f>X13</f>
        <v>0.15</v>
      </c>
      <c r="AD13" s="1394">
        <v>0.25</v>
      </c>
      <c r="AE13" s="1394">
        <v>0.02</v>
      </c>
      <c r="AF13" s="1394">
        <v>0.02</v>
      </c>
      <c r="AG13" s="1394">
        <v>0.02</v>
      </c>
      <c r="AH13" s="1394">
        <v>0.02</v>
      </c>
      <c r="AI13" s="1394">
        <v>0.02</v>
      </c>
      <c r="AJ13" s="1394">
        <v>0.02</v>
      </c>
      <c r="AK13" s="1394">
        <v>0.02</v>
      </c>
      <c r="AL13" s="1394">
        <v>0.02</v>
      </c>
      <c r="AM13" s="1395">
        <v>0.02</v>
      </c>
      <c r="AN13" s="1395">
        <v>0.02</v>
      </c>
      <c r="AO13" s="1396">
        <v>0.02</v>
      </c>
      <c r="AP13" s="1396">
        <v>0.02</v>
      </c>
      <c r="AQ13" s="1396">
        <v>0.02</v>
      </c>
      <c r="AR13" s="1396">
        <v>0.02</v>
      </c>
      <c r="AS13" s="1396">
        <v>0.02</v>
      </c>
      <c r="AT13" s="1396">
        <v>0.02</v>
      </c>
      <c r="AU13" s="1396">
        <v>0.02</v>
      </c>
      <c r="AV13" s="1389">
        <v>0.02</v>
      </c>
      <c r="AW13" s="1394">
        <v>0.02</v>
      </c>
      <c r="AX13" s="1394">
        <v>0.02</v>
      </c>
      <c r="AY13" s="1394">
        <v>0.03</v>
      </c>
      <c r="AZ13" s="1394">
        <v>0.03</v>
      </c>
      <c r="BA13" s="1394">
        <v>0.02</v>
      </c>
      <c r="BB13" s="1394">
        <v>0.02</v>
      </c>
      <c r="BC13" s="1393">
        <f>BA13+AY13+AW13+AU13+AQ13+AS13+AO13+AM13+AK13+AI13+AG13+AE13</f>
        <v>0.24999999999999994</v>
      </c>
      <c r="BD13" s="1393">
        <f t="shared" ref="BD13:BE17" si="0">AE13+AG13+AI13+AK13+AM13+AO13+AQ13+AS13+AU13+AW13+AY13+BA13</f>
        <v>0.24999999999999997</v>
      </c>
      <c r="BE13" s="1393">
        <f t="shared" si="0"/>
        <v>0.24999999999999997</v>
      </c>
      <c r="BF13" s="1393">
        <f t="shared" ref="BF13:BG17" si="1">AE13+AG13+AI13+AK13+AM13+AO13+AQ13+AS13+AU13+AW13+AY13+BA13</f>
        <v>0.24999999999999997</v>
      </c>
      <c r="BG13" s="1393">
        <f t="shared" si="1"/>
        <v>0.24999999999999997</v>
      </c>
      <c r="BH13" s="1397">
        <v>0.25</v>
      </c>
      <c r="BI13" s="1393">
        <v>0.01</v>
      </c>
      <c r="BJ13" s="1393">
        <v>0.01</v>
      </c>
      <c r="BK13" s="1393">
        <v>0.02</v>
      </c>
      <c r="BL13" s="1393">
        <v>0.02</v>
      </c>
      <c r="BM13" s="1393">
        <v>0.02</v>
      </c>
      <c r="BN13" s="1393">
        <v>0.02</v>
      </c>
      <c r="BO13" s="1393">
        <v>0.02</v>
      </c>
      <c r="BP13" s="1393">
        <v>0.02</v>
      </c>
      <c r="BQ13" s="1393">
        <v>0.02</v>
      </c>
      <c r="BR13" s="1393">
        <v>0.02</v>
      </c>
      <c r="BS13" s="1393">
        <v>0.03</v>
      </c>
      <c r="BT13" s="1393">
        <v>0.03</v>
      </c>
      <c r="BU13" s="1393">
        <v>0.02</v>
      </c>
      <c r="BV13" s="1393">
        <v>0.02</v>
      </c>
      <c r="BW13" s="1393">
        <v>0.03</v>
      </c>
      <c r="BX13" s="1393">
        <v>0.03</v>
      </c>
      <c r="BY13" s="1393">
        <v>0.02</v>
      </c>
      <c r="BZ13" s="1393">
        <v>0.02</v>
      </c>
      <c r="CA13" s="1393">
        <v>0.03</v>
      </c>
      <c r="CB13" s="1393">
        <v>0.03</v>
      </c>
      <c r="CC13" s="1393">
        <v>0.02</v>
      </c>
      <c r="CD13" s="1393">
        <v>0.02</v>
      </c>
      <c r="CE13" s="1393">
        <v>0.01</v>
      </c>
      <c r="CF13" s="1393">
        <v>0.01</v>
      </c>
      <c r="CG13" s="1393">
        <f>CE13+CC13+CA13+BY13+BU13+BW13+BS13+BQ13+BO13+BM13+BK13+BI13</f>
        <v>0.24999999999999997</v>
      </c>
      <c r="CH13" s="1393">
        <f t="shared" ref="CH13:CI17" si="2">BI13+BK13+BM13+BO13+BQ13+BS13+BU13+BW13+BY13+CA13+CC13+CE13</f>
        <v>0.25</v>
      </c>
      <c r="CI13" s="1393">
        <f t="shared" si="2"/>
        <v>0.25</v>
      </c>
      <c r="CJ13" s="1393">
        <f t="shared" ref="CJ13:CK17" si="3">BI13+BK13+BM13+BO13+BQ13+BS13+BU13+BW13+BY13+CA13+CC13+CE13</f>
        <v>0.25</v>
      </c>
      <c r="CK13" s="1393">
        <f t="shared" si="3"/>
        <v>0.25</v>
      </c>
      <c r="CL13" s="1393">
        <v>0.25</v>
      </c>
      <c r="CM13" s="1393">
        <v>0.01</v>
      </c>
      <c r="CN13" s="1393">
        <v>0.01</v>
      </c>
      <c r="CO13" s="1393">
        <v>0.02</v>
      </c>
      <c r="CP13" s="1393">
        <v>0.02</v>
      </c>
      <c r="CQ13" s="1393">
        <v>0.02</v>
      </c>
      <c r="CR13" s="1393">
        <v>0.02</v>
      </c>
      <c r="CS13" s="1393">
        <v>0.02</v>
      </c>
      <c r="CT13" s="1393">
        <v>0.02</v>
      </c>
      <c r="CU13" s="1393">
        <v>0.02</v>
      </c>
      <c r="CV13" s="1393">
        <v>0.02</v>
      </c>
      <c r="CW13" s="1393">
        <v>0.03</v>
      </c>
      <c r="CX13" s="1393">
        <v>0.03</v>
      </c>
      <c r="CY13" s="1393">
        <v>0.03</v>
      </c>
      <c r="CZ13" s="1393">
        <v>0.03</v>
      </c>
      <c r="DA13" s="1393">
        <v>0.03</v>
      </c>
      <c r="DB13" s="1393">
        <v>0.03</v>
      </c>
      <c r="DC13" s="1393">
        <v>0.02</v>
      </c>
      <c r="DD13" s="1393">
        <v>0.02</v>
      </c>
      <c r="DE13" s="1393">
        <v>0.02</v>
      </c>
      <c r="DF13" s="1393">
        <v>0.02</v>
      </c>
      <c r="DG13" s="1393">
        <v>0.02</v>
      </c>
      <c r="DH13" s="1393">
        <v>0.02</v>
      </c>
      <c r="DI13" s="1393">
        <v>0.01</v>
      </c>
      <c r="DJ13" s="1393">
        <v>0.01</v>
      </c>
      <c r="DK13" s="1393">
        <f>DI13+DG13+DE13+DC13+CY13+DA13+CW13+CU13+CS13+CQ13+CO13+CM13</f>
        <v>0.24999999999999997</v>
      </c>
      <c r="DL13" s="1393">
        <f t="shared" ref="DL13:DM17" si="4">CM13+CO13+CQ13+CS13+CU13+CW13+CY13+DA13+DC13+DE13+DG13+DI13</f>
        <v>0.25</v>
      </c>
      <c r="DM13" s="1393">
        <f t="shared" si="4"/>
        <v>0.25</v>
      </c>
      <c r="DN13" s="1393">
        <f t="shared" ref="DN13:DO17" si="5">CM13+CO13+CQ13+CS13+CU13+CW13+CY13+DA13+DC13+DE13+DG13+DI13</f>
        <v>0.25</v>
      </c>
      <c r="DO13" s="1393">
        <f t="shared" si="5"/>
        <v>0.25</v>
      </c>
      <c r="DP13" s="1398">
        <v>0.1</v>
      </c>
      <c r="DQ13" s="1398">
        <v>0.01</v>
      </c>
      <c r="DR13" s="1398">
        <v>0.01</v>
      </c>
      <c r="DS13" s="1398">
        <v>0.02</v>
      </c>
      <c r="DT13" s="1398">
        <v>0.02</v>
      </c>
      <c r="DU13" s="1398">
        <v>0.02</v>
      </c>
      <c r="DV13" s="1398">
        <v>0.02</v>
      </c>
      <c r="DW13" s="1398">
        <v>0.02</v>
      </c>
      <c r="DX13" s="1398"/>
      <c r="DY13" s="1398">
        <v>0.02</v>
      </c>
      <c r="DZ13" s="1398"/>
      <c r="EA13" s="1398">
        <v>0.01</v>
      </c>
      <c r="EB13" s="1399"/>
      <c r="EC13" s="1399"/>
      <c r="ED13" s="1399"/>
      <c r="EE13" s="1399"/>
      <c r="EF13" s="1399"/>
      <c r="EG13" s="1399"/>
      <c r="EH13" s="1399"/>
      <c r="EI13" s="1399"/>
      <c r="EJ13" s="1399"/>
      <c r="EK13" s="1399"/>
      <c r="EL13" s="1399"/>
      <c r="EM13" s="1399"/>
      <c r="EN13" s="1399"/>
      <c r="EO13" s="1393">
        <f>DQ13+DS13+DU13+DW13+DY13+EA13</f>
        <v>0.1</v>
      </c>
      <c r="EP13" s="1393">
        <f>+DQ13+DS13+DU13</f>
        <v>0.05</v>
      </c>
      <c r="EQ13" s="1393">
        <f>+DR13+DT13+DV13</f>
        <v>0.05</v>
      </c>
      <c r="ER13" s="1393">
        <f>DQ13+DS13+DU13+DW13+DY13+EA13+EC13+EE13+EG13+EI13+EK13+EM13</f>
        <v>0.1</v>
      </c>
      <c r="ES13" s="1393">
        <f t="shared" ref="ER13:ES17" si="6">DR13+DT13+DV13+DX13+DZ13+EB13+ED13+EF13+EH13+EJ13+EL13+EN13</f>
        <v>0.05</v>
      </c>
      <c r="ET13" s="1400">
        <f>DV13/DU13</f>
        <v>1</v>
      </c>
      <c r="EU13" s="1400">
        <f>EQ13/EP13</f>
        <v>1</v>
      </c>
      <c r="EV13" s="1401">
        <f>ES13/ER13</f>
        <v>0.5</v>
      </c>
      <c r="EW13" s="1401">
        <f>(AC13+BG13+CK13+DO13+EQ13)/(AB13+BF13+CJ13+DN13+EP13)</f>
        <v>1</v>
      </c>
      <c r="EX13" s="1401">
        <f>(AC13+BG13+CK13+DO13+ES13)/I13</f>
        <v>0.95</v>
      </c>
      <c r="EY13" s="1402" t="s">
        <v>1599</v>
      </c>
      <c r="EZ13" s="1403" t="s">
        <v>178</v>
      </c>
      <c r="FA13" s="1403" t="s">
        <v>178</v>
      </c>
      <c r="FB13" s="1404" t="s">
        <v>1457</v>
      </c>
      <c r="FC13" s="1404" t="s">
        <v>372</v>
      </c>
      <c r="FD13" s="12"/>
      <c r="FE13" s="12"/>
    </row>
    <row r="14" spans="1:161" ht="118.5" customHeight="1" x14ac:dyDescent="0.25">
      <c r="A14" s="1018"/>
      <c r="B14" s="1018"/>
      <c r="C14" s="1386">
        <v>199</v>
      </c>
      <c r="D14" s="1387" t="s">
        <v>179</v>
      </c>
      <c r="E14" s="1386">
        <v>213</v>
      </c>
      <c r="F14" s="1387" t="s">
        <v>180</v>
      </c>
      <c r="G14" s="1386" t="s">
        <v>176</v>
      </c>
      <c r="H14" s="1386" t="s">
        <v>177</v>
      </c>
      <c r="I14" s="1388">
        <v>1</v>
      </c>
      <c r="J14" s="1389">
        <f>AB14</f>
        <v>0.05</v>
      </c>
      <c r="K14" s="1390"/>
      <c r="L14" s="1390"/>
      <c r="M14" s="1390">
        <v>0</v>
      </c>
      <c r="N14" s="1390">
        <v>0</v>
      </c>
      <c r="O14" s="1390">
        <v>0.01</v>
      </c>
      <c r="P14" s="1390">
        <v>0.01</v>
      </c>
      <c r="Q14" s="1390">
        <v>0.02</v>
      </c>
      <c r="R14" s="1390">
        <v>0.02</v>
      </c>
      <c r="S14" s="1390">
        <v>0.03</v>
      </c>
      <c r="T14" s="1390">
        <v>0.03</v>
      </c>
      <c r="U14" s="1390">
        <v>0.04</v>
      </c>
      <c r="V14" s="1390">
        <v>0.04</v>
      </c>
      <c r="W14" s="1389">
        <v>0.05</v>
      </c>
      <c r="X14" s="1391">
        <v>0.05</v>
      </c>
      <c r="Y14" s="1391">
        <v>0.05</v>
      </c>
      <c r="Z14" s="1392">
        <f>+X14/Y14</f>
        <v>1</v>
      </c>
      <c r="AA14" s="1391">
        <v>0.05</v>
      </c>
      <c r="AB14" s="1391">
        <v>0.05</v>
      </c>
      <c r="AC14" s="1393">
        <f>X14</f>
        <v>0.05</v>
      </c>
      <c r="AD14" s="1394">
        <v>0.3</v>
      </c>
      <c r="AE14" s="1394">
        <v>0.01</v>
      </c>
      <c r="AF14" s="1394">
        <v>0.01</v>
      </c>
      <c r="AG14" s="1394">
        <v>0.06</v>
      </c>
      <c r="AH14" s="1394">
        <v>0.06</v>
      </c>
      <c r="AI14" s="1394">
        <v>0.01</v>
      </c>
      <c r="AJ14" s="1394">
        <v>0.01</v>
      </c>
      <c r="AK14" s="1394">
        <v>0.01</v>
      </c>
      <c r="AL14" s="1394">
        <v>0.01</v>
      </c>
      <c r="AM14" s="1394">
        <v>0.01</v>
      </c>
      <c r="AN14" s="1394">
        <v>0.01</v>
      </c>
      <c r="AO14" s="1396">
        <v>0.01</v>
      </c>
      <c r="AP14" s="1396">
        <v>0.01</v>
      </c>
      <c r="AQ14" s="1396">
        <v>0.1</v>
      </c>
      <c r="AR14" s="1396">
        <v>0.1</v>
      </c>
      <c r="AS14" s="1396">
        <v>0.01</v>
      </c>
      <c r="AT14" s="1396">
        <v>0.01</v>
      </c>
      <c r="AU14" s="1396">
        <v>0.01</v>
      </c>
      <c r="AV14" s="1405">
        <v>0.01</v>
      </c>
      <c r="AW14" s="1406">
        <v>0.05</v>
      </c>
      <c r="AX14" s="1406">
        <v>0.05</v>
      </c>
      <c r="AY14" s="1406">
        <v>0.01</v>
      </c>
      <c r="AZ14" s="1406">
        <v>0.01</v>
      </c>
      <c r="BA14" s="1406">
        <v>0.01</v>
      </c>
      <c r="BB14" s="1406">
        <v>0.01</v>
      </c>
      <c r="BC14" s="1393">
        <f>BA14+AY14+AW14+AU14+AQ14+AS14+AO14+AM14+AK14+AI14+AG14+AE14</f>
        <v>0.30000000000000004</v>
      </c>
      <c r="BD14" s="1393">
        <f t="shared" si="0"/>
        <v>0.3</v>
      </c>
      <c r="BE14" s="1393">
        <f t="shared" si="0"/>
        <v>0.3</v>
      </c>
      <c r="BF14" s="1393">
        <f t="shared" si="1"/>
        <v>0.3</v>
      </c>
      <c r="BG14" s="1393">
        <f t="shared" si="1"/>
        <v>0.3</v>
      </c>
      <c r="BH14" s="1397">
        <v>0.3</v>
      </c>
      <c r="BI14" s="1393">
        <v>0.01</v>
      </c>
      <c r="BJ14" s="1393">
        <v>0.01</v>
      </c>
      <c r="BK14" s="1393">
        <v>0.01</v>
      </c>
      <c r="BL14" s="1393">
        <v>0.01</v>
      </c>
      <c r="BM14" s="1393">
        <v>0.01</v>
      </c>
      <c r="BN14" s="1393">
        <v>0.01</v>
      </c>
      <c r="BO14" s="1393">
        <v>0.01</v>
      </c>
      <c r="BP14" s="1393">
        <v>0.01</v>
      </c>
      <c r="BQ14" s="1393">
        <v>0.02</v>
      </c>
      <c r="BR14" s="1393">
        <v>0.02</v>
      </c>
      <c r="BS14" s="1393">
        <v>0.02</v>
      </c>
      <c r="BT14" s="1393">
        <v>0.02</v>
      </c>
      <c r="BU14" s="1393">
        <v>0.03</v>
      </c>
      <c r="BV14" s="1393">
        <v>0.03</v>
      </c>
      <c r="BW14" s="1393">
        <v>0.1</v>
      </c>
      <c r="BX14" s="1393">
        <v>0.1</v>
      </c>
      <c r="BY14" s="1393">
        <v>0.01</v>
      </c>
      <c r="BZ14" s="1393">
        <v>0.01</v>
      </c>
      <c r="CA14" s="1393">
        <v>0.05</v>
      </c>
      <c r="CB14" s="1393">
        <v>0.05</v>
      </c>
      <c r="CC14" s="1393">
        <v>0.02</v>
      </c>
      <c r="CD14" s="1393">
        <v>0.02</v>
      </c>
      <c r="CE14" s="1393">
        <v>0.01</v>
      </c>
      <c r="CF14" s="1393">
        <v>0.01</v>
      </c>
      <c r="CG14" s="1393">
        <f>CE14+CC14+CA14+BY14+BU14+BW14+BS14+BQ14+BO14+BM14+BK14+BI14</f>
        <v>0.30000000000000004</v>
      </c>
      <c r="CH14" s="1393">
        <f t="shared" si="2"/>
        <v>0.30000000000000004</v>
      </c>
      <c r="CI14" s="1393">
        <f t="shared" si="2"/>
        <v>0.30000000000000004</v>
      </c>
      <c r="CJ14" s="1393">
        <f t="shared" si="3"/>
        <v>0.30000000000000004</v>
      </c>
      <c r="CK14" s="1393">
        <f t="shared" si="3"/>
        <v>0.30000000000000004</v>
      </c>
      <c r="CL14" s="1393">
        <v>0.3</v>
      </c>
      <c r="CM14" s="1393">
        <v>0.02</v>
      </c>
      <c r="CN14" s="1393">
        <v>0.02</v>
      </c>
      <c r="CO14" s="1393">
        <v>0.02</v>
      </c>
      <c r="CP14" s="1393">
        <v>0.02</v>
      </c>
      <c r="CQ14" s="1393">
        <v>0.03</v>
      </c>
      <c r="CR14" s="1393">
        <v>0.03</v>
      </c>
      <c r="CS14" s="1393">
        <v>0.04</v>
      </c>
      <c r="CT14" s="1393">
        <v>0.04</v>
      </c>
      <c r="CU14" s="1393">
        <v>0.03</v>
      </c>
      <c r="CV14" s="1393">
        <v>0.04</v>
      </c>
      <c r="CW14" s="1393">
        <v>0.03</v>
      </c>
      <c r="CX14" s="1393">
        <v>0.03</v>
      </c>
      <c r="CY14" s="1393">
        <v>0.02</v>
      </c>
      <c r="CZ14" s="1393">
        <v>0.02</v>
      </c>
      <c r="DA14" s="1393">
        <v>0.04</v>
      </c>
      <c r="DB14" s="1393">
        <v>0.04</v>
      </c>
      <c r="DC14" s="1393">
        <v>0.03</v>
      </c>
      <c r="DD14" s="1393">
        <v>0.03</v>
      </c>
      <c r="DE14" s="1393">
        <v>0.02</v>
      </c>
      <c r="DF14" s="1393">
        <v>0.02</v>
      </c>
      <c r="DG14" s="1393">
        <v>0.01</v>
      </c>
      <c r="DH14" s="1407">
        <v>5.0000000000000001E-3</v>
      </c>
      <c r="DI14" s="1393">
        <v>0.01</v>
      </c>
      <c r="DJ14" s="1407">
        <v>5.0000000000000001E-3</v>
      </c>
      <c r="DK14" s="1393">
        <f>DI14+DG14+DE14+DC14+CY14+DA14+CW14+CU14+CS14+CQ14+CO14+CM14</f>
        <v>0.30000000000000004</v>
      </c>
      <c r="DL14" s="1393">
        <f t="shared" si="4"/>
        <v>0.30000000000000004</v>
      </c>
      <c r="DM14" s="1393">
        <f t="shared" si="4"/>
        <v>0.30000000000000004</v>
      </c>
      <c r="DN14" s="1393">
        <f t="shared" si="5"/>
        <v>0.30000000000000004</v>
      </c>
      <c r="DO14" s="1393">
        <f t="shared" si="5"/>
        <v>0.30000000000000004</v>
      </c>
      <c r="DP14" s="1393">
        <v>0.05</v>
      </c>
      <c r="DQ14" s="1408">
        <v>0</v>
      </c>
      <c r="DR14" s="1409">
        <v>0</v>
      </c>
      <c r="DS14" s="1410">
        <v>0.01</v>
      </c>
      <c r="DT14" s="1410">
        <v>0.01</v>
      </c>
      <c r="DU14" s="1410">
        <v>0.01</v>
      </c>
      <c r="DV14" s="1410">
        <v>0.01</v>
      </c>
      <c r="DW14" s="1410">
        <v>0.01</v>
      </c>
      <c r="DX14" s="1410"/>
      <c r="DY14" s="1410">
        <v>0.01</v>
      </c>
      <c r="DZ14" s="1410"/>
      <c r="EA14" s="1410">
        <v>0.01</v>
      </c>
      <c r="EB14" s="1399"/>
      <c r="EC14" s="1399"/>
      <c r="ED14" s="1399"/>
      <c r="EE14" s="1399"/>
      <c r="EF14" s="1399"/>
      <c r="EG14" s="1399"/>
      <c r="EH14" s="1399"/>
      <c r="EI14" s="1399"/>
      <c r="EJ14" s="1399"/>
      <c r="EK14" s="1399"/>
      <c r="EL14" s="1399"/>
      <c r="EM14" s="1399"/>
      <c r="EN14" s="1399"/>
      <c r="EO14" s="1393">
        <f>DQ14+DS14+DU14+DW14+DY14+EA14</f>
        <v>0.05</v>
      </c>
      <c r="EP14" s="1393">
        <f t="shared" ref="EP14:EP17" si="7">+DQ14+DS14+DU14</f>
        <v>0.02</v>
      </c>
      <c r="EQ14" s="1393">
        <f t="shared" ref="EQ14:EQ17" si="8">+DR14+DT14+DV14</f>
        <v>0.02</v>
      </c>
      <c r="ER14" s="1393">
        <f t="shared" si="6"/>
        <v>0.05</v>
      </c>
      <c r="ES14" s="1393">
        <f t="shared" si="6"/>
        <v>0.02</v>
      </c>
      <c r="ET14" s="1400">
        <f t="shared" ref="ET14:ET17" si="9">DV14/DU14</f>
        <v>1</v>
      </c>
      <c r="EU14" s="1400">
        <f t="shared" ref="EU14:EU17" si="10">EQ14/EP14</f>
        <v>1</v>
      </c>
      <c r="EV14" s="1401">
        <f t="shared" ref="EV14:EV17" si="11">ES14/ER14</f>
        <v>0.39999999999999997</v>
      </c>
      <c r="EW14" s="1401">
        <f t="shared" ref="EW14:EW17" si="12">(AC14+BG14+CK14+DO14+EQ14)/(AB14+BF14+CJ14+DN14+EP14)</f>
        <v>1</v>
      </c>
      <c r="EX14" s="1401">
        <f t="shared" ref="EX14:EX17" si="13">(AC14+BG14+CK14+DO14+ES14)/I14</f>
        <v>0.97000000000000008</v>
      </c>
      <c r="EY14" s="1411" t="s">
        <v>1600</v>
      </c>
      <c r="EZ14" s="1198" t="s">
        <v>178</v>
      </c>
      <c r="FA14" s="1198" t="s">
        <v>178</v>
      </c>
      <c r="FB14" s="1412" t="s">
        <v>181</v>
      </c>
      <c r="FC14" s="1412" t="s">
        <v>182</v>
      </c>
      <c r="FD14" s="12"/>
      <c r="FE14" s="12"/>
    </row>
    <row r="15" spans="1:161" ht="118.5" customHeight="1" x14ac:dyDescent="0.25">
      <c r="A15" s="1018"/>
      <c r="B15" s="1018"/>
      <c r="C15" s="1413">
        <v>200</v>
      </c>
      <c r="D15" s="1385" t="s">
        <v>183</v>
      </c>
      <c r="E15" s="1386">
        <v>214</v>
      </c>
      <c r="F15" s="1387" t="s">
        <v>184</v>
      </c>
      <c r="G15" s="1386" t="s">
        <v>185</v>
      </c>
      <c r="H15" s="1386" t="s">
        <v>177</v>
      </c>
      <c r="I15" s="1388">
        <v>600</v>
      </c>
      <c r="J15" s="1389">
        <f>AB15</f>
        <v>66</v>
      </c>
      <c r="K15" s="1414"/>
      <c r="L15" s="1414"/>
      <c r="M15" s="1414">
        <v>11</v>
      </c>
      <c r="N15" s="1414">
        <v>11</v>
      </c>
      <c r="O15" s="1414">
        <v>22</v>
      </c>
      <c r="P15" s="1414">
        <v>22</v>
      </c>
      <c r="Q15" s="1414">
        <v>33</v>
      </c>
      <c r="R15" s="1414">
        <v>33</v>
      </c>
      <c r="S15" s="1414">
        <v>44</v>
      </c>
      <c r="T15" s="1414">
        <v>44</v>
      </c>
      <c r="U15" s="1414">
        <v>55</v>
      </c>
      <c r="V15" s="1414">
        <v>55</v>
      </c>
      <c r="W15" s="1389">
        <v>66</v>
      </c>
      <c r="X15" s="1391">
        <v>66</v>
      </c>
      <c r="Y15" s="1391">
        <v>66</v>
      </c>
      <c r="Z15" s="1392">
        <f>+X15/Y15</f>
        <v>1</v>
      </c>
      <c r="AA15" s="1391">
        <v>66</v>
      </c>
      <c r="AB15" s="1391">
        <v>66</v>
      </c>
      <c r="AC15" s="1393">
        <f>X15</f>
        <v>66</v>
      </c>
      <c r="AD15" s="1415">
        <v>109</v>
      </c>
      <c r="AE15" s="1415">
        <v>5</v>
      </c>
      <c r="AF15" s="1415">
        <v>5</v>
      </c>
      <c r="AG15" s="1415">
        <v>8</v>
      </c>
      <c r="AH15" s="1415">
        <v>8</v>
      </c>
      <c r="AI15" s="1415">
        <v>10</v>
      </c>
      <c r="AJ15" s="1415">
        <v>10</v>
      </c>
      <c r="AK15" s="1415">
        <v>10</v>
      </c>
      <c r="AL15" s="1415">
        <v>10</v>
      </c>
      <c r="AM15" s="1415">
        <v>10</v>
      </c>
      <c r="AN15" s="1416">
        <v>10</v>
      </c>
      <c r="AO15" s="1416">
        <v>10</v>
      </c>
      <c r="AP15" s="1416">
        <v>10</v>
      </c>
      <c r="AQ15" s="1416">
        <v>10</v>
      </c>
      <c r="AR15" s="1416">
        <v>10</v>
      </c>
      <c r="AS15" s="1416">
        <v>10</v>
      </c>
      <c r="AT15" s="1417">
        <v>10</v>
      </c>
      <c r="AU15" s="1416">
        <v>10</v>
      </c>
      <c r="AV15" s="1389">
        <v>10</v>
      </c>
      <c r="AW15" s="1394">
        <v>10</v>
      </c>
      <c r="AX15" s="1394">
        <v>10</v>
      </c>
      <c r="AY15" s="1394">
        <v>10</v>
      </c>
      <c r="AZ15" s="1394">
        <v>10</v>
      </c>
      <c r="BA15" s="1394">
        <v>10</v>
      </c>
      <c r="BB15" s="1394">
        <v>10</v>
      </c>
      <c r="BC15" s="1418">
        <f>BA15+AY15+AW15+AU15+AQ15+AS15+AO15+AM15+AK15+AI15+AG15+AE15</f>
        <v>113</v>
      </c>
      <c r="BD15" s="1393">
        <f t="shared" si="0"/>
        <v>113</v>
      </c>
      <c r="BE15" s="1393">
        <f t="shared" si="0"/>
        <v>113</v>
      </c>
      <c r="BF15" s="1393">
        <f t="shared" si="1"/>
        <v>113</v>
      </c>
      <c r="BG15" s="1393">
        <f t="shared" si="1"/>
        <v>113</v>
      </c>
      <c r="BH15" s="1419">
        <v>150</v>
      </c>
      <c r="BI15" s="1399">
        <v>0</v>
      </c>
      <c r="BJ15" s="1399">
        <v>0</v>
      </c>
      <c r="BK15" s="1399">
        <v>14</v>
      </c>
      <c r="BL15" s="1399">
        <v>14</v>
      </c>
      <c r="BM15" s="1399">
        <v>14</v>
      </c>
      <c r="BN15" s="1399">
        <v>14</v>
      </c>
      <c r="BO15" s="1399">
        <v>14</v>
      </c>
      <c r="BP15" s="1399">
        <v>14</v>
      </c>
      <c r="BQ15" s="1399">
        <v>14</v>
      </c>
      <c r="BR15" s="1399">
        <v>14</v>
      </c>
      <c r="BS15" s="1399">
        <v>14</v>
      </c>
      <c r="BT15" s="1399">
        <v>14</v>
      </c>
      <c r="BU15" s="1399">
        <v>14</v>
      </c>
      <c r="BV15" s="1399">
        <v>14</v>
      </c>
      <c r="BW15" s="1399">
        <v>14</v>
      </c>
      <c r="BX15" s="1399">
        <v>14</v>
      </c>
      <c r="BY15" s="1399">
        <v>14</v>
      </c>
      <c r="BZ15" s="1399">
        <v>14</v>
      </c>
      <c r="CA15" s="1399">
        <v>14</v>
      </c>
      <c r="CB15" s="1399">
        <v>14</v>
      </c>
      <c r="CC15" s="1399">
        <v>14</v>
      </c>
      <c r="CD15" s="1399">
        <v>14</v>
      </c>
      <c r="CE15" s="1399">
        <v>10</v>
      </c>
      <c r="CF15" s="1399">
        <v>10</v>
      </c>
      <c r="CG15" s="1418">
        <f>CE15+CC15+CA15+BY15+BU15+BW15+BS15+BQ15+BO15+BM15+BK15+BI15</f>
        <v>150</v>
      </c>
      <c r="CH15" s="1393">
        <f t="shared" si="2"/>
        <v>150</v>
      </c>
      <c r="CI15" s="1393">
        <f t="shared" si="2"/>
        <v>150</v>
      </c>
      <c r="CJ15" s="1393">
        <f t="shared" si="3"/>
        <v>150</v>
      </c>
      <c r="CK15" s="1393">
        <f t="shared" si="3"/>
        <v>150</v>
      </c>
      <c r="CL15" s="1399">
        <v>190</v>
      </c>
      <c r="CM15" s="1399">
        <v>5</v>
      </c>
      <c r="CN15" s="1399">
        <v>5</v>
      </c>
      <c r="CO15" s="1399">
        <v>17</v>
      </c>
      <c r="CP15" s="1399">
        <v>17</v>
      </c>
      <c r="CQ15" s="1399">
        <v>18</v>
      </c>
      <c r="CR15" s="1399">
        <v>18</v>
      </c>
      <c r="CS15" s="1399">
        <v>17</v>
      </c>
      <c r="CT15" s="1399">
        <v>17</v>
      </c>
      <c r="CU15" s="1399">
        <v>18</v>
      </c>
      <c r="CV15" s="1399">
        <v>18</v>
      </c>
      <c r="CW15" s="1399">
        <v>17</v>
      </c>
      <c r="CX15" s="1399">
        <v>18</v>
      </c>
      <c r="CY15" s="1399">
        <v>18</v>
      </c>
      <c r="CZ15" s="1399">
        <v>18</v>
      </c>
      <c r="DA15" s="1399">
        <v>17</v>
      </c>
      <c r="DB15" s="1399">
        <v>18</v>
      </c>
      <c r="DC15" s="1399">
        <v>18</v>
      </c>
      <c r="DD15" s="1399">
        <v>18</v>
      </c>
      <c r="DE15" s="1399">
        <v>17</v>
      </c>
      <c r="DF15" s="1399">
        <v>18</v>
      </c>
      <c r="DG15" s="1399">
        <v>18</v>
      </c>
      <c r="DH15" s="1399">
        <v>10</v>
      </c>
      <c r="DI15" s="1399">
        <v>10</v>
      </c>
      <c r="DJ15" s="1399">
        <v>10</v>
      </c>
      <c r="DK15" s="1393">
        <f>DI15+DG15+DE15+DC15+CY15+DA15+CW15+CU15+CS15+CQ15+CO15+CM15</f>
        <v>190</v>
      </c>
      <c r="DL15" s="1393">
        <f t="shared" si="4"/>
        <v>190</v>
      </c>
      <c r="DM15" s="1393">
        <f t="shared" si="4"/>
        <v>185</v>
      </c>
      <c r="DN15" s="1393">
        <f t="shared" si="5"/>
        <v>190</v>
      </c>
      <c r="DO15" s="1393">
        <f t="shared" si="5"/>
        <v>185</v>
      </c>
      <c r="DP15" s="1398">
        <v>86</v>
      </c>
      <c r="DQ15" s="1420">
        <v>17</v>
      </c>
      <c r="DR15" s="1421">
        <v>17</v>
      </c>
      <c r="DS15" s="1410">
        <v>14</v>
      </c>
      <c r="DT15" s="1410">
        <v>14</v>
      </c>
      <c r="DU15" s="1410">
        <v>14</v>
      </c>
      <c r="DV15" s="1410">
        <v>14</v>
      </c>
      <c r="DW15" s="1410">
        <v>14</v>
      </c>
      <c r="DX15" s="1410"/>
      <c r="DY15" s="1410">
        <v>14</v>
      </c>
      <c r="DZ15" s="1410"/>
      <c r="EA15" s="1410">
        <v>13</v>
      </c>
      <c r="EB15" s="1393"/>
      <c r="EC15" s="1393"/>
      <c r="ED15" s="1393"/>
      <c r="EE15" s="1393"/>
      <c r="EF15" s="1393"/>
      <c r="EG15" s="1393"/>
      <c r="EH15" s="1393"/>
      <c r="EI15" s="1399"/>
      <c r="EJ15" s="1399"/>
      <c r="EK15" s="1399"/>
      <c r="EL15" s="1399"/>
      <c r="EM15" s="1399"/>
      <c r="EN15" s="1399"/>
      <c r="EO15" s="1399">
        <f>DQ15+DS15+DU15+DW15+DY15+EA15</f>
        <v>86</v>
      </c>
      <c r="EP15" s="1393">
        <f t="shared" si="7"/>
        <v>45</v>
      </c>
      <c r="EQ15" s="1393">
        <f t="shared" si="8"/>
        <v>45</v>
      </c>
      <c r="ER15" s="1393">
        <f t="shared" si="6"/>
        <v>86</v>
      </c>
      <c r="ES15" s="1393">
        <f t="shared" si="6"/>
        <v>45</v>
      </c>
      <c r="ET15" s="1400">
        <f t="shared" si="9"/>
        <v>1</v>
      </c>
      <c r="EU15" s="1400">
        <f t="shared" si="10"/>
        <v>1</v>
      </c>
      <c r="EV15" s="1401">
        <f t="shared" si="11"/>
        <v>0.52325581395348841</v>
      </c>
      <c r="EW15" s="1401">
        <f t="shared" si="12"/>
        <v>0.99113475177304966</v>
      </c>
      <c r="EX15" s="1401">
        <f t="shared" si="13"/>
        <v>0.93166666666666664</v>
      </c>
      <c r="EY15" s="1411" t="s">
        <v>1601</v>
      </c>
      <c r="EZ15" s="1198" t="s">
        <v>178</v>
      </c>
      <c r="FA15" s="1198" t="s">
        <v>178</v>
      </c>
      <c r="FB15" s="1412" t="s">
        <v>186</v>
      </c>
      <c r="FC15" s="1412" t="s">
        <v>187</v>
      </c>
      <c r="FD15" s="12"/>
      <c r="FE15" s="12"/>
    </row>
    <row r="16" spans="1:161" ht="118.5" customHeight="1" x14ac:dyDescent="0.25">
      <c r="A16" s="1018"/>
      <c r="B16" s="1018"/>
      <c r="C16" s="1048"/>
      <c r="D16" s="1048"/>
      <c r="E16" s="1386">
        <v>215</v>
      </c>
      <c r="F16" s="1387" t="s">
        <v>188</v>
      </c>
      <c r="G16" s="1386" t="s">
        <v>185</v>
      </c>
      <c r="H16" s="1386" t="s">
        <v>177</v>
      </c>
      <c r="I16" s="1388">
        <v>400</v>
      </c>
      <c r="J16" s="1389">
        <f>AB16</f>
        <v>20</v>
      </c>
      <c r="K16" s="1414"/>
      <c r="L16" s="1414"/>
      <c r="M16" s="1414">
        <v>0</v>
      </c>
      <c r="N16" s="1414">
        <v>0</v>
      </c>
      <c r="O16" s="1414">
        <v>0</v>
      </c>
      <c r="P16" s="1414">
        <v>0</v>
      </c>
      <c r="Q16" s="1414">
        <v>2</v>
      </c>
      <c r="R16" s="1414">
        <v>2</v>
      </c>
      <c r="S16" s="1414">
        <v>6</v>
      </c>
      <c r="T16" s="1414">
        <v>6</v>
      </c>
      <c r="U16" s="1414">
        <v>12</v>
      </c>
      <c r="V16" s="1414">
        <v>12</v>
      </c>
      <c r="W16" s="1422">
        <v>20</v>
      </c>
      <c r="X16" s="1423">
        <v>20</v>
      </c>
      <c r="Y16" s="1423">
        <v>20</v>
      </c>
      <c r="Z16" s="1392">
        <f>+X16/Y16</f>
        <v>1</v>
      </c>
      <c r="AA16" s="1423">
        <v>20</v>
      </c>
      <c r="AB16" s="1423">
        <v>20</v>
      </c>
      <c r="AC16" s="1393">
        <f>X16</f>
        <v>20</v>
      </c>
      <c r="AD16" s="1415">
        <v>77</v>
      </c>
      <c r="AE16" s="1415">
        <v>5</v>
      </c>
      <c r="AF16" s="1415">
        <v>5</v>
      </c>
      <c r="AG16" s="1415">
        <v>6</v>
      </c>
      <c r="AH16" s="1415">
        <v>6</v>
      </c>
      <c r="AI16" s="1415">
        <v>7</v>
      </c>
      <c r="AJ16" s="1415">
        <v>7</v>
      </c>
      <c r="AK16" s="1415">
        <v>7</v>
      </c>
      <c r="AL16" s="1415">
        <v>7</v>
      </c>
      <c r="AM16" s="1424">
        <v>7</v>
      </c>
      <c r="AN16" s="1424">
        <v>7</v>
      </c>
      <c r="AO16" s="1424">
        <v>7</v>
      </c>
      <c r="AP16" s="1424">
        <v>7</v>
      </c>
      <c r="AQ16" s="1424">
        <v>7</v>
      </c>
      <c r="AR16" s="1424">
        <v>7</v>
      </c>
      <c r="AS16" s="1424">
        <v>7</v>
      </c>
      <c r="AT16" s="1424">
        <v>7</v>
      </c>
      <c r="AU16" s="1424">
        <v>7</v>
      </c>
      <c r="AV16" s="1425">
        <v>7</v>
      </c>
      <c r="AW16" s="1425">
        <v>6</v>
      </c>
      <c r="AX16" s="1425">
        <v>7</v>
      </c>
      <c r="AY16" s="1425">
        <v>6</v>
      </c>
      <c r="AZ16" s="1425">
        <v>5</v>
      </c>
      <c r="BA16" s="1425">
        <v>6</v>
      </c>
      <c r="BB16" s="1425">
        <v>6</v>
      </c>
      <c r="BC16" s="1418">
        <f>BA16+AY16+AW16+AU16+AQ16+AS16+AO16+AM16+AK16+AI16+AG16+AE16</f>
        <v>78</v>
      </c>
      <c r="BD16" s="1393">
        <f t="shared" si="0"/>
        <v>78</v>
      </c>
      <c r="BE16" s="1393">
        <f t="shared" si="0"/>
        <v>78</v>
      </c>
      <c r="BF16" s="1393">
        <f t="shared" si="1"/>
        <v>78</v>
      </c>
      <c r="BG16" s="1393">
        <f t="shared" si="1"/>
        <v>78</v>
      </c>
      <c r="BH16" s="1426">
        <v>100</v>
      </c>
      <c r="BI16" s="1426">
        <v>0</v>
      </c>
      <c r="BJ16" s="1426">
        <v>0</v>
      </c>
      <c r="BK16" s="1426">
        <v>10</v>
      </c>
      <c r="BL16" s="1426">
        <v>10</v>
      </c>
      <c r="BM16" s="1426">
        <v>9</v>
      </c>
      <c r="BN16" s="1426">
        <v>10</v>
      </c>
      <c r="BO16" s="1426">
        <v>9</v>
      </c>
      <c r="BP16" s="1426">
        <v>10</v>
      </c>
      <c r="BQ16" s="1426">
        <v>9</v>
      </c>
      <c r="BR16" s="1426">
        <v>10</v>
      </c>
      <c r="BS16" s="1426">
        <v>9</v>
      </c>
      <c r="BT16" s="1426">
        <v>10</v>
      </c>
      <c r="BU16" s="1426">
        <v>9</v>
      </c>
      <c r="BV16" s="1426">
        <v>10</v>
      </c>
      <c r="BW16" s="1426">
        <v>9</v>
      </c>
      <c r="BX16" s="1426">
        <v>10</v>
      </c>
      <c r="BY16" s="1426">
        <v>9</v>
      </c>
      <c r="BZ16" s="1426">
        <v>10</v>
      </c>
      <c r="CA16" s="1426">
        <v>9</v>
      </c>
      <c r="CB16" s="1426">
        <v>10</v>
      </c>
      <c r="CC16" s="1426">
        <v>9</v>
      </c>
      <c r="CD16" s="1426">
        <v>9</v>
      </c>
      <c r="CE16" s="1426">
        <v>18</v>
      </c>
      <c r="CF16" s="1426">
        <v>10</v>
      </c>
      <c r="CG16" s="1418">
        <f>CE16+CC16+CA16+BY16+BU16+BW16+BS16+BQ16+BO16+BM16+BK16+BI16</f>
        <v>109</v>
      </c>
      <c r="CH16" s="1393">
        <f t="shared" si="2"/>
        <v>109</v>
      </c>
      <c r="CI16" s="1393">
        <f t="shared" si="2"/>
        <v>109</v>
      </c>
      <c r="CJ16" s="1393">
        <f t="shared" si="3"/>
        <v>109</v>
      </c>
      <c r="CK16" s="1393">
        <f t="shared" si="3"/>
        <v>109</v>
      </c>
      <c r="CL16" s="1399">
        <v>140</v>
      </c>
      <c r="CM16" s="1426">
        <v>0</v>
      </c>
      <c r="CN16" s="1426">
        <v>0</v>
      </c>
      <c r="CO16" s="1426">
        <v>13</v>
      </c>
      <c r="CP16" s="1426">
        <v>13</v>
      </c>
      <c r="CQ16" s="1426">
        <v>13</v>
      </c>
      <c r="CR16" s="1426">
        <v>13</v>
      </c>
      <c r="CS16" s="1426">
        <v>13</v>
      </c>
      <c r="CT16" s="1426">
        <v>13</v>
      </c>
      <c r="CU16" s="1426">
        <v>13</v>
      </c>
      <c r="CV16" s="1426">
        <v>13</v>
      </c>
      <c r="CW16" s="1426">
        <v>13</v>
      </c>
      <c r="CX16" s="1426">
        <v>13</v>
      </c>
      <c r="CY16" s="1426">
        <v>13</v>
      </c>
      <c r="CZ16" s="1426">
        <v>13</v>
      </c>
      <c r="DA16" s="1426">
        <v>13</v>
      </c>
      <c r="DB16" s="1426">
        <v>13</v>
      </c>
      <c r="DC16" s="1426">
        <v>13</v>
      </c>
      <c r="DD16" s="1426">
        <v>13</v>
      </c>
      <c r="DE16" s="1426">
        <v>13</v>
      </c>
      <c r="DF16" s="1426">
        <v>13</v>
      </c>
      <c r="DG16" s="1426">
        <v>13</v>
      </c>
      <c r="DH16" s="1426">
        <v>10</v>
      </c>
      <c r="DI16" s="1426">
        <v>10</v>
      </c>
      <c r="DJ16" s="1426">
        <v>10</v>
      </c>
      <c r="DK16" s="1393">
        <f>DI16+DG16+DE16+DC16+CY16+DA16+CW16+CU16+CS16+CQ16+CO16+CM16</f>
        <v>140</v>
      </c>
      <c r="DL16" s="1393">
        <f t="shared" si="4"/>
        <v>140</v>
      </c>
      <c r="DM16" s="1393">
        <f t="shared" si="4"/>
        <v>137</v>
      </c>
      <c r="DN16" s="1393">
        <f t="shared" si="5"/>
        <v>140</v>
      </c>
      <c r="DO16" s="1393">
        <f t="shared" si="5"/>
        <v>137</v>
      </c>
      <c r="DP16" s="1427">
        <v>56</v>
      </c>
      <c r="DQ16" s="1428">
        <v>10</v>
      </c>
      <c r="DR16" s="1429">
        <v>10</v>
      </c>
      <c r="DS16" s="1430">
        <v>10</v>
      </c>
      <c r="DT16" s="1430">
        <v>10</v>
      </c>
      <c r="DU16" s="1430">
        <v>10</v>
      </c>
      <c r="DV16" s="1430">
        <v>10</v>
      </c>
      <c r="DW16" s="1430">
        <v>10</v>
      </c>
      <c r="DX16" s="1430"/>
      <c r="DY16" s="1430">
        <v>10</v>
      </c>
      <c r="DZ16" s="1430"/>
      <c r="EA16" s="1430">
        <v>6</v>
      </c>
      <c r="EB16" s="1426"/>
      <c r="EC16" s="1426"/>
      <c r="ED16" s="1426"/>
      <c r="EE16" s="1426"/>
      <c r="EF16" s="1426"/>
      <c r="EG16" s="1426"/>
      <c r="EH16" s="1426"/>
      <c r="EI16" s="1426"/>
      <c r="EJ16" s="1426"/>
      <c r="EK16" s="1426"/>
      <c r="EL16" s="1426"/>
      <c r="EM16" s="1426"/>
      <c r="EN16" s="1426"/>
      <c r="EO16" s="1399">
        <f>DQ16+DS16+DU16+DW16+DY16+EA16</f>
        <v>56</v>
      </c>
      <c r="EP16" s="1393">
        <f t="shared" si="7"/>
        <v>30</v>
      </c>
      <c r="EQ16" s="1393">
        <f t="shared" si="8"/>
        <v>30</v>
      </c>
      <c r="ER16" s="1393">
        <f t="shared" si="6"/>
        <v>56</v>
      </c>
      <c r="ES16" s="1393">
        <f t="shared" si="6"/>
        <v>30</v>
      </c>
      <c r="ET16" s="1400">
        <f t="shared" si="9"/>
        <v>1</v>
      </c>
      <c r="EU16" s="1400">
        <f t="shared" si="10"/>
        <v>1</v>
      </c>
      <c r="EV16" s="1401">
        <f t="shared" si="11"/>
        <v>0.5357142857142857</v>
      </c>
      <c r="EW16" s="1401">
        <f t="shared" si="12"/>
        <v>0.99204244031830235</v>
      </c>
      <c r="EX16" s="1401">
        <f t="shared" si="13"/>
        <v>0.93500000000000005</v>
      </c>
      <c r="EY16" s="1411" t="s">
        <v>1602</v>
      </c>
      <c r="EZ16" s="1198" t="s">
        <v>178</v>
      </c>
      <c r="FA16" s="1198" t="s">
        <v>178</v>
      </c>
      <c r="FB16" s="1412" t="s">
        <v>189</v>
      </c>
      <c r="FC16" s="1198" t="s">
        <v>187</v>
      </c>
      <c r="FD16" s="12"/>
      <c r="FE16" s="12"/>
    </row>
    <row r="17" spans="1:161" ht="118.5" customHeight="1" thickBot="1" x14ac:dyDescent="0.3">
      <c r="A17" s="1048"/>
      <c r="B17" s="1048"/>
      <c r="C17" s="1386">
        <v>201</v>
      </c>
      <c r="D17" s="1387" t="s">
        <v>190</v>
      </c>
      <c r="E17" s="1386">
        <v>216</v>
      </c>
      <c r="F17" s="1387" t="s">
        <v>191</v>
      </c>
      <c r="G17" s="1386" t="s">
        <v>192</v>
      </c>
      <c r="H17" s="1386" t="s">
        <v>177</v>
      </c>
      <c r="I17" s="1388">
        <f>+J17+AD17+BH17+CL17+DP17</f>
        <v>19976</v>
      </c>
      <c r="J17" s="1389">
        <f>AB17</f>
        <v>2500</v>
      </c>
      <c r="K17" s="1414"/>
      <c r="L17" s="1414"/>
      <c r="M17" s="1414">
        <v>0</v>
      </c>
      <c r="N17" s="1414">
        <v>0</v>
      </c>
      <c r="O17" s="1414">
        <v>741</v>
      </c>
      <c r="P17" s="1414">
        <v>741</v>
      </c>
      <c r="Q17" s="1414">
        <v>1257</v>
      </c>
      <c r="R17" s="1414">
        <v>1257</v>
      </c>
      <c r="S17" s="1414">
        <v>1908</v>
      </c>
      <c r="T17" s="1414">
        <v>1908</v>
      </c>
      <c r="U17" s="1414">
        <v>2210</v>
      </c>
      <c r="V17" s="1414">
        <v>2210</v>
      </c>
      <c r="W17" s="1388">
        <v>2500</v>
      </c>
      <c r="X17" s="1391">
        <v>2500</v>
      </c>
      <c r="Y17" s="1391">
        <v>2500</v>
      </c>
      <c r="Z17" s="1392">
        <f>+X17/Y17</f>
        <v>1</v>
      </c>
      <c r="AA17" s="1391">
        <v>2500</v>
      </c>
      <c r="AB17" s="1391">
        <v>2500</v>
      </c>
      <c r="AC17" s="1393">
        <f>X17</f>
        <v>2500</v>
      </c>
      <c r="AD17" s="1415">
        <v>3500</v>
      </c>
      <c r="AE17" s="1415">
        <v>246</v>
      </c>
      <c r="AF17" s="1415">
        <v>246</v>
      </c>
      <c r="AG17" s="1415">
        <v>301</v>
      </c>
      <c r="AH17" s="1415">
        <v>301</v>
      </c>
      <c r="AI17" s="1415">
        <v>296</v>
      </c>
      <c r="AJ17" s="1415">
        <v>296</v>
      </c>
      <c r="AK17" s="1415">
        <v>300</v>
      </c>
      <c r="AL17" s="1415">
        <v>300</v>
      </c>
      <c r="AM17" s="1415">
        <v>320</v>
      </c>
      <c r="AN17" s="1417">
        <v>320</v>
      </c>
      <c r="AO17" s="1417">
        <v>297</v>
      </c>
      <c r="AP17" s="1417">
        <v>297</v>
      </c>
      <c r="AQ17" s="1417">
        <v>290</v>
      </c>
      <c r="AR17" s="1417">
        <v>293</v>
      </c>
      <c r="AS17" s="1417">
        <v>290</v>
      </c>
      <c r="AT17" s="1417">
        <v>311</v>
      </c>
      <c r="AU17" s="1417">
        <v>290</v>
      </c>
      <c r="AV17" s="1389">
        <v>295</v>
      </c>
      <c r="AW17" s="1417">
        <v>290</v>
      </c>
      <c r="AX17" s="1389">
        <v>292</v>
      </c>
      <c r="AY17" s="1417">
        <v>290</v>
      </c>
      <c r="AZ17" s="1389">
        <v>291</v>
      </c>
      <c r="BA17" s="1417">
        <v>330</v>
      </c>
      <c r="BB17" s="1389">
        <v>298</v>
      </c>
      <c r="BC17" s="1418">
        <f>BA17+AY17+AW17+AU17+AQ17+AS17+AO17+AM17+AK17+AI17+AG17+AE17</f>
        <v>3540</v>
      </c>
      <c r="BD17" s="1393">
        <f t="shared" si="0"/>
        <v>3540</v>
      </c>
      <c r="BE17" s="1393">
        <f t="shared" si="0"/>
        <v>3540</v>
      </c>
      <c r="BF17" s="1393">
        <f t="shared" si="1"/>
        <v>3540</v>
      </c>
      <c r="BG17" s="1393">
        <f t="shared" si="1"/>
        <v>3540</v>
      </c>
      <c r="BH17" s="1419">
        <v>5000</v>
      </c>
      <c r="BI17" s="1431">
        <v>40</v>
      </c>
      <c r="BJ17" s="1431">
        <v>40</v>
      </c>
      <c r="BK17" s="1432">
        <v>460</v>
      </c>
      <c r="BL17" s="1432">
        <v>464</v>
      </c>
      <c r="BM17" s="1432">
        <v>450</v>
      </c>
      <c r="BN17" s="1432">
        <v>452</v>
      </c>
      <c r="BO17" s="1432">
        <v>450</v>
      </c>
      <c r="BP17" s="1432">
        <v>448</v>
      </c>
      <c r="BQ17" s="1432">
        <v>450</v>
      </c>
      <c r="BR17" s="1432">
        <v>457</v>
      </c>
      <c r="BS17" s="1432">
        <v>450</v>
      </c>
      <c r="BT17" s="1432">
        <v>451</v>
      </c>
      <c r="BU17" s="1432">
        <v>450</v>
      </c>
      <c r="BV17" s="1432">
        <v>455</v>
      </c>
      <c r="BW17" s="1432">
        <v>450</v>
      </c>
      <c r="BX17" s="1432">
        <v>475</v>
      </c>
      <c r="BY17" s="1432">
        <v>450</v>
      </c>
      <c r="BZ17" s="1432">
        <v>460</v>
      </c>
      <c r="CA17" s="1432">
        <v>450</v>
      </c>
      <c r="CB17" s="1432">
        <v>450</v>
      </c>
      <c r="CC17" s="1432">
        <v>450</v>
      </c>
      <c r="CD17" s="1432">
        <v>450</v>
      </c>
      <c r="CE17" s="1431">
        <f>450+62</f>
        <v>512</v>
      </c>
      <c r="CF17" s="1419">
        <v>460</v>
      </c>
      <c r="CG17" s="1418">
        <f>CE17+CC17+CA17+BY17+BU17+BW17+BS17+BQ17+BO17+BM17+BK17+BI17</f>
        <v>5062</v>
      </c>
      <c r="CH17" s="1393">
        <f t="shared" si="2"/>
        <v>5062</v>
      </c>
      <c r="CI17" s="1393">
        <f t="shared" si="2"/>
        <v>5062</v>
      </c>
      <c r="CJ17" s="1393">
        <f t="shared" si="3"/>
        <v>5062</v>
      </c>
      <c r="CK17" s="1393">
        <f t="shared" si="3"/>
        <v>5062</v>
      </c>
      <c r="CL17" s="1432">
        <v>6000</v>
      </c>
      <c r="CM17" s="1432">
        <v>0</v>
      </c>
      <c r="CN17" s="1432">
        <v>0</v>
      </c>
      <c r="CO17" s="1432">
        <v>600</v>
      </c>
      <c r="CP17" s="1432">
        <v>600</v>
      </c>
      <c r="CQ17" s="1432">
        <v>650</v>
      </c>
      <c r="CR17" s="1432">
        <v>650</v>
      </c>
      <c r="CS17" s="1432">
        <v>575</v>
      </c>
      <c r="CT17" s="1432">
        <v>600</v>
      </c>
      <c r="CU17" s="1432">
        <v>575</v>
      </c>
      <c r="CV17" s="1432">
        <v>600</v>
      </c>
      <c r="CW17" s="1432">
        <v>575</v>
      </c>
      <c r="CX17" s="1432">
        <v>615</v>
      </c>
      <c r="CY17" s="1432">
        <v>575</v>
      </c>
      <c r="CZ17" s="1433">
        <v>575</v>
      </c>
      <c r="DA17" s="1432">
        <v>575</v>
      </c>
      <c r="DB17" s="1432">
        <v>671</v>
      </c>
      <c r="DC17" s="1432">
        <v>575</v>
      </c>
      <c r="DD17" s="1432">
        <v>585</v>
      </c>
      <c r="DE17" s="1432">
        <v>575</v>
      </c>
      <c r="DF17" s="1432">
        <v>611</v>
      </c>
      <c r="DG17" s="1432">
        <v>575</v>
      </c>
      <c r="DH17" s="1432">
        <v>223</v>
      </c>
      <c r="DI17" s="1432">
        <v>150</v>
      </c>
      <c r="DJ17" s="1432">
        <v>192</v>
      </c>
      <c r="DK17" s="1393">
        <f>DI17+DG17+DE17+DC17+CY17+DA17+CW17+CU17+CS17+CQ17+CO17+CM17</f>
        <v>6000</v>
      </c>
      <c r="DL17" s="1393">
        <f t="shared" si="4"/>
        <v>6000</v>
      </c>
      <c r="DM17" s="1393">
        <f t="shared" si="4"/>
        <v>5922</v>
      </c>
      <c r="DN17" s="1393">
        <f t="shared" si="5"/>
        <v>6000</v>
      </c>
      <c r="DO17" s="1393">
        <f t="shared" si="5"/>
        <v>5922</v>
      </c>
      <c r="DP17" s="1434">
        <v>2976</v>
      </c>
      <c r="DQ17" s="1435">
        <v>600</v>
      </c>
      <c r="DR17" s="1436">
        <v>600</v>
      </c>
      <c r="DS17" s="1437">
        <v>500</v>
      </c>
      <c r="DT17" s="1437">
        <v>500</v>
      </c>
      <c r="DU17" s="1437">
        <v>500</v>
      </c>
      <c r="DV17" s="1437">
        <v>512</v>
      </c>
      <c r="DW17" s="1437">
        <v>500</v>
      </c>
      <c r="DX17" s="1437"/>
      <c r="DY17" s="1437">
        <v>500</v>
      </c>
      <c r="DZ17" s="1437"/>
      <c r="EA17" s="1437">
        <v>376</v>
      </c>
      <c r="EB17" s="1432"/>
      <c r="EC17" s="1432"/>
      <c r="ED17" s="1432"/>
      <c r="EE17" s="1432"/>
      <c r="EF17" s="1432"/>
      <c r="EG17" s="1432"/>
      <c r="EH17" s="1432"/>
      <c r="EI17" s="1432"/>
      <c r="EJ17" s="1432"/>
      <c r="EK17" s="1432"/>
      <c r="EL17" s="1432"/>
      <c r="EM17" s="1432"/>
      <c r="EN17" s="1432"/>
      <c r="EO17" s="1399">
        <f>DQ17+DS17+DU17+DW17+DY17+EA17</f>
        <v>2976</v>
      </c>
      <c r="EP17" s="1393">
        <f t="shared" si="7"/>
        <v>1600</v>
      </c>
      <c r="EQ17" s="1393">
        <f t="shared" si="8"/>
        <v>1612</v>
      </c>
      <c r="ER17" s="1393">
        <f t="shared" si="6"/>
        <v>2976</v>
      </c>
      <c r="ES17" s="1393">
        <f t="shared" si="6"/>
        <v>1612</v>
      </c>
      <c r="ET17" s="1400">
        <f t="shared" si="9"/>
        <v>1.024</v>
      </c>
      <c r="EU17" s="1400">
        <f t="shared" si="10"/>
        <v>1.0075000000000001</v>
      </c>
      <c r="EV17" s="1401">
        <f t="shared" si="11"/>
        <v>0.54166666666666663</v>
      </c>
      <c r="EW17" s="1401">
        <f t="shared" si="12"/>
        <v>0.99647096567212068</v>
      </c>
      <c r="EX17" s="1401">
        <f t="shared" si="13"/>
        <v>0.93291950340408492</v>
      </c>
      <c r="EY17" s="1438" t="s">
        <v>1550</v>
      </c>
      <c r="EZ17" s="1198" t="s">
        <v>178</v>
      </c>
      <c r="FA17" s="1198" t="s">
        <v>178</v>
      </c>
      <c r="FB17" s="1412" t="s">
        <v>193</v>
      </c>
      <c r="FC17" s="1198" t="s">
        <v>194</v>
      </c>
      <c r="FD17" s="12"/>
      <c r="FE17" s="12"/>
    </row>
    <row r="18" spans="1:161" ht="35.25" customHeight="1" x14ac:dyDescent="0.25">
      <c r="A18" s="31"/>
      <c r="B18" s="31"/>
      <c r="C18" s="32"/>
      <c r="D18" s="33"/>
      <c r="E18" s="34"/>
      <c r="F18" s="35"/>
      <c r="G18" s="36"/>
      <c r="H18" s="37"/>
      <c r="I18" s="32"/>
      <c r="J18" s="32"/>
      <c r="K18" s="32"/>
      <c r="L18" s="32"/>
      <c r="M18" s="32"/>
      <c r="N18" s="32"/>
      <c r="O18" s="32"/>
      <c r="P18" s="32"/>
      <c r="Q18" s="32"/>
      <c r="R18" s="32"/>
      <c r="S18" s="32"/>
      <c r="T18" s="32"/>
      <c r="U18" s="32"/>
      <c r="V18" s="38"/>
      <c r="W18" s="32"/>
      <c r="X18" s="38"/>
      <c r="Y18" s="32"/>
      <c r="Z18" s="32"/>
      <c r="AA18" s="32"/>
      <c r="AB18" s="32"/>
      <c r="AC18" s="38"/>
      <c r="AD18" s="32"/>
      <c r="AE18" s="32"/>
      <c r="AF18" s="32"/>
      <c r="AG18" s="32"/>
      <c r="AH18" s="32"/>
      <c r="AI18" s="32"/>
      <c r="AJ18" s="32"/>
      <c r="AK18" s="32"/>
      <c r="AL18" s="32"/>
      <c r="AM18" s="32"/>
      <c r="AN18" s="32"/>
      <c r="AO18" s="32"/>
      <c r="AP18" s="32"/>
      <c r="AQ18" s="32"/>
      <c r="AR18" s="32"/>
      <c r="AS18" s="32"/>
      <c r="AT18" s="32"/>
      <c r="AU18" s="32"/>
      <c r="AV18" s="39"/>
      <c r="AW18" s="32"/>
      <c r="AX18" s="32"/>
      <c r="AY18" s="32"/>
      <c r="AZ18" s="32"/>
      <c r="BA18" s="32"/>
      <c r="BB18" s="39"/>
      <c r="BC18" s="40"/>
      <c r="BD18" s="40"/>
      <c r="BE18" s="40"/>
      <c r="BF18" s="40"/>
      <c r="BG18" s="38"/>
      <c r="BH18" s="41"/>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38"/>
      <c r="CH18" s="38"/>
      <c r="CI18" s="38"/>
      <c r="CJ18" s="38"/>
      <c r="CK18" s="38"/>
      <c r="CL18" s="43"/>
      <c r="CM18" s="32"/>
      <c r="CN18" s="32"/>
      <c r="CO18" s="32"/>
      <c r="CP18" s="32"/>
      <c r="CQ18" s="32"/>
      <c r="CR18" s="44"/>
      <c r="CS18" s="32"/>
      <c r="CT18" s="32"/>
      <c r="CU18" s="32"/>
      <c r="CV18" s="32"/>
      <c r="CW18" s="32"/>
      <c r="CX18" s="44"/>
      <c r="CY18" s="32"/>
      <c r="CZ18" s="32"/>
      <c r="DA18" s="32"/>
      <c r="DB18" s="32"/>
      <c r="DC18" s="32"/>
      <c r="DD18" s="32"/>
      <c r="DE18" s="32"/>
      <c r="DF18" s="32"/>
      <c r="DG18" s="32"/>
      <c r="DH18" s="44"/>
      <c r="DI18" s="37"/>
      <c r="DJ18" s="32"/>
      <c r="DK18" s="32"/>
      <c r="DL18" s="32"/>
      <c r="DM18" s="32"/>
      <c r="DN18" s="32"/>
      <c r="DO18" s="32"/>
      <c r="DP18" s="43"/>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45"/>
      <c r="EU18" s="45"/>
      <c r="EV18" s="46"/>
      <c r="EW18" s="47"/>
      <c r="EX18" s="47"/>
      <c r="EY18" s="48"/>
      <c r="EZ18" s="49"/>
      <c r="FA18" s="49"/>
      <c r="FB18" s="50"/>
      <c r="FC18" s="51"/>
      <c r="FD18" s="34"/>
      <c r="FE18" s="34"/>
    </row>
    <row r="19" spans="1:161" ht="26.25" x14ac:dyDescent="0.4">
      <c r="D19" s="52" t="s">
        <v>195</v>
      </c>
      <c r="I19" s="3"/>
      <c r="J19" s="3"/>
      <c r="K19" s="3"/>
      <c r="L19" s="3"/>
      <c r="M19" s="3"/>
      <c r="N19" s="3"/>
      <c r="O19" s="3"/>
      <c r="P19" s="3"/>
      <c r="Q19" s="3"/>
      <c r="R19" s="3"/>
      <c r="S19" s="3"/>
      <c r="T19" s="3"/>
      <c r="U19" s="3"/>
      <c r="V19" s="3"/>
      <c r="W19" s="3"/>
      <c r="X19" s="3"/>
      <c r="Y19" s="53"/>
      <c r="Z19" s="54"/>
      <c r="AA19" s="55"/>
      <c r="AB19" s="3"/>
      <c r="AC19" s="54"/>
      <c r="AD19" s="3"/>
      <c r="AE19" s="3"/>
      <c r="AF19" s="3"/>
      <c r="AG19" s="3"/>
      <c r="AH19" s="3"/>
      <c r="AI19" s="3"/>
      <c r="AJ19" s="3"/>
      <c r="AK19" s="3"/>
      <c r="AL19" s="3"/>
      <c r="AM19" s="3"/>
      <c r="AN19" s="3"/>
      <c r="AO19" s="3"/>
      <c r="AP19" s="3"/>
      <c r="AQ19" s="3"/>
      <c r="AR19" s="3"/>
      <c r="AS19" s="3"/>
      <c r="AT19" s="3"/>
      <c r="AU19" s="3"/>
      <c r="AV19" s="56"/>
      <c r="AW19" s="57"/>
      <c r="AX19" s="57"/>
      <c r="AY19" s="57"/>
      <c r="AZ19" s="57"/>
      <c r="BA19" s="57"/>
      <c r="BB19" s="56"/>
      <c r="BC19" s="57"/>
      <c r="BD19" s="57"/>
      <c r="BE19" s="57"/>
      <c r="BF19" s="57"/>
      <c r="BG19" s="57"/>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3"/>
      <c r="CH19" s="3"/>
      <c r="CI19" s="3"/>
      <c r="CJ19" s="3"/>
      <c r="CK19" s="3"/>
      <c r="CL19" s="3"/>
      <c r="CM19" s="3"/>
      <c r="CN19" s="3"/>
      <c r="CO19" s="3"/>
      <c r="CP19" s="3"/>
      <c r="CQ19" s="3"/>
      <c r="CR19" s="3"/>
      <c r="CS19" s="32"/>
      <c r="CT19" s="32"/>
      <c r="CU19" s="3"/>
      <c r="CV19" s="3"/>
      <c r="CW19" s="3"/>
      <c r="CX19" s="58"/>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Y19" s="59"/>
      <c r="EZ19" s="1"/>
      <c r="FA19" s="1"/>
    </row>
    <row r="20" spans="1:161" x14ac:dyDescent="0.25">
      <c r="D20" s="60" t="s">
        <v>196</v>
      </c>
      <c r="E20" s="726" t="s">
        <v>197</v>
      </c>
      <c r="F20" s="727"/>
      <c r="G20" s="727"/>
      <c r="H20" s="727"/>
      <c r="I20" s="727"/>
      <c r="J20" s="728"/>
      <c r="K20" s="732" t="s">
        <v>198</v>
      </c>
      <c r="L20" s="727"/>
      <c r="M20" s="727"/>
      <c r="N20" s="727"/>
      <c r="O20" s="727"/>
      <c r="P20" s="727"/>
      <c r="Q20" s="727"/>
      <c r="R20" s="727"/>
      <c r="S20" s="728"/>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2"/>
      <c r="AW20" s="3"/>
      <c r="AX20" s="3"/>
      <c r="AY20" s="3"/>
      <c r="AZ20" s="3"/>
      <c r="BA20" s="3"/>
      <c r="BB20" s="2"/>
      <c r="BC20" s="3"/>
      <c r="BD20" s="3"/>
      <c r="BE20" s="3"/>
      <c r="BF20" s="3"/>
      <c r="BG20" s="3"/>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3"/>
      <c r="CH20" s="3"/>
      <c r="CI20" s="3"/>
      <c r="CJ20" s="3"/>
      <c r="CK20" s="3"/>
      <c r="CL20" s="3"/>
      <c r="CM20" s="3"/>
      <c r="CN20" s="3"/>
      <c r="CO20" s="3"/>
      <c r="CP20" s="3"/>
      <c r="CQ20" s="3"/>
      <c r="CR20" s="3"/>
      <c r="CS20" s="32"/>
      <c r="CT20" s="32"/>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Y20" s="1"/>
      <c r="EZ20" s="1"/>
      <c r="FA20" s="1"/>
    </row>
    <row r="21" spans="1:161" ht="15.75" customHeight="1" x14ac:dyDescent="0.25">
      <c r="D21" s="61">
        <v>13</v>
      </c>
      <c r="E21" s="729" t="s">
        <v>199</v>
      </c>
      <c r="F21" s="727"/>
      <c r="G21" s="727"/>
      <c r="H21" s="727"/>
      <c r="I21" s="727"/>
      <c r="J21" s="728"/>
      <c r="K21" s="730" t="s">
        <v>200</v>
      </c>
      <c r="L21" s="727"/>
      <c r="M21" s="727"/>
      <c r="N21" s="727"/>
      <c r="O21" s="727"/>
      <c r="P21" s="727"/>
      <c r="Q21" s="727"/>
      <c r="R21" s="727"/>
      <c r="S21" s="728"/>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2"/>
      <c r="AW21" s="3"/>
      <c r="AX21" s="3"/>
      <c r="AY21" s="3"/>
      <c r="AZ21" s="3"/>
      <c r="BA21" s="3"/>
      <c r="BB21" s="2"/>
      <c r="BC21" s="3"/>
      <c r="BD21" s="3"/>
      <c r="BE21" s="3"/>
      <c r="BF21" s="3"/>
      <c r="BG21" s="3"/>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3"/>
      <c r="CH21" s="3"/>
      <c r="CI21" s="3"/>
      <c r="CJ21" s="3"/>
      <c r="CK21" s="3"/>
      <c r="CL21" s="3"/>
      <c r="CM21" s="3"/>
      <c r="CN21" s="3"/>
      <c r="CO21" s="3"/>
      <c r="CP21" s="3"/>
      <c r="CQ21" s="3"/>
      <c r="CR21" s="3"/>
      <c r="CS21" s="32"/>
      <c r="CT21" s="32"/>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Y21" s="1"/>
      <c r="EZ21" s="1"/>
      <c r="FA21" s="1"/>
    </row>
    <row r="22" spans="1:161" ht="15.75" customHeight="1" x14ac:dyDescent="0.25">
      <c r="D22" s="61">
        <v>14</v>
      </c>
      <c r="E22" s="729" t="s">
        <v>201</v>
      </c>
      <c r="F22" s="727"/>
      <c r="G22" s="727"/>
      <c r="H22" s="727"/>
      <c r="I22" s="727"/>
      <c r="J22" s="728"/>
      <c r="K22" s="730" t="s">
        <v>202</v>
      </c>
      <c r="L22" s="727"/>
      <c r="M22" s="727"/>
      <c r="N22" s="727"/>
      <c r="O22" s="727"/>
      <c r="P22" s="727"/>
      <c r="Q22" s="727"/>
      <c r="R22" s="727"/>
      <c r="S22" s="728"/>
      <c r="T22" s="3"/>
      <c r="U22" s="3"/>
      <c r="V22" s="3"/>
      <c r="W22" s="3"/>
      <c r="X22" s="3"/>
      <c r="Y22" s="3"/>
      <c r="Z22" s="3"/>
      <c r="AA22" s="3"/>
      <c r="AB22" s="3"/>
      <c r="AC22" s="57"/>
      <c r="AD22" s="3"/>
      <c r="AE22" s="3"/>
      <c r="AF22" s="3"/>
      <c r="AG22" s="3"/>
      <c r="AH22" s="3"/>
      <c r="AI22" s="3"/>
      <c r="AJ22" s="3"/>
      <c r="AK22" s="3"/>
      <c r="AL22" s="3"/>
      <c r="AM22" s="3"/>
      <c r="AN22" s="3"/>
      <c r="AO22" s="3"/>
      <c r="AP22" s="3"/>
      <c r="AQ22" s="3"/>
      <c r="AR22" s="3"/>
      <c r="AS22" s="3"/>
      <c r="AT22" s="3"/>
      <c r="AU22" s="3"/>
      <c r="AV22" s="2"/>
      <c r="AW22" s="3"/>
      <c r="AX22" s="3"/>
      <c r="AY22" s="3"/>
      <c r="AZ22" s="3"/>
      <c r="BA22" s="3"/>
      <c r="BB22" s="2"/>
      <c r="BC22" s="3"/>
      <c r="BD22" s="3"/>
      <c r="BE22" s="3"/>
      <c r="BF22" s="3"/>
      <c r="BG22" s="3"/>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3"/>
      <c r="CH22" s="3"/>
      <c r="CI22" s="3"/>
      <c r="CJ22" s="3"/>
      <c r="CK22" s="3"/>
      <c r="CL22" s="3"/>
      <c r="CM22" s="3"/>
      <c r="CN22" s="3"/>
      <c r="CO22" s="3"/>
      <c r="CP22" s="3"/>
      <c r="CQ22" s="3"/>
      <c r="CR22" s="3"/>
      <c r="CS22" s="32"/>
      <c r="CT22" s="32"/>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Y22" s="1"/>
      <c r="EZ22" s="1"/>
      <c r="FA22" s="1"/>
    </row>
    <row r="23" spans="1:161" ht="15.75" customHeight="1" x14ac:dyDescent="0.25">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2"/>
      <c r="AW23" s="3"/>
      <c r="AX23" s="3"/>
      <c r="AY23" s="3"/>
      <c r="AZ23" s="3"/>
      <c r="BA23" s="3"/>
      <c r="BB23" s="2"/>
      <c r="BC23" s="3"/>
      <c r="BD23" s="3"/>
      <c r="BE23" s="3"/>
      <c r="BF23" s="3"/>
      <c r="BG23" s="3"/>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3"/>
      <c r="CH23" s="3"/>
      <c r="CI23" s="3"/>
      <c r="CJ23" s="3"/>
      <c r="CK23" s="3"/>
      <c r="CL23" s="3"/>
      <c r="CM23" s="3"/>
      <c r="CN23" s="3"/>
      <c r="CO23" s="3"/>
      <c r="CP23" s="3"/>
      <c r="CQ23" s="3"/>
      <c r="CR23" s="3"/>
      <c r="CS23" s="32"/>
      <c r="CT23" s="32"/>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Y23" s="1"/>
      <c r="EZ23" s="1"/>
      <c r="FA23" s="1"/>
    </row>
    <row r="24" spans="1:161" ht="15.75" customHeight="1" x14ac:dyDescent="0.25">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2"/>
      <c r="AW24" s="3"/>
      <c r="AX24" s="3"/>
      <c r="AY24" s="3"/>
      <c r="AZ24" s="3"/>
      <c r="BA24" s="3"/>
      <c r="BB24" s="2"/>
      <c r="BC24" s="3"/>
      <c r="BD24" s="3"/>
      <c r="BE24" s="3"/>
      <c r="BF24" s="3"/>
      <c r="BG24" s="3"/>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3"/>
      <c r="CH24" s="3"/>
      <c r="CI24" s="3"/>
      <c r="CJ24" s="3"/>
      <c r="CK24" s="3"/>
      <c r="CL24" s="3"/>
      <c r="CM24" s="3"/>
      <c r="CN24" s="3"/>
      <c r="CO24" s="3"/>
      <c r="CP24" s="3"/>
      <c r="CQ24" s="3"/>
      <c r="CR24" s="3"/>
      <c r="CS24" s="32"/>
      <c r="CT24" s="32"/>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Y24" s="1"/>
      <c r="EZ24" s="1"/>
      <c r="FA24" s="1"/>
    </row>
    <row r="25" spans="1:161" ht="15.75" customHeight="1" x14ac:dyDescent="0.2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2"/>
      <c r="AW25" s="3"/>
      <c r="AX25" s="3"/>
      <c r="AY25" s="3"/>
      <c r="AZ25" s="3"/>
      <c r="BA25" s="3"/>
      <c r="BB25" s="2"/>
      <c r="BC25" s="3"/>
      <c r="BD25" s="3"/>
      <c r="BE25" s="3"/>
      <c r="BF25" s="3"/>
      <c r="BG25" s="3"/>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3"/>
      <c r="CH25" s="3"/>
      <c r="CI25" s="3"/>
      <c r="CJ25" s="3"/>
      <c r="CK25" s="3"/>
      <c r="CL25" s="3"/>
      <c r="CM25" s="3"/>
      <c r="CN25" s="3"/>
      <c r="CO25" s="3"/>
      <c r="CP25" s="3"/>
      <c r="CQ25" s="3"/>
      <c r="CR25" s="3"/>
      <c r="CS25" s="32"/>
      <c r="CT25" s="32"/>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Y25" s="1"/>
      <c r="EZ25" s="1"/>
      <c r="FA25" s="1"/>
    </row>
    <row r="26" spans="1:161" ht="15.75" customHeight="1" x14ac:dyDescent="0.25">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2"/>
      <c r="AW26" s="3"/>
      <c r="AX26" s="3"/>
      <c r="AY26" s="3"/>
      <c r="AZ26" s="3"/>
      <c r="BA26" s="3"/>
      <c r="BB26" s="2"/>
      <c r="BC26" s="3"/>
      <c r="BD26" s="3"/>
      <c r="BE26" s="3"/>
      <c r="BF26" s="3"/>
      <c r="BG26" s="3"/>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3"/>
      <c r="CH26" s="3"/>
      <c r="CI26" s="3"/>
      <c r="CJ26" s="3"/>
      <c r="CK26" s="3"/>
      <c r="CL26" s="3"/>
      <c r="CM26" s="3"/>
      <c r="CN26" s="3"/>
      <c r="CO26" s="3"/>
      <c r="CP26" s="3"/>
      <c r="CQ26" s="3"/>
      <c r="CR26" s="3"/>
      <c r="CS26" s="32"/>
      <c r="CT26" s="32"/>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Y26" s="1"/>
      <c r="EZ26" s="1"/>
      <c r="FA26" s="1"/>
    </row>
    <row r="27" spans="1:161" ht="15.75" customHeight="1" x14ac:dyDescent="0.2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2"/>
      <c r="AW27" s="3"/>
      <c r="AX27" s="3"/>
      <c r="AY27" s="3"/>
      <c r="AZ27" s="3"/>
      <c r="BA27" s="3"/>
      <c r="BB27" s="2"/>
      <c r="BC27" s="3"/>
      <c r="BD27" s="3"/>
      <c r="BE27" s="3"/>
      <c r="BF27" s="3"/>
      <c r="BG27" s="3"/>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3"/>
      <c r="CH27" s="3"/>
      <c r="CI27" s="3"/>
      <c r="CJ27" s="3"/>
      <c r="CK27" s="3"/>
      <c r="CL27" s="3"/>
      <c r="CM27" s="3"/>
      <c r="CN27" s="3"/>
      <c r="CO27" s="3"/>
      <c r="CP27" s="3"/>
      <c r="CQ27" s="3"/>
      <c r="CR27" s="3"/>
      <c r="CS27" s="32"/>
      <c r="CT27" s="32"/>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Y27" s="1"/>
      <c r="EZ27" s="1"/>
      <c r="FA27" s="1"/>
    </row>
    <row r="28" spans="1:161" ht="15.75" customHeight="1" x14ac:dyDescent="0.25">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2"/>
      <c r="AW28" s="3"/>
      <c r="AX28" s="3"/>
      <c r="AY28" s="3"/>
      <c r="AZ28" s="3"/>
      <c r="BA28" s="3"/>
      <c r="BB28" s="2"/>
      <c r="BC28" s="3"/>
      <c r="BD28" s="3"/>
      <c r="BE28" s="3"/>
      <c r="BF28" s="3"/>
      <c r="BG28" s="3"/>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3"/>
      <c r="CH28" s="3"/>
      <c r="CI28" s="3"/>
      <c r="CJ28" s="3"/>
      <c r="CK28" s="3"/>
      <c r="CL28" s="3"/>
      <c r="CM28" s="3"/>
      <c r="CN28" s="3"/>
      <c r="CO28" s="3"/>
      <c r="CP28" s="3"/>
      <c r="CQ28" s="3"/>
      <c r="CR28" s="3"/>
      <c r="CS28" s="32"/>
      <c r="CT28" s="32"/>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Y28" s="1"/>
      <c r="EZ28" s="1"/>
      <c r="FA28" s="1"/>
    </row>
    <row r="29" spans="1:161" ht="15.75" customHeight="1" x14ac:dyDescent="0.25">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2"/>
      <c r="AW29" s="3"/>
      <c r="AX29" s="3"/>
      <c r="AY29" s="3"/>
      <c r="AZ29" s="3"/>
      <c r="BA29" s="3"/>
      <c r="BB29" s="2"/>
      <c r="BC29" s="3"/>
      <c r="BD29" s="3"/>
      <c r="BE29" s="3"/>
      <c r="BF29" s="3"/>
      <c r="BG29" s="3"/>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3"/>
      <c r="CH29" s="3"/>
      <c r="CI29" s="3"/>
      <c r="CJ29" s="3"/>
      <c r="CK29" s="3"/>
      <c r="CL29" s="3"/>
      <c r="CM29" s="3"/>
      <c r="CN29" s="3"/>
      <c r="CO29" s="3"/>
      <c r="CP29" s="3"/>
      <c r="CQ29" s="3"/>
      <c r="CR29" s="3"/>
      <c r="CS29" s="32"/>
      <c r="CT29" s="32"/>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Y29" s="1"/>
      <c r="EZ29" s="1"/>
      <c r="FA29" s="1"/>
    </row>
    <row r="30" spans="1:161" ht="15.75" customHeight="1" x14ac:dyDescent="0.25">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2"/>
      <c r="AW30" s="3"/>
      <c r="AX30" s="3"/>
      <c r="AY30" s="3"/>
      <c r="AZ30" s="3"/>
      <c r="BA30" s="3"/>
      <c r="BB30" s="2"/>
      <c r="BC30" s="3"/>
      <c r="BD30" s="3"/>
      <c r="BE30" s="3"/>
      <c r="BF30" s="3"/>
      <c r="BG30" s="3"/>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3"/>
      <c r="CH30" s="3"/>
      <c r="CI30" s="3"/>
      <c r="CJ30" s="3"/>
      <c r="CK30" s="3"/>
      <c r="CL30" s="3"/>
      <c r="CM30" s="3"/>
      <c r="CN30" s="3"/>
      <c r="CO30" s="3"/>
      <c r="CP30" s="3"/>
      <c r="CQ30" s="3"/>
      <c r="CR30" s="3"/>
      <c r="CS30" s="32"/>
      <c r="CT30" s="32"/>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Y30" s="1"/>
      <c r="EZ30" s="1"/>
      <c r="FA30" s="1"/>
    </row>
    <row r="31" spans="1:161" ht="15.75" customHeight="1" x14ac:dyDescent="0.25">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2"/>
      <c r="AW31" s="3"/>
      <c r="AX31" s="3"/>
      <c r="AY31" s="3"/>
      <c r="AZ31" s="3"/>
      <c r="BA31" s="3"/>
      <c r="BB31" s="2"/>
      <c r="BC31" s="3"/>
      <c r="BD31" s="3"/>
      <c r="BE31" s="3"/>
      <c r="BF31" s="3"/>
      <c r="BG31" s="3"/>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3"/>
      <c r="CH31" s="3"/>
      <c r="CI31" s="3"/>
      <c r="CJ31" s="3"/>
      <c r="CK31" s="3"/>
      <c r="CL31" s="3"/>
      <c r="CM31" s="3"/>
      <c r="CN31" s="3"/>
      <c r="CO31" s="3"/>
      <c r="CP31" s="3"/>
      <c r="CQ31" s="3"/>
      <c r="CR31" s="3"/>
      <c r="CS31" s="32"/>
      <c r="CT31" s="32"/>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Y31" s="1"/>
      <c r="EZ31" s="1"/>
      <c r="FA31" s="1"/>
    </row>
    <row r="32" spans="1:161" ht="15.75" customHeight="1" x14ac:dyDescent="0.25">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2"/>
      <c r="AW32" s="3"/>
      <c r="AX32" s="3"/>
      <c r="AY32" s="3"/>
      <c r="AZ32" s="3"/>
      <c r="BA32" s="3"/>
      <c r="BB32" s="2"/>
      <c r="BC32" s="3"/>
      <c r="BD32" s="3"/>
      <c r="BE32" s="3"/>
      <c r="BF32" s="3"/>
      <c r="BG32" s="3"/>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3"/>
      <c r="CH32" s="3"/>
      <c r="CI32" s="3"/>
      <c r="CJ32" s="3"/>
      <c r="CK32" s="3"/>
      <c r="CL32" s="3"/>
      <c r="CM32" s="3"/>
      <c r="CN32" s="3"/>
      <c r="CO32" s="3"/>
      <c r="CP32" s="3"/>
      <c r="CQ32" s="3"/>
      <c r="CR32" s="3"/>
      <c r="CS32" s="32"/>
      <c r="CT32" s="32"/>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Y32" s="1"/>
      <c r="EZ32" s="1"/>
      <c r="FA32" s="1"/>
    </row>
    <row r="33" spans="9:157" ht="15.75" customHeight="1" x14ac:dyDescent="0.25">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2"/>
      <c r="AW33" s="3"/>
      <c r="AX33" s="3"/>
      <c r="AY33" s="3"/>
      <c r="AZ33" s="3"/>
      <c r="BA33" s="3"/>
      <c r="BB33" s="2"/>
      <c r="BC33" s="3"/>
      <c r="BD33" s="3"/>
      <c r="BE33" s="3"/>
      <c r="BF33" s="3"/>
      <c r="BG33" s="3"/>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3"/>
      <c r="CH33" s="3"/>
      <c r="CI33" s="3"/>
      <c r="CJ33" s="3"/>
      <c r="CK33" s="3"/>
      <c r="CL33" s="3"/>
      <c r="CM33" s="3"/>
      <c r="CN33" s="3"/>
      <c r="CO33" s="3"/>
      <c r="CP33" s="3"/>
      <c r="CQ33" s="3"/>
      <c r="CR33" s="3"/>
      <c r="CS33" s="32"/>
      <c r="CT33" s="32"/>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Y33" s="1"/>
      <c r="EZ33" s="1"/>
      <c r="FA33" s="1"/>
    </row>
    <row r="34" spans="9:157" ht="15.75" customHeight="1" x14ac:dyDescent="0.25">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2"/>
      <c r="AW34" s="3"/>
      <c r="AX34" s="3"/>
      <c r="AY34" s="3"/>
      <c r="AZ34" s="3"/>
      <c r="BA34" s="3"/>
      <c r="BB34" s="2"/>
      <c r="BC34" s="3"/>
      <c r="BD34" s="3"/>
      <c r="BE34" s="3"/>
      <c r="BF34" s="3"/>
      <c r="BG34" s="3"/>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3"/>
      <c r="CH34" s="3"/>
      <c r="CI34" s="3"/>
      <c r="CJ34" s="3"/>
      <c r="CK34" s="3"/>
      <c r="CL34" s="3"/>
      <c r="CM34" s="3"/>
      <c r="CN34" s="3"/>
      <c r="CO34" s="3"/>
      <c r="CP34" s="3"/>
      <c r="CQ34" s="3"/>
      <c r="CR34" s="3"/>
      <c r="CS34" s="32"/>
      <c r="CT34" s="32"/>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Y34" s="1"/>
      <c r="EZ34" s="1"/>
      <c r="FA34" s="1"/>
    </row>
    <row r="35" spans="9:157" ht="15.75" customHeight="1" x14ac:dyDescent="0.25">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2"/>
      <c r="AW35" s="3"/>
      <c r="AX35" s="3"/>
      <c r="AY35" s="3"/>
      <c r="AZ35" s="3"/>
      <c r="BA35" s="3"/>
      <c r="BB35" s="2"/>
      <c r="BC35" s="3"/>
      <c r="BD35" s="3"/>
      <c r="BE35" s="3"/>
      <c r="BF35" s="3"/>
      <c r="BG35" s="3"/>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3"/>
      <c r="CH35" s="3"/>
      <c r="CI35" s="3"/>
      <c r="CJ35" s="3"/>
      <c r="CK35" s="3"/>
      <c r="CL35" s="3"/>
      <c r="CM35" s="3"/>
      <c r="CN35" s="3"/>
      <c r="CO35" s="3"/>
      <c r="CP35" s="3"/>
      <c r="CQ35" s="3"/>
      <c r="CR35" s="3"/>
      <c r="CS35" s="32"/>
      <c r="CT35" s="32"/>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Y35" s="1"/>
      <c r="EZ35" s="1"/>
      <c r="FA35" s="1"/>
    </row>
    <row r="36" spans="9:157" ht="15.75" customHeight="1" x14ac:dyDescent="0.25">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2"/>
      <c r="AW36" s="3"/>
      <c r="AX36" s="3"/>
      <c r="AY36" s="3"/>
      <c r="AZ36" s="3"/>
      <c r="BA36" s="3"/>
      <c r="BB36" s="2"/>
      <c r="BC36" s="3"/>
      <c r="BD36" s="3"/>
      <c r="BE36" s="3"/>
      <c r="BF36" s="3"/>
      <c r="BG36" s="3"/>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3"/>
      <c r="CH36" s="3"/>
      <c r="CI36" s="3"/>
      <c r="CJ36" s="3"/>
      <c r="CK36" s="3"/>
      <c r="CL36" s="3"/>
      <c r="CM36" s="3"/>
      <c r="CN36" s="3"/>
      <c r="CO36" s="3"/>
      <c r="CP36" s="3"/>
      <c r="CQ36" s="3"/>
      <c r="CR36" s="3"/>
      <c r="CS36" s="32"/>
      <c r="CT36" s="32"/>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Y36" s="1"/>
      <c r="EZ36" s="1"/>
      <c r="FA36" s="1"/>
    </row>
    <row r="37" spans="9:157" ht="15.75" customHeight="1" x14ac:dyDescent="0.25">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2"/>
      <c r="AW37" s="3"/>
      <c r="AX37" s="3"/>
      <c r="AY37" s="3"/>
      <c r="AZ37" s="3"/>
      <c r="BA37" s="3"/>
      <c r="BB37" s="2"/>
      <c r="BC37" s="3"/>
      <c r="BD37" s="3"/>
      <c r="BE37" s="3"/>
      <c r="BF37" s="3"/>
      <c r="BG37" s="3"/>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3"/>
      <c r="CH37" s="3"/>
      <c r="CI37" s="3"/>
      <c r="CJ37" s="3"/>
      <c r="CK37" s="3"/>
      <c r="CL37" s="3"/>
      <c r="CM37" s="3"/>
      <c r="CN37" s="3"/>
      <c r="CO37" s="3"/>
      <c r="CP37" s="3"/>
      <c r="CQ37" s="3"/>
      <c r="CR37" s="3"/>
      <c r="CS37" s="32"/>
      <c r="CT37" s="32"/>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Y37" s="1"/>
      <c r="EZ37" s="1"/>
      <c r="FA37" s="1"/>
    </row>
    <row r="38" spans="9:157" ht="15.75" customHeight="1" x14ac:dyDescent="0.25">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2"/>
      <c r="AW38" s="3"/>
      <c r="AX38" s="3"/>
      <c r="AY38" s="3"/>
      <c r="AZ38" s="3"/>
      <c r="BA38" s="3"/>
      <c r="BB38" s="2"/>
      <c r="BC38" s="3"/>
      <c r="BD38" s="3"/>
      <c r="BE38" s="3"/>
      <c r="BF38" s="3"/>
      <c r="BG38" s="3"/>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3"/>
      <c r="CH38" s="3"/>
      <c r="CI38" s="3"/>
      <c r="CJ38" s="3"/>
      <c r="CK38" s="3"/>
      <c r="CL38" s="3"/>
      <c r="CM38" s="3"/>
      <c r="CN38" s="3"/>
      <c r="CO38" s="3"/>
      <c r="CP38" s="3"/>
      <c r="CQ38" s="3"/>
      <c r="CR38" s="3"/>
      <c r="CS38" s="32"/>
      <c r="CT38" s="32"/>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Y38" s="1"/>
      <c r="EZ38" s="1"/>
      <c r="FA38" s="1"/>
    </row>
    <row r="39" spans="9:157" ht="15.75" customHeight="1" x14ac:dyDescent="0.25">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2"/>
      <c r="AW39" s="3"/>
      <c r="AX39" s="3"/>
      <c r="AY39" s="3"/>
      <c r="AZ39" s="3"/>
      <c r="BA39" s="3"/>
      <c r="BB39" s="2"/>
      <c r="BC39" s="3"/>
      <c r="BD39" s="3"/>
      <c r="BE39" s="3"/>
      <c r="BF39" s="3"/>
      <c r="BG39" s="3"/>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3"/>
      <c r="CH39" s="3"/>
      <c r="CI39" s="3"/>
      <c r="CJ39" s="3"/>
      <c r="CK39" s="3"/>
      <c r="CL39" s="3"/>
      <c r="CM39" s="3"/>
      <c r="CN39" s="3"/>
      <c r="CO39" s="3"/>
      <c r="CP39" s="3"/>
      <c r="CQ39" s="3"/>
      <c r="CR39" s="3"/>
      <c r="CS39" s="32"/>
      <c r="CT39" s="32"/>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Y39" s="1"/>
      <c r="EZ39" s="1"/>
      <c r="FA39" s="1"/>
    </row>
    <row r="40" spans="9:157" ht="15.75" customHeight="1" x14ac:dyDescent="0.25">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2"/>
      <c r="AW40" s="3"/>
      <c r="AX40" s="3"/>
      <c r="AY40" s="3"/>
      <c r="AZ40" s="3"/>
      <c r="BA40" s="3"/>
      <c r="BB40" s="2"/>
      <c r="BC40" s="3"/>
      <c r="BD40" s="3"/>
      <c r="BE40" s="3"/>
      <c r="BF40" s="3"/>
      <c r="BG40" s="3"/>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3"/>
      <c r="CH40" s="3"/>
      <c r="CI40" s="3"/>
      <c r="CJ40" s="3"/>
      <c r="CK40" s="3"/>
      <c r="CL40" s="3"/>
      <c r="CM40" s="3"/>
      <c r="CN40" s="3"/>
      <c r="CO40" s="3"/>
      <c r="CP40" s="3"/>
      <c r="CQ40" s="3"/>
      <c r="CR40" s="3"/>
      <c r="CS40" s="32"/>
      <c r="CT40" s="32"/>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Y40" s="1"/>
      <c r="EZ40" s="1"/>
      <c r="FA40" s="1"/>
    </row>
    <row r="41" spans="9:157" ht="15.75" customHeight="1" x14ac:dyDescent="0.25">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2"/>
      <c r="AW41" s="3"/>
      <c r="AX41" s="3"/>
      <c r="AY41" s="3"/>
      <c r="AZ41" s="3"/>
      <c r="BA41" s="3"/>
      <c r="BB41" s="2"/>
      <c r="BC41" s="3"/>
      <c r="BD41" s="3"/>
      <c r="BE41" s="3"/>
      <c r="BF41" s="3"/>
      <c r="BG41" s="3"/>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3"/>
      <c r="CH41" s="3"/>
      <c r="CI41" s="3"/>
      <c r="CJ41" s="3"/>
      <c r="CK41" s="3"/>
      <c r="CL41" s="3"/>
      <c r="CM41" s="3"/>
      <c r="CN41" s="3"/>
      <c r="CO41" s="3"/>
      <c r="CP41" s="3"/>
      <c r="CQ41" s="3"/>
      <c r="CR41" s="3"/>
      <c r="CS41" s="32"/>
      <c r="CT41" s="32"/>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Y41" s="1"/>
      <c r="EZ41" s="1"/>
      <c r="FA41" s="1"/>
    </row>
    <row r="42" spans="9:157" ht="15.75" customHeight="1" x14ac:dyDescent="0.2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2"/>
      <c r="AW42" s="3"/>
      <c r="AX42" s="3"/>
      <c r="AY42" s="3"/>
      <c r="AZ42" s="3"/>
      <c r="BA42" s="3"/>
      <c r="BB42" s="2"/>
      <c r="BC42" s="3"/>
      <c r="BD42" s="3"/>
      <c r="BE42" s="3"/>
      <c r="BF42" s="3"/>
      <c r="BG42" s="3"/>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3"/>
      <c r="CH42" s="3"/>
      <c r="CI42" s="3"/>
      <c r="CJ42" s="3"/>
      <c r="CK42" s="3"/>
      <c r="CL42" s="3"/>
      <c r="CM42" s="3"/>
      <c r="CN42" s="3"/>
      <c r="CO42" s="3"/>
      <c r="CP42" s="3"/>
      <c r="CQ42" s="3"/>
      <c r="CR42" s="3"/>
      <c r="CS42" s="32"/>
      <c r="CT42" s="32"/>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Y42" s="1"/>
      <c r="EZ42" s="1"/>
      <c r="FA42" s="1"/>
    </row>
    <row r="43" spans="9:157" ht="15.75" customHeight="1" x14ac:dyDescent="0.25">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2"/>
      <c r="AW43" s="3"/>
      <c r="AX43" s="3"/>
      <c r="AY43" s="3"/>
      <c r="AZ43" s="3"/>
      <c r="BA43" s="3"/>
      <c r="BB43" s="2"/>
      <c r="BC43" s="3"/>
      <c r="BD43" s="3"/>
      <c r="BE43" s="3"/>
      <c r="BF43" s="3"/>
      <c r="BG43" s="3"/>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3"/>
      <c r="CH43" s="3"/>
      <c r="CI43" s="3"/>
      <c r="CJ43" s="3"/>
      <c r="CK43" s="3"/>
      <c r="CL43" s="3"/>
      <c r="CM43" s="3"/>
      <c r="CN43" s="3"/>
      <c r="CO43" s="3"/>
      <c r="CP43" s="3"/>
      <c r="CQ43" s="3"/>
      <c r="CR43" s="3"/>
      <c r="CS43" s="32"/>
      <c r="CT43" s="32"/>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Y43" s="1"/>
      <c r="EZ43" s="1"/>
      <c r="FA43" s="1"/>
    </row>
    <row r="44" spans="9:157" ht="15.75" customHeight="1" x14ac:dyDescent="0.25">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2"/>
      <c r="AW44" s="3"/>
      <c r="AX44" s="3"/>
      <c r="AY44" s="3"/>
      <c r="AZ44" s="3"/>
      <c r="BA44" s="3"/>
      <c r="BB44" s="2"/>
      <c r="BC44" s="3"/>
      <c r="BD44" s="3"/>
      <c r="BE44" s="3"/>
      <c r="BF44" s="3"/>
      <c r="BG44" s="3"/>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3"/>
      <c r="CH44" s="3"/>
      <c r="CI44" s="3"/>
      <c r="CJ44" s="3"/>
      <c r="CK44" s="3"/>
      <c r="CL44" s="3"/>
      <c r="CM44" s="3"/>
      <c r="CN44" s="3"/>
      <c r="CO44" s="3"/>
      <c r="CP44" s="3"/>
      <c r="CQ44" s="3"/>
      <c r="CR44" s="3"/>
      <c r="CS44" s="32"/>
      <c r="CT44" s="32"/>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Y44" s="1"/>
      <c r="EZ44" s="1"/>
      <c r="FA44" s="1"/>
    </row>
    <row r="45" spans="9:157" ht="15.75" customHeight="1" x14ac:dyDescent="0.25">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2"/>
      <c r="AW45" s="3"/>
      <c r="AX45" s="3"/>
      <c r="AY45" s="3"/>
      <c r="AZ45" s="3"/>
      <c r="BA45" s="3"/>
      <c r="BB45" s="2"/>
      <c r="BC45" s="3"/>
      <c r="BD45" s="3"/>
      <c r="BE45" s="3"/>
      <c r="BF45" s="3"/>
      <c r="BG45" s="3"/>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3"/>
      <c r="CH45" s="3"/>
      <c r="CI45" s="3"/>
      <c r="CJ45" s="3"/>
      <c r="CK45" s="3"/>
      <c r="CL45" s="3"/>
      <c r="CM45" s="3"/>
      <c r="CN45" s="3"/>
      <c r="CO45" s="3"/>
      <c r="CP45" s="3"/>
      <c r="CQ45" s="3"/>
      <c r="CR45" s="3"/>
      <c r="CS45" s="32"/>
      <c r="CT45" s="32"/>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Y45" s="1"/>
      <c r="EZ45" s="1"/>
      <c r="FA45" s="1"/>
    </row>
    <row r="46" spans="9:157" ht="15.75" customHeight="1" x14ac:dyDescent="0.2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2"/>
      <c r="AW46" s="3"/>
      <c r="AX46" s="3"/>
      <c r="AY46" s="3"/>
      <c r="AZ46" s="3"/>
      <c r="BA46" s="3"/>
      <c r="BB46" s="2"/>
      <c r="BC46" s="3"/>
      <c r="BD46" s="3"/>
      <c r="BE46" s="3"/>
      <c r="BF46" s="3"/>
      <c r="BG46" s="3"/>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3"/>
      <c r="CH46" s="3"/>
      <c r="CI46" s="3"/>
      <c r="CJ46" s="3"/>
      <c r="CK46" s="3"/>
      <c r="CL46" s="3"/>
      <c r="CM46" s="3"/>
      <c r="CN46" s="3"/>
      <c r="CO46" s="3"/>
      <c r="CP46" s="3"/>
      <c r="CQ46" s="3"/>
      <c r="CR46" s="3"/>
      <c r="CS46" s="32"/>
      <c r="CT46" s="32"/>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Y46" s="1"/>
      <c r="EZ46" s="1"/>
      <c r="FA46" s="1"/>
    </row>
    <row r="47" spans="9:157" ht="15.75" customHeight="1" x14ac:dyDescent="0.25">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2"/>
      <c r="AW47" s="3"/>
      <c r="AX47" s="3"/>
      <c r="AY47" s="3"/>
      <c r="AZ47" s="3"/>
      <c r="BA47" s="3"/>
      <c r="BB47" s="2"/>
      <c r="BC47" s="3"/>
      <c r="BD47" s="3"/>
      <c r="BE47" s="3"/>
      <c r="BF47" s="3"/>
      <c r="BG47" s="3"/>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3"/>
      <c r="CH47" s="3"/>
      <c r="CI47" s="3"/>
      <c r="CJ47" s="3"/>
      <c r="CK47" s="3"/>
      <c r="CL47" s="3"/>
      <c r="CM47" s="3"/>
      <c r="CN47" s="3"/>
      <c r="CO47" s="3"/>
      <c r="CP47" s="3"/>
      <c r="CQ47" s="3"/>
      <c r="CR47" s="3"/>
      <c r="CS47" s="32"/>
      <c r="CT47" s="32"/>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Y47" s="1"/>
      <c r="EZ47" s="1"/>
      <c r="FA47" s="1"/>
    </row>
    <row r="48" spans="9:157" ht="15.75" customHeight="1" x14ac:dyDescent="0.25">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2"/>
      <c r="AW48" s="3"/>
      <c r="AX48" s="3"/>
      <c r="AY48" s="3"/>
      <c r="AZ48" s="3"/>
      <c r="BA48" s="3"/>
      <c r="BB48" s="2"/>
      <c r="BC48" s="3"/>
      <c r="BD48" s="3"/>
      <c r="BE48" s="3"/>
      <c r="BF48" s="3"/>
      <c r="BG48" s="3"/>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3"/>
      <c r="CH48" s="3"/>
      <c r="CI48" s="3"/>
      <c r="CJ48" s="3"/>
      <c r="CK48" s="3"/>
      <c r="CL48" s="3"/>
      <c r="CM48" s="3"/>
      <c r="CN48" s="3"/>
      <c r="CO48" s="3"/>
      <c r="CP48" s="3"/>
      <c r="CQ48" s="3"/>
      <c r="CR48" s="3"/>
      <c r="CS48" s="32"/>
      <c r="CT48" s="32"/>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Y48" s="1"/>
      <c r="EZ48" s="1"/>
      <c r="FA48" s="1"/>
    </row>
    <row r="49" spans="9:157" ht="15.75" customHeight="1" x14ac:dyDescent="0.25">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2"/>
      <c r="AW49" s="3"/>
      <c r="AX49" s="3"/>
      <c r="AY49" s="3"/>
      <c r="AZ49" s="3"/>
      <c r="BA49" s="3"/>
      <c r="BB49" s="2"/>
      <c r="BC49" s="3"/>
      <c r="BD49" s="3"/>
      <c r="BE49" s="3"/>
      <c r="BF49" s="3"/>
      <c r="BG49" s="3"/>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3"/>
      <c r="CH49" s="3"/>
      <c r="CI49" s="3"/>
      <c r="CJ49" s="3"/>
      <c r="CK49" s="3"/>
      <c r="CL49" s="3"/>
      <c r="CM49" s="3"/>
      <c r="CN49" s="3"/>
      <c r="CO49" s="3"/>
      <c r="CP49" s="3"/>
      <c r="CQ49" s="3"/>
      <c r="CR49" s="3"/>
      <c r="CS49" s="32"/>
      <c r="CT49" s="32"/>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Y49" s="1"/>
      <c r="EZ49" s="1"/>
      <c r="FA49" s="1"/>
    </row>
    <row r="50" spans="9:157" ht="15.75" customHeight="1" x14ac:dyDescent="0.25">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2"/>
      <c r="AW50" s="3"/>
      <c r="AX50" s="3"/>
      <c r="AY50" s="3"/>
      <c r="AZ50" s="3"/>
      <c r="BA50" s="3"/>
      <c r="BB50" s="2"/>
      <c r="BC50" s="3"/>
      <c r="BD50" s="3"/>
      <c r="BE50" s="3"/>
      <c r="BF50" s="3"/>
      <c r="BG50" s="3"/>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3"/>
      <c r="CH50" s="3"/>
      <c r="CI50" s="3"/>
      <c r="CJ50" s="3"/>
      <c r="CK50" s="3"/>
      <c r="CL50" s="3"/>
      <c r="CM50" s="3"/>
      <c r="CN50" s="3"/>
      <c r="CO50" s="3"/>
      <c r="CP50" s="3"/>
      <c r="CQ50" s="3"/>
      <c r="CR50" s="3"/>
      <c r="CS50" s="32"/>
      <c r="CT50" s="32"/>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Y50" s="1"/>
      <c r="EZ50" s="1"/>
      <c r="FA50" s="1"/>
    </row>
    <row r="51" spans="9:157" ht="15.75" customHeight="1" x14ac:dyDescent="0.25">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2"/>
      <c r="AW51" s="3"/>
      <c r="AX51" s="3"/>
      <c r="AY51" s="3"/>
      <c r="AZ51" s="3"/>
      <c r="BA51" s="3"/>
      <c r="BB51" s="2"/>
      <c r="BC51" s="3"/>
      <c r="BD51" s="3"/>
      <c r="BE51" s="3"/>
      <c r="BF51" s="3"/>
      <c r="BG51" s="3"/>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3"/>
      <c r="CH51" s="3"/>
      <c r="CI51" s="3"/>
      <c r="CJ51" s="3"/>
      <c r="CK51" s="3"/>
      <c r="CL51" s="3"/>
      <c r="CM51" s="3"/>
      <c r="CN51" s="3"/>
      <c r="CO51" s="3"/>
      <c r="CP51" s="3"/>
      <c r="CQ51" s="3"/>
      <c r="CR51" s="3"/>
      <c r="CS51" s="32"/>
      <c r="CT51" s="32"/>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Y51" s="1"/>
      <c r="EZ51" s="1"/>
      <c r="FA51" s="1"/>
    </row>
    <row r="52" spans="9:157" ht="15.75" customHeight="1" x14ac:dyDescent="0.25">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2"/>
      <c r="AW52" s="3"/>
      <c r="AX52" s="3"/>
      <c r="AY52" s="3"/>
      <c r="AZ52" s="3"/>
      <c r="BA52" s="3"/>
      <c r="BB52" s="2"/>
      <c r="BC52" s="3"/>
      <c r="BD52" s="3"/>
      <c r="BE52" s="3"/>
      <c r="BF52" s="3"/>
      <c r="BG52" s="3"/>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3"/>
      <c r="CH52" s="3"/>
      <c r="CI52" s="3"/>
      <c r="CJ52" s="3"/>
      <c r="CK52" s="3"/>
      <c r="CL52" s="3"/>
      <c r="CM52" s="3"/>
      <c r="CN52" s="3"/>
      <c r="CO52" s="3"/>
      <c r="CP52" s="3"/>
      <c r="CQ52" s="3"/>
      <c r="CR52" s="3"/>
      <c r="CS52" s="32"/>
      <c r="CT52" s="32"/>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Y52" s="1"/>
      <c r="EZ52" s="1"/>
      <c r="FA52" s="1"/>
    </row>
    <row r="53" spans="9:157" ht="15.75" customHeight="1" x14ac:dyDescent="0.25">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2"/>
      <c r="AW53" s="3"/>
      <c r="AX53" s="3"/>
      <c r="AY53" s="3"/>
      <c r="AZ53" s="3"/>
      <c r="BA53" s="3"/>
      <c r="BB53" s="2"/>
      <c r="BC53" s="3"/>
      <c r="BD53" s="3"/>
      <c r="BE53" s="3"/>
      <c r="BF53" s="3"/>
      <c r="BG53" s="3"/>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3"/>
      <c r="CH53" s="3"/>
      <c r="CI53" s="3"/>
      <c r="CJ53" s="3"/>
      <c r="CK53" s="3"/>
      <c r="CL53" s="3"/>
      <c r="CM53" s="3"/>
      <c r="CN53" s="3"/>
      <c r="CO53" s="3"/>
      <c r="CP53" s="3"/>
      <c r="CQ53" s="3"/>
      <c r="CR53" s="3"/>
      <c r="CS53" s="32"/>
      <c r="CT53" s="32"/>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Y53" s="1"/>
      <c r="EZ53" s="1"/>
      <c r="FA53" s="1"/>
    </row>
    <row r="54" spans="9:157" ht="15.75" customHeight="1" x14ac:dyDescent="0.25">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2"/>
      <c r="AW54" s="3"/>
      <c r="AX54" s="3"/>
      <c r="AY54" s="3"/>
      <c r="AZ54" s="3"/>
      <c r="BA54" s="3"/>
      <c r="BB54" s="2"/>
      <c r="BC54" s="3"/>
      <c r="BD54" s="3"/>
      <c r="BE54" s="3"/>
      <c r="BF54" s="3"/>
      <c r="BG54" s="3"/>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3"/>
      <c r="CH54" s="3"/>
      <c r="CI54" s="3"/>
      <c r="CJ54" s="3"/>
      <c r="CK54" s="3"/>
      <c r="CL54" s="3"/>
      <c r="CM54" s="3"/>
      <c r="CN54" s="3"/>
      <c r="CO54" s="3"/>
      <c r="CP54" s="3"/>
      <c r="CQ54" s="3"/>
      <c r="CR54" s="3"/>
      <c r="CS54" s="32"/>
      <c r="CT54" s="32"/>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Y54" s="1"/>
      <c r="EZ54" s="1"/>
      <c r="FA54" s="1"/>
    </row>
    <row r="55" spans="9:157" ht="15.75" customHeight="1" x14ac:dyDescent="0.25">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2"/>
      <c r="AW55" s="3"/>
      <c r="AX55" s="3"/>
      <c r="AY55" s="3"/>
      <c r="AZ55" s="3"/>
      <c r="BA55" s="3"/>
      <c r="BB55" s="2"/>
      <c r="BC55" s="3"/>
      <c r="BD55" s="3"/>
      <c r="BE55" s="3"/>
      <c r="BF55" s="3"/>
      <c r="BG55" s="3"/>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3"/>
      <c r="CH55" s="3"/>
      <c r="CI55" s="3"/>
      <c r="CJ55" s="3"/>
      <c r="CK55" s="3"/>
      <c r="CL55" s="3"/>
      <c r="CM55" s="3"/>
      <c r="CN55" s="3"/>
      <c r="CO55" s="3"/>
      <c r="CP55" s="3"/>
      <c r="CQ55" s="3"/>
      <c r="CR55" s="3"/>
      <c r="CS55" s="32"/>
      <c r="CT55" s="32"/>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Y55" s="1"/>
      <c r="EZ55" s="1"/>
      <c r="FA55" s="1"/>
    </row>
    <row r="56" spans="9:157" ht="15.75" customHeight="1" x14ac:dyDescent="0.25">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2"/>
      <c r="AW56" s="3"/>
      <c r="AX56" s="3"/>
      <c r="AY56" s="3"/>
      <c r="AZ56" s="3"/>
      <c r="BA56" s="3"/>
      <c r="BB56" s="2"/>
      <c r="BC56" s="3"/>
      <c r="BD56" s="3"/>
      <c r="BE56" s="3"/>
      <c r="BF56" s="3"/>
      <c r="BG56" s="3"/>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3"/>
      <c r="CH56" s="3"/>
      <c r="CI56" s="3"/>
      <c r="CJ56" s="3"/>
      <c r="CK56" s="3"/>
      <c r="CL56" s="3"/>
      <c r="CM56" s="3"/>
      <c r="CN56" s="3"/>
      <c r="CO56" s="3"/>
      <c r="CP56" s="3"/>
      <c r="CQ56" s="3"/>
      <c r="CR56" s="3"/>
      <c r="CS56" s="32"/>
      <c r="CT56" s="32"/>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Y56" s="1"/>
      <c r="EZ56" s="1"/>
      <c r="FA56" s="1"/>
    </row>
    <row r="57" spans="9:157" ht="15.75" customHeight="1" x14ac:dyDescent="0.25">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2"/>
      <c r="AW57" s="3"/>
      <c r="AX57" s="3"/>
      <c r="AY57" s="3"/>
      <c r="AZ57" s="3"/>
      <c r="BA57" s="3"/>
      <c r="BB57" s="2"/>
      <c r="BC57" s="3"/>
      <c r="BD57" s="3"/>
      <c r="BE57" s="3"/>
      <c r="BF57" s="3"/>
      <c r="BG57" s="3"/>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3"/>
      <c r="CH57" s="3"/>
      <c r="CI57" s="3"/>
      <c r="CJ57" s="3"/>
      <c r="CK57" s="3"/>
      <c r="CL57" s="3"/>
      <c r="CM57" s="3"/>
      <c r="CN57" s="3"/>
      <c r="CO57" s="3"/>
      <c r="CP57" s="3"/>
      <c r="CQ57" s="3"/>
      <c r="CR57" s="3"/>
      <c r="CS57" s="32"/>
      <c r="CT57" s="32"/>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Y57" s="1"/>
      <c r="EZ57" s="1"/>
      <c r="FA57" s="1"/>
    </row>
    <row r="58" spans="9:157" ht="15.75" customHeight="1" x14ac:dyDescent="0.2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2"/>
      <c r="AW58" s="3"/>
      <c r="AX58" s="3"/>
      <c r="AY58" s="3"/>
      <c r="AZ58" s="3"/>
      <c r="BA58" s="3"/>
      <c r="BB58" s="2"/>
      <c r="BC58" s="3"/>
      <c r="BD58" s="3"/>
      <c r="BE58" s="3"/>
      <c r="BF58" s="3"/>
      <c r="BG58" s="3"/>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3"/>
      <c r="CH58" s="3"/>
      <c r="CI58" s="3"/>
      <c r="CJ58" s="3"/>
      <c r="CK58" s="3"/>
      <c r="CL58" s="3"/>
      <c r="CM58" s="3"/>
      <c r="CN58" s="3"/>
      <c r="CO58" s="3"/>
      <c r="CP58" s="3"/>
      <c r="CQ58" s="3"/>
      <c r="CR58" s="3"/>
      <c r="CS58" s="32"/>
      <c r="CT58" s="32"/>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Y58" s="1"/>
      <c r="EZ58" s="1"/>
      <c r="FA58" s="1"/>
    </row>
    <row r="59" spans="9:157" ht="15.75" customHeight="1" x14ac:dyDescent="0.2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2"/>
      <c r="AW59" s="3"/>
      <c r="AX59" s="3"/>
      <c r="AY59" s="3"/>
      <c r="AZ59" s="3"/>
      <c r="BA59" s="3"/>
      <c r="BB59" s="2"/>
      <c r="BC59" s="3"/>
      <c r="BD59" s="3"/>
      <c r="BE59" s="3"/>
      <c r="BF59" s="3"/>
      <c r="BG59" s="3"/>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3"/>
      <c r="CH59" s="3"/>
      <c r="CI59" s="3"/>
      <c r="CJ59" s="3"/>
      <c r="CK59" s="3"/>
      <c r="CL59" s="3"/>
      <c r="CM59" s="3"/>
      <c r="CN59" s="3"/>
      <c r="CO59" s="3"/>
      <c r="CP59" s="3"/>
      <c r="CQ59" s="3"/>
      <c r="CR59" s="3"/>
      <c r="CS59" s="32"/>
      <c r="CT59" s="32"/>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Y59" s="1"/>
      <c r="EZ59" s="1"/>
      <c r="FA59" s="1"/>
    </row>
    <row r="60" spans="9:157" ht="15.75" customHeight="1" x14ac:dyDescent="0.2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2"/>
      <c r="AW60" s="3"/>
      <c r="AX60" s="3"/>
      <c r="AY60" s="3"/>
      <c r="AZ60" s="3"/>
      <c r="BA60" s="3"/>
      <c r="BB60" s="2"/>
      <c r="BC60" s="3"/>
      <c r="BD60" s="3"/>
      <c r="BE60" s="3"/>
      <c r="BF60" s="3"/>
      <c r="BG60" s="3"/>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3"/>
      <c r="CH60" s="3"/>
      <c r="CI60" s="3"/>
      <c r="CJ60" s="3"/>
      <c r="CK60" s="3"/>
      <c r="CL60" s="3"/>
      <c r="CM60" s="3"/>
      <c r="CN60" s="3"/>
      <c r="CO60" s="3"/>
      <c r="CP60" s="3"/>
      <c r="CQ60" s="3"/>
      <c r="CR60" s="3"/>
      <c r="CS60" s="32"/>
      <c r="CT60" s="32"/>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Y60" s="1"/>
      <c r="EZ60" s="1"/>
      <c r="FA60" s="1"/>
    </row>
    <row r="61" spans="9:157" ht="15.75" customHeight="1" x14ac:dyDescent="0.2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2"/>
      <c r="AW61" s="3"/>
      <c r="AX61" s="3"/>
      <c r="AY61" s="3"/>
      <c r="AZ61" s="3"/>
      <c r="BA61" s="3"/>
      <c r="BB61" s="2"/>
      <c r="BC61" s="3"/>
      <c r="BD61" s="3"/>
      <c r="BE61" s="3"/>
      <c r="BF61" s="3"/>
      <c r="BG61" s="3"/>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3"/>
      <c r="CH61" s="3"/>
      <c r="CI61" s="3"/>
      <c r="CJ61" s="3"/>
      <c r="CK61" s="3"/>
      <c r="CL61" s="3"/>
      <c r="CM61" s="3"/>
      <c r="CN61" s="3"/>
      <c r="CO61" s="3"/>
      <c r="CP61" s="3"/>
      <c r="CQ61" s="3"/>
      <c r="CR61" s="3"/>
      <c r="CS61" s="32"/>
      <c r="CT61" s="32"/>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Y61" s="1"/>
      <c r="EZ61" s="1"/>
      <c r="FA61" s="1"/>
    </row>
    <row r="62" spans="9:157" ht="15.75" customHeight="1" x14ac:dyDescent="0.2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2"/>
      <c r="AW62" s="3"/>
      <c r="AX62" s="3"/>
      <c r="AY62" s="3"/>
      <c r="AZ62" s="3"/>
      <c r="BA62" s="3"/>
      <c r="BB62" s="2"/>
      <c r="BC62" s="3"/>
      <c r="BD62" s="3"/>
      <c r="BE62" s="3"/>
      <c r="BF62" s="3"/>
      <c r="BG62" s="3"/>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3"/>
      <c r="CH62" s="3"/>
      <c r="CI62" s="3"/>
      <c r="CJ62" s="3"/>
      <c r="CK62" s="3"/>
      <c r="CL62" s="3"/>
      <c r="CM62" s="3"/>
      <c r="CN62" s="3"/>
      <c r="CO62" s="3"/>
      <c r="CP62" s="3"/>
      <c r="CQ62" s="3"/>
      <c r="CR62" s="3"/>
      <c r="CS62" s="32"/>
      <c r="CT62" s="32"/>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Y62" s="1"/>
      <c r="EZ62" s="1"/>
      <c r="FA62" s="1"/>
    </row>
    <row r="63" spans="9:157" ht="15.75" customHeight="1" x14ac:dyDescent="0.2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2"/>
      <c r="AW63" s="3"/>
      <c r="AX63" s="3"/>
      <c r="AY63" s="3"/>
      <c r="AZ63" s="3"/>
      <c r="BA63" s="3"/>
      <c r="BB63" s="2"/>
      <c r="BC63" s="3"/>
      <c r="BD63" s="3"/>
      <c r="BE63" s="3"/>
      <c r="BF63" s="3"/>
      <c r="BG63" s="3"/>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3"/>
      <c r="CH63" s="3"/>
      <c r="CI63" s="3"/>
      <c r="CJ63" s="3"/>
      <c r="CK63" s="3"/>
      <c r="CL63" s="3"/>
      <c r="CM63" s="3"/>
      <c r="CN63" s="3"/>
      <c r="CO63" s="3"/>
      <c r="CP63" s="3"/>
      <c r="CQ63" s="3"/>
      <c r="CR63" s="3"/>
      <c r="CS63" s="32"/>
      <c r="CT63" s="32"/>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Y63" s="1"/>
      <c r="EZ63" s="1"/>
      <c r="FA63" s="1"/>
    </row>
    <row r="64" spans="9:157" ht="15.75" customHeight="1" x14ac:dyDescent="0.2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2"/>
      <c r="AW64" s="3"/>
      <c r="AX64" s="3"/>
      <c r="AY64" s="3"/>
      <c r="AZ64" s="3"/>
      <c r="BA64" s="3"/>
      <c r="BB64" s="2"/>
      <c r="BC64" s="3"/>
      <c r="BD64" s="3"/>
      <c r="BE64" s="3"/>
      <c r="BF64" s="3"/>
      <c r="BG64" s="3"/>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3"/>
      <c r="CH64" s="3"/>
      <c r="CI64" s="3"/>
      <c r="CJ64" s="3"/>
      <c r="CK64" s="3"/>
      <c r="CL64" s="3"/>
      <c r="CM64" s="3"/>
      <c r="CN64" s="3"/>
      <c r="CO64" s="3"/>
      <c r="CP64" s="3"/>
      <c r="CQ64" s="3"/>
      <c r="CR64" s="3"/>
      <c r="CS64" s="32"/>
      <c r="CT64" s="32"/>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Y64" s="1"/>
      <c r="EZ64" s="1"/>
      <c r="FA64" s="1"/>
    </row>
    <row r="65" spans="9:157" ht="15.75" customHeight="1" x14ac:dyDescent="0.2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2"/>
      <c r="AW65" s="3"/>
      <c r="AX65" s="3"/>
      <c r="AY65" s="3"/>
      <c r="AZ65" s="3"/>
      <c r="BA65" s="3"/>
      <c r="BB65" s="2"/>
      <c r="BC65" s="3"/>
      <c r="BD65" s="3"/>
      <c r="BE65" s="3"/>
      <c r="BF65" s="3"/>
      <c r="BG65" s="3"/>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3"/>
      <c r="CH65" s="3"/>
      <c r="CI65" s="3"/>
      <c r="CJ65" s="3"/>
      <c r="CK65" s="3"/>
      <c r="CL65" s="3"/>
      <c r="CM65" s="3"/>
      <c r="CN65" s="3"/>
      <c r="CO65" s="3"/>
      <c r="CP65" s="3"/>
      <c r="CQ65" s="3"/>
      <c r="CR65" s="3"/>
      <c r="CS65" s="32"/>
      <c r="CT65" s="32"/>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Y65" s="1"/>
      <c r="EZ65" s="1"/>
      <c r="FA65" s="1"/>
    </row>
    <row r="66" spans="9:157" ht="15.75" customHeight="1" x14ac:dyDescent="0.2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2"/>
      <c r="AW66" s="3"/>
      <c r="AX66" s="3"/>
      <c r="AY66" s="3"/>
      <c r="AZ66" s="3"/>
      <c r="BA66" s="3"/>
      <c r="BB66" s="2"/>
      <c r="BC66" s="3"/>
      <c r="BD66" s="3"/>
      <c r="BE66" s="3"/>
      <c r="BF66" s="3"/>
      <c r="BG66" s="3"/>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3"/>
      <c r="CH66" s="3"/>
      <c r="CI66" s="3"/>
      <c r="CJ66" s="3"/>
      <c r="CK66" s="3"/>
      <c r="CL66" s="3"/>
      <c r="CM66" s="3"/>
      <c r="CN66" s="3"/>
      <c r="CO66" s="3"/>
      <c r="CP66" s="3"/>
      <c r="CQ66" s="3"/>
      <c r="CR66" s="3"/>
      <c r="CS66" s="32"/>
      <c r="CT66" s="32"/>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Y66" s="1"/>
      <c r="EZ66" s="1"/>
      <c r="FA66" s="1"/>
    </row>
    <row r="67" spans="9:157" ht="15.75" customHeight="1" x14ac:dyDescent="0.2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2"/>
      <c r="AW67" s="3"/>
      <c r="AX67" s="3"/>
      <c r="AY67" s="3"/>
      <c r="AZ67" s="3"/>
      <c r="BA67" s="3"/>
      <c r="BB67" s="2"/>
      <c r="BC67" s="3"/>
      <c r="BD67" s="3"/>
      <c r="BE67" s="3"/>
      <c r="BF67" s="3"/>
      <c r="BG67" s="3"/>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3"/>
      <c r="CH67" s="3"/>
      <c r="CI67" s="3"/>
      <c r="CJ67" s="3"/>
      <c r="CK67" s="3"/>
      <c r="CL67" s="3"/>
      <c r="CM67" s="3"/>
      <c r="CN67" s="3"/>
      <c r="CO67" s="3"/>
      <c r="CP67" s="3"/>
      <c r="CQ67" s="3"/>
      <c r="CR67" s="3"/>
      <c r="CS67" s="32"/>
      <c r="CT67" s="32"/>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Y67" s="1"/>
      <c r="EZ67" s="1"/>
      <c r="FA67" s="1"/>
    </row>
    <row r="68" spans="9:157" ht="15.75" customHeight="1" x14ac:dyDescent="0.2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2"/>
      <c r="AW68" s="3"/>
      <c r="AX68" s="3"/>
      <c r="AY68" s="3"/>
      <c r="AZ68" s="3"/>
      <c r="BA68" s="3"/>
      <c r="BB68" s="2"/>
      <c r="BC68" s="3"/>
      <c r="BD68" s="3"/>
      <c r="BE68" s="3"/>
      <c r="BF68" s="3"/>
      <c r="BG68" s="3"/>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3"/>
      <c r="CH68" s="3"/>
      <c r="CI68" s="3"/>
      <c r="CJ68" s="3"/>
      <c r="CK68" s="3"/>
      <c r="CL68" s="3"/>
      <c r="CM68" s="3"/>
      <c r="CN68" s="3"/>
      <c r="CO68" s="3"/>
      <c r="CP68" s="3"/>
      <c r="CQ68" s="3"/>
      <c r="CR68" s="3"/>
      <c r="CS68" s="32"/>
      <c r="CT68" s="32"/>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Y68" s="1"/>
      <c r="EZ68" s="1"/>
      <c r="FA68" s="1"/>
    </row>
    <row r="69" spans="9:157" ht="15.75" customHeight="1" x14ac:dyDescent="0.2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2"/>
      <c r="AW69" s="3"/>
      <c r="AX69" s="3"/>
      <c r="AY69" s="3"/>
      <c r="AZ69" s="3"/>
      <c r="BA69" s="3"/>
      <c r="BB69" s="2"/>
      <c r="BC69" s="3"/>
      <c r="BD69" s="3"/>
      <c r="BE69" s="3"/>
      <c r="BF69" s="3"/>
      <c r="BG69" s="3"/>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3"/>
      <c r="CH69" s="3"/>
      <c r="CI69" s="3"/>
      <c r="CJ69" s="3"/>
      <c r="CK69" s="3"/>
      <c r="CL69" s="3"/>
      <c r="CM69" s="3"/>
      <c r="CN69" s="3"/>
      <c r="CO69" s="3"/>
      <c r="CP69" s="3"/>
      <c r="CQ69" s="3"/>
      <c r="CR69" s="3"/>
      <c r="CS69" s="32"/>
      <c r="CT69" s="32"/>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Y69" s="1"/>
      <c r="EZ69" s="1"/>
      <c r="FA69" s="1"/>
    </row>
    <row r="70" spans="9:157" ht="15.75" customHeight="1" x14ac:dyDescent="0.2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2"/>
      <c r="AW70" s="3"/>
      <c r="AX70" s="3"/>
      <c r="AY70" s="3"/>
      <c r="AZ70" s="3"/>
      <c r="BA70" s="3"/>
      <c r="BB70" s="2"/>
      <c r="BC70" s="3"/>
      <c r="BD70" s="3"/>
      <c r="BE70" s="3"/>
      <c r="BF70" s="3"/>
      <c r="BG70" s="3"/>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3"/>
      <c r="CH70" s="3"/>
      <c r="CI70" s="3"/>
      <c r="CJ70" s="3"/>
      <c r="CK70" s="3"/>
      <c r="CL70" s="3"/>
      <c r="CM70" s="3"/>
      <c r="CN70" s="3"/>
      <c r="CO70" s="3"/>
      <c r="CP70" s="3"/>
      <c r="CQ70" s="3"/>
      <c r="CR70" s="3"/>
      <c r="CS70" s="32"/>
      <c r="CT70" s="32"/>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Y70" s="1"/>
      <c r="EZ70" s="1"/>
      <c r="FA70" s="1"/>
    </row>
    <row r="71" spans="9:157" ht="15.75" customHeight="1" x14ac:dyDescent="0.25">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2"/>
      <c r="AW71" s="3"/>
      <c r="AX71" s="3"/>
      <c r="AY71" s="3"/>
      <c r="AZ71" s="3"/>
      <c r="BA71" s="3"/>
      <c r="BB71" s="2"/>
      <c r="BC71" s="3"/>
      <c r="BD71" s="3"/>
      <c r="BE71" s="3"/>
      <c r="BF71" s="3"/>
      <c r="BG71" s="3"/>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3"/>
      <c r="CH71" s="3"/>
      <c r="CI71" s="3"/>
      <c r="CJ71" s="3"/>
      <c r="CK71" s="3"/>
      <c r="CL71" s="3"/>
      <c r="CM71" s="3"/>
      <c r="CN71" s="3"/>
      <c r="CO71" s="3"/>
      <c r="CP71" s="3"/>
      <c r="CQ71" s="3"/>
      <c r="CR71" s="3"/>
      <c r="CS71" s="32"/>
      <c r="CT71" s="32"/>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Y71" s="1"/>
      <c r="EZ71" s="1"/>
      <c r="FA71" s="1"/>
    </row>
    <row r="72" spans="9:157" ht="15.75" customHeight="1" x14ac:dyDescent="0.25">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2"/>
      <c r="AW72" s="3"/>
      <c r="AX72" s="3"/>
      <c r="AY72" s="3"/>
      <c r="AZ72" s="3"/>
      <c r="BA72" s="3"/>
      <c r="BB72" s="2"/>
      <c r="BC72" s="3"/>
      <c r="BD72" s="3"/>
      <c r="BE72" s="3"/>
      <c r="BF72" s="3"/>
      <c r="BG72" s="3"/>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3"/>
      <c r="CH72" s="3"/>
      <c r="CI72" s="3"/>
      <c r="CJ72" s="3"/>
      <c r="CK72" s="3"/>
      <c r="CL72" s="3"/>
      <c r="CM72" s="3"/>
      <c r="CN72" s="3"/>
      <c r="CO72" s="3"/>
      <c r="CP72" s="3"/>
      <c r="CQ72" s="3"/>
      <c r="CR72" s="3"/>
      <c r="CS72" s="32"/>
      <c r="CT72" s="32"/>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Y72" s="1"/>
      <c r="EZ72" s="1"/>
      <c r="FA72" s="1"/>
    </row>
    <row r="73" spans="9:157" ht="15.75" customHeight="1" x14ac:dyDescent="0.2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2"/>
      <c r="AW73" s="3"/>
      <c r="AX73" s="3"/>
      <c r="AY73" s="3"/>
      <c r="AZ73" s="3"/>
      <c r="BA73" s="3"/>
      <c r="BB73" s="2"/>
      <c r="BC73" s="3"/>
      <c r="BD73" s="3"/>
      <c r="BE73" s="3"/>
      <c r="BF73" s="3"/>
      <c r="BG73" s="3"/>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3"/>
      <c r="CH73" s="3"/>
      <c r="CI73" s="3"/>
      <c r="CJ73" s="3"/>
      <c r="CK73" s="3"/>
      <c r="CL73" s="3"/>
      <c r="CM73" s="3"/>
      <c r="CN73" s="3"/>
      <c r="CO73" s="3"/>
      <c r="CP73" s="3"/>
      <c r="CQ73" s="3"/>
      <c r="CR73" s="3"/>
      <c r="CS73" s="32"/>
      <c r="CT73" s="32"/>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Y73" s="1"/>
      <c r="EZ73" s="1"/>
      <c r="FA73" s="1"/>
    </row>
    <row r="74" spans="9:157" ht="15.75" customHeight="1" x14ac:dyDescent="0.25">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2"/>
      <c r="AW74" s="3"/>
      <c r="AX74" s="3"/>
      <c r="AY74" s="3"/>
      <c r="AZ74" s="3"/>
      <c r="BA74" s="3"/>
      <c r="BB74" s="2"/>
      <c r="BC74" s="3"/>
      <c r="BD74" s="3"/>
      <c r="BE74" s="3"/>
      <c r="BF74" s="3"/>
      <c r="BG74" s="3"/>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3"/>
      <c r="CH74" s="3"/>
      <c r="CI74" s="3"/>
      <c r="CJ74" s="3"/>
      <c r="CK74" s="3"/>
      <c r="CL74" s="3"/>
      <c r="CM74" s="3"/>
      <c r="CN74" s="3"/>
      <c r="CO74" s="3"/>
      <c r="CP74" s="3"/>
      <c r="CQ74" s="3"/>
      <c r="CR74" s="3"/>
      <c r="CS74" s="32"/>
      <c r="CT74" s="32"/>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Y74" s="1"/>
      <c r="EZ74" s="1"/>
      <c r="FA74" s="1"/>
    </row>
    <row r="75" spans="9:157" ht="15.75" customHeight="1" x14ac:dyDescent="0.25">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2"/>
      <c r="AW75" s="3"/>
      <c r="AX75" s="3"/>
      <c r="AY75" s="3"/>
      <c r="AZ75" s="3"/>
      <c r="BA75" s="3"/>
      <c r="BB75" s="2"/>
      <c r="BC75" s="3"/>
      <c r="BD75" s="3"/>
      <c r="BE75" s="3"/>
      <c r="BF75" s="3"/>
      <c r="BG75" s="3"/>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3"/>
      <c r="CH75" s="3"/>
      <c r="CI75" s="3"/>
      <c r="CJ75" s="3"/>
      <c r="CK75" s="3"/>
      <c r="CL75" s="3"/>
      <c r="CM75" s="3"/>
      <c r="CN75" s="3"/>
      <c r="CO75" s="3"/>
      <c r="CP75" s="3"/>
      <c r="CQ75" s="3"/>
      <c r="CR75" s="3"/>
      <c r="CS75" s="32"/>
      <c r="CT75" s="32"/>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Y75" s="1"/>
      <c r="EZ75" s="1"/>
      <c r="FA75" s="1"/>
    </row>
    <row r="76" spans="9:157" ht="15.75" customHeight="1" x14ac:dyDescent="0.25">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2"/>
      <c r="AW76" s="3"/>
      <c r="AX76" s="3"/>
      <c r="AY76" s="3"/>
      <c r="AZ76" s="3"/>
      <c r="BA76" s="3"/>
      <c r="BB76" s="2"/>
      <c r="BC76" s="3"/>
      <c r="BD76" s="3"/>
      <c r="BE76" s="3"/>
      <c r="BF76" s="3"/>
      <c r="BG76" s="3"/>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3"/>
      <c r="CH76" s="3"/>
      <c r="CI76" s="3"/>
      <c r="CJ76" s="3"/>
      <c r="CK76" s="3"/>
      <c r="CL76" s="3"/>
      <c r="CM76" s="3"/>
      <c r="CN76" s="3"/>
      <c r="CO76" s="3"/>
      <c r="CP76" s="3"/>
      <c r="CQ76" s="3"/>
      <c r="CR76" s="3"/>
      <c r="CS76" s="32"/>
      <c r="CT76" s="32"/>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Y76" s="1"/>
      <c r="EZ76" s="1"/>
      <c r="FA76" s="1"/>
    </row>
    <row r="77" spans="9:157" ht="15.75" customHeight="1" x14ac:dyDescent="0.25">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2"/>
      <c r="AW77" s="3"/>
      <c r="AX77" s="3"/>
      <c r="AY77" s="3"/>
      <c r="AZ77" s="3"/>
      <c r="BA77" s="3"/>
      <c r="BB77" s="2"/>
      <c r="BC77" s="3"/>
      <c r="BD77" s="3"/>
      <c r="BE77" s="3"/>
      <c r="BF77" s="3"/>
      <c r="BG77" s="3"/>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3"/>
      <c r="CH77" s="3"/>
      <c r="CI77" s="3"/>
      <c r="CJ77" s="3"/>
      <c r="CK77" s="3"/>
      <c r="CL77" s="3"/>
      <c r="CM77" s="3"/>
      <c r="CN77" s="3"/>
      <c r="CO77" s="3"/>
      <c r="CP77" s="3"/>
      <c r="CQ77" s="3"/>
      <c r="CR77" s="3"/>
      <c r="CS77" s="32"/>
      <c r="CT77" s="32"/>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Y77" s="1"/>
      <c r="EZ77" s="1"/>
      <c r="FA77" s="1"/>
    </row>
    <row r="78" spans="9:157" ht="15.75" customHeight="1" x14ac:dyDescent="0.2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2"/>
      <c r="AW78" s="3"/>
      <c r="AX78" s="3"/>
      <c r="AY78" s="3"/>
      <c r="AZ78" s="3"/>
      <c r="BA78" s="3"/>
      <c r="BB78" s="2"/>
      <c r="BC78" s="3"/>
      <c r="BD78" s="3"/>
      <c r="BE78" s="3"/>
      <c r="BF78" s="3"/>
      <c r="BG78" s="3"/>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3"/>
      <c r="CH78" s="3"/>
      <c r="CI78" s="3"/>
      <c r="CJ78" s="3"/>
      <c r="CK78" s="3"/>
      <c r="CL78" s="3"/>
      <c r="CM78" s="3"/>
      <c r="CN78" s="3"/>
      <c r="CO78" s="3"/>
      <c r="CP78" s="3"/>
      <c r="CQ78" s="3"/>
      <c r="CR78" s="3"/>
      <c r="CS78" s="32"/>
      <c r="CT78" s="32"/>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Y78" s="1"/>
      <c r="EZ78" s="1"/>
      <c r="FA78" s="1"/>
    </row>
    <row r="79" spans="9:157" ht="15.75" customHeight="1" x14ac:dyDescent="0.25">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2"/>
      <c r="AW79" s="3"/>
      <c r="AX79" s="3"/>
      <c r="AY79" s="3"/>
      <c r="AZ79" s="3"/>
      <c r="BA79" s="3"/>
      <c r="BB79" s="2"/>
      <c r="BC79" s="3"/>
      <c r="BD79" s="3"/>
      <c r="BE79" s="3"/>
      <c r="BF79" s="3"/>
      <c r="BG79" s="3"/>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3"/>
      <c r="CH79" s="3"/>
      <c r="CI79" s="3"/>
      <c r="CJ79" s="3"/>
      <c r="CK79" s="3"/>
      <c r="CL79" s="3"/>
      <c r="CM79" s="3"/>
      <c r="CN79" s="3"/>
      <c r="CO79" s="3"/>
      <c r="CP79" s="3"/>
      <c r="CQ79" s="3"/>
      <c r="CR79" s="3"/>
      <c r="CS79" s="32"/>
      <c r="CT79" s="32"/>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Y79" s="1"/>
      <c r="EZ79" s="1"/>
      <c r="FA79" s="1"/>
    </row>
    <row r="80" spans="9:157" ht="15.75" customHeight="1" x14ac:dyDescent="0.25">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2"/>
      <c r="AW80" s="3"/>
      <c r="AX80" s="3"/>
      <c r="AY80" s="3"/>
      <c r="AZ80" s="3"/>
      <c r="BA80" s="3"/>
      <c r="BB80" s="2"/>
      <c r="BC80" s="3"/>
      <c r="BD80" s="3"/>
      <c r="BE80" s="3"/>
      <c r="BF80" s="3"/>
      <c r="BG80" s="3"/>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3"/>
      <c r="CH80" s="3"/>
      <c r="CI80" s="3"/>
      <c r="CJ80" s="3"/>
      <c r="CK80" s="3"/>
      <c r="CL80" s="3"/>
      <c r="CM80" s="3"/>
      <c r="CN80" s="3"/>
      <c r="CO80" s="3"/>
      <c r="CP80" s="3"/>
      <c r="CQ80" s="3"/>
      <c r="CR80" s="3"/>
      <c r="CS80" s="32"/>
      <c r="CT80" s="32"/>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Y80" s="1"/>
      <c r="EZ80" s="1"/>
      <c r="FA80" s="1"/>
    </row>
    <row r="81" spans="9:157" ht="15.75" customHeight="1" x14ac:dyDescent="0.25">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2"/>
      <c r="AW81" s="3"/>
      <c r="AX81" s="3"/>
      <c r="AY81" s="3"/>
      <c r="AZ81" s="3"/>
      <c r="BA81" s="3"/>
      <c r="BB81" s="2"/>
      <c r="BC81" s="3"/>
      <c r="BD81" s="3"/>
      <c r="BE81" s="3"/>
      <c r="BF81" s="3"/>
      <c r="BG81" s="3"/>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3"/>
      <c r="CH81" s="3"/>
      <c r="CI81" s="3"/>
      <c r="CJ81" s="3"/>
      <c r="CK81" s="3"/>
      <c r="CL81" s="3"/>
      <c r="CM81" s="3"/>
      <c r="CN81" s="3"/>
      <c r="CO81" s="3"/>
      <c r="CP81" s="3"/>
      <c r="CQ81" s="3"/>
      <c r="CR81" s="3"/>
      <c r="CS81" s="32"/>
      <c r="CT81" s="32"/>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Y81" s="1"/>
      <c r="EZ81" s="1"/>
      <c r="FA81" s="1"/>
    </row>
    <row r="82" spans="9:157" ht="15.75" customHeight="1" x14ac:dyDescent="0.25">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2"/>
      <c r="AW82" s="3"/>
      <c r="AX82" s="3"/>
      <c r="AY82" s="3"/>
      <c r="AZ82" s="3"/>
      <c r="BA82" s="3"/>
      <c r="BB82" s="2"/>
      <c r="BC82" s="3"/>
      <c r="BD82" s="3"/>
      <c r="BE82" s="3"/>
      <c r="BF82" s="3"/>
      <c r="BG82" s="3"/>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3"/>
      <c r="CH82" s="3"/>
      <c r="CI82" s="3"/>
      <c r="CJ82" s="3"/>
      <c r="CK82" s="3"/>
      <c r="CL82" s="3"/>
      <c r="CM82" s="3"/>
      <c r="CN82" s="3"/>
      <c r="CO82" s="3"/>
      <c r="CP82" s="3"/>
      <c r="CQ82" s="3"/>
      <c r="CR82" s="3"/>
      <c r="CS82" s="32"/>
      <c r="CT82" s="32"/>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Y82" s="1"/>
      <c r="EZ82" s="1"/>
      <c r="FA82" s="1"/>
    </row>
    <row r="83" spans="9:157" ht="15.75" customHeight="1" x14ac:dyDescent="0.25">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2"/>
      <c r="AW83" s="3"/>
      <c r="AX83" s="3"/>
      <c r="AY83" s="3"/>
      <c r="AZ83" s="3"/>
      <c r="BA83" s="3"/>
      <c r="BB83" s="2"/>
      <c r="BC83" s="3"/>
      <c r="BD83" s="3"/>
      <c r="BE83" s="3"/>
      <c r="BF83" s="3"/>
      <c r="BG83" s="3"/>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3"/>
      <c r="CH83" s="3"/>
      <c r="CI83" s="3"/>
      <c r="CJ83" s="3"/>
      <c r="CK83" s="3"/>
      <c r="CL83" s="3"/>
      <c r="CM83" s="3"/>
      <c r="CN83" s="3"/>
      <c r="CO83" s="3"/>
      <c r="CP83" s="3"/>
      <c r="CQ83" s="3"/>
      <c r="CR83" s="3"/>
      <c r="CS83" s="32"/>
      <c r="CT83" s="32"/>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Y83" s="1"/>
      <c r="EZ83" s="1"/>
      <c r="FA83" s="1"/>
    </row>
    <row r="84" spans="9:157" ht="15.75" customHeight="1" x14ac:dyDescent="0.25">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2"/>
      <c r="AW84" s="3"/>
      <c r="AX84" s="3"/>
      <c r="AY84" s="3"/>
      <c r="AZ84" s="3"/>
      <c r="BA84" s="3"/>
      <c r="BB84" s="2"/>
      <c r="BC84" s="3"/>
      <c r="BD84" s="3"/>
      <c r="BE84" s="3"/>
      <c r="BF84" s="3"/>
      <c r="BG84" s="3"/>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3"/>
      <c r="CH84" s="3"/>
      <c r="CI84" s="3"/>
      <c r="CJ84" s="3"/>
      <c r="CK84" s="3"/>
      <c r="CL84" s="3"/>
      <c r="CM84" s="3"/>
      <c r="CN84" s="3"/>
      <c r="CO84" s="3"/>
      <c r="CP84" s="3"/>
      <c r="CQ84" s="3"/>
      <c r="CR84" s="3"/>
      <c r="CS84" s="32"/>
      <c r="CT84" s="32"/>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Y84" s="1"/>
      <c r="EZ84" s="1"/>
      <c r="FA84" s="1"/>
    </row>
    <row r="85" spans="9:157" ht="15.75" customHeight="1" x14ac:dyDescent="0.25">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2"/>
      <c r="AW85" s="3"/>
      <c r="AX85" s="3"/>
      <c r="AY85" s="3"/>
      <c r="AZ85" s="3"/>
      <c r="BA85" s="3"/>
      <c r="BB85" s="2"/>
      <c r="BC85" s="3"/>
      <c r="BD85" s="3"/>
      <c r="BE85" s="3"/>
      <c r="BF85" s="3"/>
      <c r="BG85" s="3"/>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3"/>
      <c r="CH85" s="3"/>
      <c r="CI85" s="3"/>
      <c r="CJ85" s="3"/>
      <c r="CK85" s="3"/>
      <c r="CL85" s="3"/>
      <c r="CM85" s="3"/>
      <c r="CN85" s="3"/>
      <c r="CO85" s="3"/>
      <c r="CP85" s="3"/>
      <c r="CQ85" s="3"/>
      <c r="CR85" s="3"/>
      <c r="CS85" s="32"/>
      <c r="CT85" s="32"/>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Y85" s="1"/>
      <c r="EZ85" s="1"/>
      <c r="FA85" s="1"/>
    </row>
    <row r="86" spans="9:157" ht="15.75" customHeight="1" x14ac:dyDescent="0.2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2"/>
      <c r="AW86" s="3"/>
      <c r="AX86" s="3"/>
      <c r="AY86" s="3"/>
      <c r="AZ86" s="3"/>
      <c r="BA86" s="3"/>
      <c r="BB86" s="2"/>
      <c r="BC86" s="3"/>
      <c r="BD86" s="3"/>
      <c r="BE86" s="3"/>
      <c r="BF86" s="3"/>
      <c r="BG86" s="3"/>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3"/>
      <c r="CH86" s="3"/>
      <c r="CI86" s="3"/>
      <c r="CJ86" s="3"/>
      <c r="CK86" s="3"/>
      <c r="CL86" s="3"/>
      <c r="CM86" s="3"/>
      <c r="CN86" s="3"/>
      <c r="CO86" s="3"/>
      <c r="CP86" s="3"/>
      <c r="CQ86" s="3"/>
      <c r="CR86" s="3"/>
      <c r="CS86" s="32"/>
      <c r="CT86" s="32"/>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Y86" s="1"/>
      <c r="EZ86" s="1"/>
      <c r="FA86" s="1"/>
    </row>
    <row r="87" spans="9:157" ht="15.75" customHeight="1" x14ac:dyDescent="0.25">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2"/>
      <c r="AW87" s="3"/>
      <c r="AX87" s="3"/>
      <c r="AY87" s="3"/>
      <c r="AZ87" s="3"/>
      <c r="BA87" s="3"/>
      <c r="BB87" s="2"/>
      <c r="BC87" s="3"/>
      <c r="BD87" s="3"/>
      <c r="BE87" s="3"/>
      <c r="BF87" s="3"/>
      <c r="BG87" s="3"/>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3"/>
      <c r="CH87" s="3"/>
      <c r="CI87" s="3"/>
      <c r="CJ87" s="3"/>
      <c r="CK87" s="3"/>
      <c r="CL87" s="3"/>
      <c r="CM87" s="3"/>
      <c r="CN87" s="3"/>
      <c r="CO87" s="3"/>
      <c r="CP87" s="3"/>
      <c r="CQ87" s="3"/>
      <c r="CR87" s="3"/>
      <c r="CS87" s="32"/>
      <c r="CT87" s="32"/>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Y87" s="1"/>
      <c r="EZ87" s="1"/>
      <c r="FA87" s="1"/>
    </row>
    <row r="88" spans="9:157" ht="15.75" customHeight="1" x14ac:dyDescent="0.25">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2"/>
      <c r="AW88" s="3"/>
      <c r="AX88" s="3"/>
      <c r="AY88" s="3"/>
      <c r="AZ88" s="3"/>
      <c r="BA88" s="3"/>
      <c r="BB88" s="2"/>
      <c r="BC88" s="3"/>
      <c r="BD88" s="3"/>
      <c r="BE88" s="3"/>
      <c r="BF88" s="3"/>
      <c r="BG88" s="3"/>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3"/>
      <c r="CH88" s="3"/>
      <c r="CI88" s="3"/>
      <c r="CJ88" s="3"/>
      <c r="CK88" s="3"/>
      <c r="CL88" s="3"/>
      <c r="CM88" s="3"/>
      <c r="CN88" s="3"/>
      <c r="CO88" s="3"/>
      <c r="CP88" s="3"/>
      <c r="CQ88" s="3"/>
      <c r="CR88" s="3"/>
      <c r="CS88" s="32"/>
      <c r="CT88" s="32"/>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Y88" s="1"/>
      <c r="EZ88" s="1"/>
      <c r="FA88" s="1"/>
    </row>
    <row r="89" spans="9:157" ht="15.75" customHeight="1" x14ac:dyDescent="0.25">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2"/>
      <c r="AW89" s="3"/>
      <c r="AX89" s="3"/>
      <c r="AY89" s="3"/>
      <c r="AZ89" s="3"/>
      <c r="BA89" s="3"/>
      <c r="BB89" s="2"/>
      <c r="BC89" s="3"/>
      <c r="BD89" s="3"/>
      <c r="BE89" s="3"/>
      <c r="BF89" s="3"/>
      <c r="BG89" s="3"/>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3"/>
      <c r="CH89" s="3"/>
      <c r="CI89" s="3"/>
      <c r="CJ89" s="3"/>
      <c r="CK89" s="3"/>
      <c r="CL89" s="3"/>
      <c r="CM89" s="3"/>
      <c r="CN89" s="3"/>
      <c r="CO89" s="3"/>
      <c r="CP89" s="3"/>
      <c r="CQ89" s="3"/>
      <c r="CR89" s="3"/>
      <c r="CS89" s="32"/>
      <c r="CT89" s="32"/>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Y89" s="1"/>
      <c r="EZ89" s="1"/>
      <c r="FA89" s="1"/>
    </row>
    <row r="90" spans="9:157" ht="15.75" customHeight="1" x14ac:dyDescent="0.25">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2"/>
      <c r="AW90" s="3"/>
      <c r="AX90" s="3"/>
      <c r="AY90" s="3"/>
      <c r="AZ90" s="3"/>
      <c r="BA90" s="3"/>
      <c r="BB90" s="2"/>
      <c r="BC90" s="3"/>
      <c r="BD90" s="3"/>
      <c r="BE90" s="3"/>
      <c r="BF90" s="3"/>
      <c r="BG90" s="3"/>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3"/>
      <c r="CH90" s="3"/>
      <c r="CI90" s="3"/>
      <c r="CJ90" s="3"/>
      <c r="CK90" s="3"/>
      <c r="CL90" s="3"/>
      <c r="CM90" s="3"/>
      <c r="CN90" s="3"/>
      <c r="CO90" s="3"/>
      <c r="CP90" s="3"/>
      <c r="CQ90" s="3"/>
      <c r="CR90" s="3"/>
      <c r="CS90" s="32"/>
      <c r="CT90" s="32"/>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Y90" s="1"/>
      <c r="EZ90" s="1"/>
      <c r="FA90" s="1"/>
    </row>
    <row r="91" spans="9:157" ht="15.75" customHeight="1" x14ac:dyDescent="0.25">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2"/>
      <c r="AW91" s="3"/>
      <c r="AX91" s="3"/>
      <c r="AY91" s="3"/>
      <c r="AZ91" s="3"/>
      <c r="BA91" s="3"/>
      <c r="BB91" s="2"/>
      <c r="BC91" s="3"/>
      <c r="BD91" s="3"/>
      <c r="BE91" s="3"/>
      <c r="BF91" s="3"/>
      <c r="BG91" s="3"/>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3"/>
      <c r="CH91" s="3"/>
      <c r="CI91" s="3"/>
      <c r="CJ91" s="3"/>
      <c r="CK91" s="3"/>
      <c r="CL91" s="3"/>
      <c r="CM91" s="3"/>
      <c r="CN91" s="3"/>
      <c r="CO91" s="3"/>
      <c r="CP91" s="3"/>
      <c r="CQ91" s="3"/>
      <c r="CR91" s="3"/>
      <c r="CS91" s="32"/>
      <c r="CT91" s="32"/>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Y91" s="1"/>
      <c r="EZ91" s="1"/>
      <c r="FA91" s="1"/>
    </row>
    <row r="92" spans="9:157" ht="15.75" customHeight="1" x14ac:dyDescent="0.25">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2"/>
      <c r="AW92" s="3"/>
      <c r="AX92" s="3"/>
      <c r="AY92" s="3"/>
      <c r="AZ92" s="3"/>
      <c r="BA92" s="3"/>
      <c r="BB92" s="2"/>
      <c r="BC92" s="3"/>
      <c r="BD92" s="3"/>
      <c r="BE92" s="3"/>
      <c r="BF92" s="3"/>
      <c r="BG92" s="3"/>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3"/>
      <c r="CH92" s="3"/>
      <c r="CI92" s="3"/>
      <c r="CJ92" s="3"/>
      <c r="CK92" s="3"/>
      <c r="CL92" s="3"/>
      <c r="CM92" s="3"/>
      <c r="CN92" s="3"/>
      <c r="CO92" s="3"/>
      <c r="CP92" s="3"/>
      <c r="CQ92" s="3"/>
      <c r="CR92" s="3"/>
      <c r="CS92" s="32"/>
      <c r="CT92" s="32"/>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Y92" s="1"/>
      <c r="EZ92" s="1"/>
      <c r="FA92" s="1"/>
    </row>
    <row r="93" spans="9:157" ht="15.75" customHeight="1" x14ac:dyDescent="0.25">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2"/>
      <c r="AW93" s="3"/>
      <c r="AX93" s="3"/>
      <c r="AY93" s="3"/>
      <c r="AZ93" s="3"/>
      <c r="BA93" s="3"/>
      <c r="BB93" s="2"/>
      <c r="BC93" s="3"/>
      <c r="BD93" s="3"/>
      <c r="BE93" s="3"/>
      <c r="BF93" s="3"/>
      <c r="BG93" s="3"/>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3"/>
      <c r="CH93" s="3"/>
      <c r="CI93" s="3"/>
      <c r="CJ93" s="3"/>
      <c r="CK93" s="3"/>
      <c r="CL93" s="3"/>
      <c r="CM93" s="3"/>
      <c r="CN93" s="3"/>
      <c r="CO93" s="3"/>
      <c r="CP93" s="3"/>
      <c r="CQ93" s="3"/>
      <c r="CR93" s="3"/>
      <c r="CS93" s="32"/>
      <c r="CT93" s="32"/>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Y93" s="1"/>
      <c r="EZ93" s="1"/>
      <c r="FA93" s="1"/>
    </row>
    <row r="94" spans="9:157" ht="15.75" customHeight="1" x14ac:dyDescent="0.25">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2"/>
      <c r="AW94" s="3"/>
      <c r="AX94" s="3"/>
      <c r="AY94" s="3"/>
      <c r="AZ94" s="3"/>
      <c r="BA94" s="3"/>
      <c r="BB94" s="2"/>
      <c r="BC94" s="3"/>
      <c r="BD94" s="3"/>
      <c r="BE94" s="3"/>
      <c r="BF94" s="3"/>
      <c r="BG94" s="3"/>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3"/>
      <c r="CH94" s="3"/>
      <c r="CI94" s="3"/>
      <c r="CJ94" s="3"/>
      <c r="CK94" s="3"/>
      <c r="CL94" s="3"/>
      <c r="CM94" s="3"/>
      <c r="CN94" s="3"/>
      <c r="CO94" s="3"/>
      <c r="CP94" s="3"/>
      <c r="CQ94" s="3"/>
      <c r="CR94" s="3"/>
      <c r="CS94" s="32"/>
      <c r="CT94" s="32"/>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Y94" s="1"/>
      <c r="EZ94" s="1"/>
      <c r="FA94" s="1"/>
    </row>
    <row r="95" spans="9:157" ht="15.75" customHeight="1" x14ac:dyDescent="0.25">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2"/>
      <c r="AW95" s="3"/>
      <c r="AX95" s="3"/>
      <c r="AY95" s="3"/>
      <c r="AZ95" s="3"/>
      <c r="BA95" s="3"/>
      <c r="BB95" s="2"/>
      <c r="BC95" s="3"/>
      <c r="BD95" s="3"/>
      <c r="BE95" s="3"/>
      <c r="BF95" s="3"/>
      <c r="BG95" s="3"/>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3"/>
      <c r="CH95" s="3"/>
      <c r="CI95" s="3"/>
      <c r="CJ95" s="3"/>
      <c r="CK95" s="3"/>
      <c r="CL95" s="3"/>
      <c r="CM95" s="3"/>
      <c r="CN95" s="3"/>
      <c r="CO95" s="3"/>
      <c r="CP95" s="3"/>
      <c r="CQ95" s="3"/>
      <c r="CR95" s="3"/>
      <c r="CS95" s="32"/>
      <c r="CT95" s="32"/>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Y95" s="1"/>
      <c r="EZ95" s="1"/>
      <c r="FA95" s="1"/>
    </row>
    <row r="96" spans="9:157" ht="15.75" customHeight="1" x14ac:dyDescent="0.25">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2"/>
      <c r="AW96" s="3"/>
      <c r="AX96" s="3"/>
      <c r="AY96" s="3"/>
      <c r="AZ96" s="3"/>
      <c r="BA96" s="3"/>
      <c r="BB96" s="2"/>
      <c r="BC96" s="3"/>
      <c r="BD96" s="3"/>
      <c r="BE96" s="3"/>
      <c r="BF96" s="3"/>
      <c r="BG96" s="3"/>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3"/>
      <c r="CH96" s="3"/>
      <c r="CI96" s="3"/>
      <c r="CJ96" s="3"/>
      <c r="CK96" s="3"/>
      <c r="CL96" s="3"/>
      <c r="CM96" s="3"/>
      <c r="CN96" s="3"/>
      <c r="CO96" s="3"/>
      <c r="CP96" s="3"/>
      <c r="CQ96" s="3"/>
      <c r="CR96" s="3"/>
      <c r="CS96" s="32"/>
      <c r="CT96" s="32"/>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Y96" s="1"/>
      <c r="EZ96" s="1"/>
      <c r="FA96" s="1"/>
    </row>
    <row r="97" spans="9:157" ht="15.75" customHeight="1" x14ac:dyDescent="0.25">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2"/>
      <c r="AW97" s="3"/>
      <c r="AX97" s="3"/>
      <c r="AY97" s="3"/>
      <c r="AZ97" s="3"/>
      <c r="BA97" s="3"/>
      <c r="BB97" s="2"/>
      <c r="BC97" s="3"/>
      <c r="BD97" s="3"/>
      <c r="BE97" s="3"/>
      <c r="BF97" s="3"/>
      <c r="BG97" s="3"/>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3"/>
      <c r="CH97" s="3"/>
      <c r="CI97" s="3"/>
      <c r="CJ97" s="3"/>
      <c r="CK97" s="3"/>
      <c r="CL97" s="3"/>
      <c r="CM97" s="3"/>
      <c r="CN97" s="3"/>
      <c r="CO97" s="3"/>
      <c r="CP97" s="3"/>
      <c r="CQ97" s="3"/>
      <c r="CR97" s="3"/>
      <c r="CS97" s="32"/>
      <c r="CT97" s="32"/>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Y97" s="1"/>
      <c r="EZ97" s="1"/>
      <c r="FA97" s="1"/>
    </row>
    <row r="98" spans="9:157" ht="15.75" customHeight="1" x14ac:dyDescent="0.25">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2"/>
      <c r="AW98" s="3"/>
      <c r="AX98" s="3"/>
      <c r="AY98" s="3"/>
      <c r="AZ98" s="3"/>
      <c r="BA98" s="3"/>
      <c r="BB98" s="2"/>
      <c r="BC98" s="3"/>
      <c r="BD98" s="3"/>
      <c r="BE98" s="3"/>
      <c r="BF98" s="3"/>
      <c r="BG98" s="3"/>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3"/>
      <c r="CH98" s="3"/>
      <c r="CI98" s="3"/>
      <c r="CJ98" s="3"/>
      <c r="CK98" s="3"/>
      <c r="CL98" s="3"/>
      <c r="CM98" s="3"/>
      <c r="CN98" s="3"/>
      <c r="CO98" s="3"/>
      <c r="CP98" s="3"/>
      <c r="CQ98" s="3"/>
      <c r="CR98" s="3"/>
      <c r="CS98" s="32"/>
      <c r="CT98" s="32"/>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Y98" s="1"/>
      <c r="EZ98" s="1"/>
      <c r="FA98" s="1"/>
    </row>
    <row r="99" spans="9:157" ht="15.75" customHeight="1" x14ac:dyDescent="0.25">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2"/>
      <c r="AW99" s="3"/>
      <c r="AX99" s="3"/>
      <c r="AY99" s="3"/>
      <c r="AZ99" s="3"/>
      <c r="BA99" s="3"/>
      <c r="BB99" s="2"/>
      <c r="BC99" s="3"/>
      <c r="BD99" s="3"/>
      <c r="BE99" s="3"/>
      <c r="BF99" s="3"/>
      <c r="BG99" s="3"/>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3"/>
      <c r="CH99" s="3"/>
      <c r="CI99" s="3"/>
      <c r="CJ99" s="3"/>
      <c r="CK99" s="3"/>
      <c r="CL99" s="3"/>
      <c r="CM99" s="3"/>
      <c r="CN99" s="3"/>
      <c r="CO99" s="3"/>
      <c r="CP99" s="3"/>
      <c r="CQ99" s="3"/>
      <c r="CR99" s="3"/>
      <c r="CS99" s="32"/>
      <c r="CT99" s="32"/>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Y99" s="1"/>
      <c r="EZ99" s="1"/>
      <c r="FA99" s="1"/>
    </row>
    <row r="100" spans="9:157" ht="15.75" customHeight="1" x14ac:dyDescent="0.25">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2"/>
      <c r="AW100" s="3"/>
      <c r="AX100" s="3"/>
      <c r="AY100" s="3"/>
      <c r="AZ100" s="3"/>
      <c r="BA100" s="3"/>
      <c r="BB100" s="2"/>
      <c r="BC100" s="3"/>
      <c r="BD100" s="3"/>
      <c r="BE100" s="3"/>
      <c r="BF100" s="3"/>
      <c r="BG100" s="3"/>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3"/>
      <c r="CH100" s="3"/>
      <c r="CI100" s="3"/>
      <c r="CJ100" s="3"/>
      <c r="CK100" s="3"/>
      <c r="CL100" s="3"/>
      <c r="CM100" s="3"/>
      <c r="CN100" s="3"/>
      <c r="CO100" s="3"/>
      <c r="CP100" s="3"/>
      <c r="CQ100" s="3"/>
      <c r="CR100" s="3"/>
      <c r="CS100" s="32"/>
      <c r="CT100" s="32"/>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Y100" s="1"/>
      <c r="EZ100" s="1"/>
      <c r="FA100" s="1"/>
    </row>
    <row r="101" spans="9:157" ht="15.75" customHeight="1" x14ac:dyDescent="0.25">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2"/>
      <c r="AW101" s="3"/>
      <c r="AX101" s="3"/>
      <c r="AY101" s="3"/>
      <c r="AZ101" s="3"/>
      <c r="BA101" s="3"/>
      <c r="BB101" s="2"/>
      <c r="BC101" s="3"/>
      <c r="BD101" s="3"/>
      <c r="BE101" s="3"/>
      <c r="BF101" s="3"/>
      <c r="BG101" s="3"/>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3"/>
      <c r="CH101" s="3"/>
      <c r="CI101" s="3"/>
      <c r="CJ101" s="3"/>
      <c r="CK101" s="3"/>
      <c r="CL101" s="3"/>
      <c r="CM101" s="3"/>
      <c r="CN101" s="3"/>
      <c r="CO101" s="3"/>
      <c r="CP101" s="3"/>
      <c r="CQ101" s="3"/>
      <c r="CR101" s="3"/>
      <c r="CS101" s="32"/>
      <c r="CT101" s="32"/>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Y101" s="1"/>
      <c r="EZ101" s="1"/>
      <c r="FA101" s="1"/>
    </row>
    <row r="102" spans="9:157" ht="15.75" customHeight="1" x14ac:dyDescent="0.25">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2"/>
      <c r="AW102" s="3"/>
      <c r="AX102" s="3"/>
      <c r="AY102" s="3"/>
      <c r="AZ102" s="3"/>
      <c r="BA102" s="3"/>
      <c r="BB102" s="2"/>
      <c r="BC102" s="3"/>
      <c r="BD102" s="3"/>
      <c r="BE102" s="3"/>
      <c r="BF102" s="3"/>
      <c r="BG102" s="3"/>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3"/>
      <c r="CH102" s="3"/>
      <c r="CI102" s="3"/>
      <c r="CJ102" s="3"/>
      <c r="CK102" s="3"/>
      <c r="CL102" s="3"/>
      <c r="CM102" s="3"/>
      <c r="CN102" s="3"/>
      <c r="CO102" s="3"/>
      <c r="CP102" s="3"/>
      <c r="CQ102" s="3"/>
      <c r="CR102" s="3"/>
      <c r="CS102" s="32"/>
      <c r="CT102" s="32"/>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Y102" s="1"/>
      <c r="EZ102" s="1"/>
      <c r="FA102" s="1"/>
    </row>
    <row r="103" spans="9:157" ht="15.75" customHeight="1" x14ac:dyDescent="0.25">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2"/>
      <c r="AW103" s="3"/>
      <c r="AX103" s="3"/>
      <c r="AY103" s="3"/>
      <c r="AZ103" s="3"/>
      <c r="BA103" s="3"/>
      <c r="BB103" s="2"/>
      <c r="BC103" s="3"/>
      <c r="BD103" s="3"/>
      <c r="BE103" s="3"/>
      <c r="BF103" s="3"/>
      <c r="BG103" s="3"/>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3"/>
      <c r="CH103" s="3"/>
      <c r="CI103" s="3"/>
      <c r="CJ103" s="3"/>
      <c r="CK103" s="3"/>
      <c r="CL103" s="3"/>
      <c r="CM103" s="3"/>
      <c r="CN103" s="3"/>
      <c r="CO103" s="3"/>
      <c r="CP103" s="3"/>
      <c r="CQ103" s="3"/>
      <c r="CR103" s="3"/>
      <c r="CS103" s="32"/>
      <c r="CT103" s="32"/>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Y103" s="1"/>
      <c r="EZ103" s="1"/>
      <c r="FA103" s="1"/>
    </row>
    <row r="104" spans="9:157" ht="15.75" customHeight="1" x14ac:dyDescent="0.25">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2"/>
      <c r="AW104" s="3"/>
      <c r="AX104" s="3"/>
      <c r="AY104" s="3"/>
      <c r="AZ104" s="3"/>
      <c r="BA104" s="3"/>
      <c r="BB104" s="2"/>
      <c r="BC104" s="3"/>
      <c r="BD104" s="3"/>
      <c r="BE104" s="3"/>
      <c r="BF104" s="3"/>
      <c r="BG104" s="3"/>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3"/>
      <c r="CH104" s="3"/>
      <c r="CI104" s="3"/>
      <c r="CJ104" s="3"/>
      <c r="CK104" s="3"/>
      <c r="CL104" s="3"/>
      <c r="CM104" s="3"/>
      <c r="CN104" s="3"/>
      <c r="CO104" s="3"/>
      <c r="CP104" s="3"/>
      <c r="CQ104" s="3"/>
      <c r="CR104" s="3"/>
      <c r="CS104" s="32"/>
      <c r="CT104" s="32"/>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Y104" s="1"/>
      <c r="EZ104" s="1"/>
      <c r="FA104" s="1"/>
    </row>
    <row r="105" spans="9:157" ht="15.75" customHeight="1" x14ac:dyDescent="0.25">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2"/>
      <c r="AW105" s="3"/>
      <c r="AX105" s="3"/>
      <c r="AY105" s="3"/>
      <c r="AZ105" s="3"/>
      <c r="BA105" s="3"/>
      <c r="BB105" s="2"/>
      <c r="BC105" s="3"/>
      <c r="BD105" s="3"/>
      <c r="BE105" s="3"/>
      <c r="BF105" s="3"/>
      <c r="BG105" s="3"/>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3"/>
      <c r="CH105" s="3"/>
      <c r="CI105" s="3"/>
      <c r="CJ105" s="3"/>
      <c r="CK105" s="3"/>
      <c r="CL105" s="3"/>
      <c r="CM105" s="3"/>
      <c r="CN105" s="3"/>
      <c r="CO105" s="3"/>
      <c r="CP105" s="3"/>
      <c r="CQ105" s="3"/>
      <c r="CR105" s="3"/>
      <c r="CS105" s="32"/>
      <c r="CT105" s="32"/>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Y105" s="1"/>
      <c r="EZ105" s="1"/>
      <c r="FA105" s="1"/>
    </row>
    <row r="106" spans="9:157" ht="15.75" customHeight="1" x14ac:dyDescent="0.25">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2"/>
      <c r="AW106" s="3"/>
      <c r="AX106" s="3"/>
      <c r="AY106" s="3"/>
      <c r="AZ106" s="3"/>
      <c r="BA106" s="3"/>
      <c r="BB106" s="2"/>
      <c r="BC106" s="3"/>
      <c r="BD106" s="3"/>
      <c r="BE106" s="3"/>
      <c r="BF106" s="3"/>
      <c r="BG106" s="3"/>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3"/>
      <c r="CH106" s="3"/>
      <c r="CI106" s="3"/>
      <c r="CJ106" s="3"/>
      <c r="CK106" s="3"/>
      <c r="CL106" s="3"/>
      <c r="CM106" s="3"/>
      <c r="CN106" s="3"/>
      <c r="CO106" s="3"/>
      <c r="CP106" s="3"/>
      <c r="CQ106" s="3"/>
      <c r="CR106" s="3"/>
      <c r="CS106" s="32"/>
      <c r="CT106" s="32"/>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Y106" s="1"/>
      <c r="EZ106" s="1"/>
      <c r="FA106" s="1"/>
    </row>
    <row r="107" spans="9:157" ht="15.75" customHeight="1" x14ac:dyDescent="0.25">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2"/>
      <c r="AW107" s="3"/>
      <c r="AX107" s="3"/>
      <c r="AY107" s="3"/>
      <c r="AZ107" s="3"/>
      <c r="BA107" s="3"/>
      <c r="BB107" s="2"/>
      <c r="BC107" s="3"/>
      <c r="BD107" s="3"/>
      <c r="BE107" s="3"/>
      <c r="BF107" s="3"/>
      <c r="BG107" s="3"/>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3"/>
      <c r="CH107" s="3"/>
      <c r="CI107" s="3"/>
      <c r="CJ107" s="3"/>
      <c r="CK107" s="3"/>
      <c r="CL107" s="3"/>
      <c r="CM107" s="3"/>
      <c r="CN107" s="3"/>
      <c r="CO107" s="3"/>
      <c r="CP107" s="3"/>
      <c r="CQ107" s="3"/>
      <c r="CR107" s="3"/>
      <c r="CS107" s="32"/>
      <c r="CT107" s="32"/>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Y107" s="1"/>
      <c r="EZ107" s="1"/>
      <c r="FA107" s="1"/>
    </row>
    <row r="108" spans="9:157" ht="15.75" customHeight="1" x14ac:dyDescent="0.25">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2"/>
      <c r="AW108" s="3"/>
      <c r="AX108" s="3"/>
      <c r="AY108" s="3"/>
      <c r="AZ108" s="3"/>
      <c r="BA108" s="3"/>
      <c r="BB108" s="2"/>
      <c r="BC108" s="3"/>
      <c r="BD108" s="3"/>
      <c r="BE108" s="3"/>
      <c r="BF108" s="3"/>
      <c r="BG108" s="3"/>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3"/>
      <c r="CH108" s="3"/>
      <c r="CI108" s="3"/>
      <c r="CJ108" s="3"/>
      <c r="CK108" s="3"/>
      <c r="CL108" s="3"/>
      <c r="CM108" s="3"/>
      <c r="CN108" s="3"/>
      <c r="CO108" s="3"/>
      <c r="CP108" s="3"/>
      <c r="CQ108" s="3"/>
      <c r="CR108" s="3"/>
      <c r="CS108" s="32"/>
      <c r="CT108" s="32"/>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Y108" s="1"/>
      <c r="EZ108" s="1"/>
      <c r="FA108" s="1"/>
    </row>
    <row r="109" spans="9:157" ht="15.75" customHeight="1" x14ac:dyDescent="0.25">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2"/>
      <c r="AW109" s="3"/>
      <c r="AX109" s="3"/>
      <c r="AY109" s="3"/>
      <c r="AZ109" s="3"/>
      <c r="BA109" s="3"/>
      <c r="BB109" s="2"/>
      <c r="BC109" s="3"/>
      <c r="BD109" s="3"/>
      <c r="BE109" s="3"/>
      <c r="BF109" s="3"/>
      <c r="BG109" s="3"/>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3"/>
      <c r="CH109" s="3"/>
      <c r="CI109" s="3"/>
      <c r="CJ109" s="3"/>
      <c r="CK109" s="3"/>
      <c r="CL109" s="3"/>
      <c r="CM109" s="3"/>
      <c r="CN109" s="3"/>
      <c r="CO109" s="3"/>
      <c r="CP109" s="3"/>
      <c r="CQ109" s="3"/>
      <c r="CR109" s="3"/>
      <c r="CS109" s="32"/>
      <c r="CT109" s="32"/>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Y109" s="1"/>
      <c r="EZ109" s="1"/>
      <c r="FA109" s="1"/>
    </row>
    <row r="110" spans="9:157" ht="15.75" customHeight="1" x14ac:dyDescent="0.25">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2"/>
      <c r="AW110" s="3"/>
      <c r="AX110" s="3"/>
      <c r="AY110" s="3"/>
      <c r="AZ110" s="3"/>
      <c r="BA110" s="3"/>
      <c r="BB110" s="2"/>
      <c r="BC110" s="3"/>
      <c r="BD110" s="3"/>
      <c r="BE110" s="3"/>
      <c r="BF110" s="3"/>
      <c r="BG110" s="3"/>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3"/>
      <c r="CH110" s="3"/>
      <c r="CI110" s="3"/>
      <c r="CJ110" s="3"/>
      <c r="CK110" s="3"/>
      <c r="CL110" s="3"/>
      <c r="CM110" s="3"/>
      <c r="CN110" s="3"/>
      <c r="CO110" s="3"/>
      <c r="CP110" s="3"/>
      <c r="CQ110" s="3"/>
      <c r="CR110" s="3"/>
      <c r="CS110" s="32"/>
      <c r="CT110" s="32"/>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Y110" s="1"/>
      <c r="EZ110" s="1"/>
      <c r="FA110" s="1"/>
    </row>
    <row r="111" spans="9:157" ht="15.75" customHeight="1" x14ac:dyDescent="0.25">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2"/>
      <c r="AW111" s="3"/>
      <c r="AX111" s="3"/>
      <c r="AY111" s="3"/>
      <c r="AZ111" s="3"/>
      <c r="BA111" s="3"/>
      <c r="BB111" s="2"/>
      <c r="BC111" s="3"/>
      <c r="BD111" s="3"/>
      <c r="BE111" s="3"/>
      <c r="BF111" s="3"/>
      <c r="BG111" s="3"/>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3"/>
      <c r="CH111" s="3"/>
      <c r="CI111" s="3"/>
      <c r="CJ111" s="3"/>
      <c r="CK111" s="3"/>
      <c r="CL111" s="3"/>
      <c r="CM111" s="3"/>
      <c r="CN111" s="3"/>
      <c r="CO111" s="3"/>
      <c r="CP111" s="3"/>
      <c r="CQ111" s="3"/>
      <c r="CR111" s="3"/>
      <c r="CS111" s="32"/>
      <c r="CT111" s="32"/>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Y111" s="1"/>
      <c r="EZ111" s="1"/>
      <c r="FA111" s="1"/>
    </row>
    <row r="112" spans="9:157" ht="15.75" customHeight="1" x14ac:dyDescent="0.25">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2"/>
      <c r="AW112" s="3"/>
      <c r="AX112" s="3"/>
      <c r="AY112" s="3"/>
      <c r="AZ112" s="3"/>
      <c r="BA112" s="3"/>
      <c r="BB112" s="2"/>
      <c r="BC112" s="3"/>
      <c r="BD112" s="3"/>
      <c r="BE112" s="3"/>
      <c r="BF112" s="3"/>
      <c r="BG112" s="3"/>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3"/>
      <c r="CH112" s="3"/>
      <c r="CI112" s="3"/>
      <c r="CJ112" s="3"/>
      <c r="CK112" s="3"/>
      <c r="CL112" s="3"/>
      <c r="CM112" s="3"/>
      <c r="CN112" s="3"/>
      <c r="CO112" s="3"/>
      <c r="CP112" s="3"/>
      <c r="CQ112" s="3"/>
      <c r="CR112" s="3"/>
      <c r="CS112" s="32"/>
      <c r="CT112" s="32"/>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Y112" s="1"/>
      <c r="EZ112" s="1"/>
      <c r="FA112" s="1"/>
    </row>
    <row r="113" spans="9:157" ht="15.75" customHeight="1" x14ac:dyDescent="0.25">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2"/>
      <c r="AW113" s="3"/>
      <c r="AX113" s="3"/>
      <c r="AY113" s="3"/>
      <c r="AZ113" s="3"/>
      <c r="BA113" s="3"/>
      <c r="BB113" s="2"/>
      <c r="BC113" s="3"/>
      <c r="BD113" s="3"/>
      <c r="BE113" s="3"/>
      <c r="BF113" s="3"/>
      <c r="BG113" s="3"/>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3"/>
      <c r="CH113" s="3"/>
      <c r="CI113" s="3"/>
      <c r="CJ113" s="3"/>
      <c r="CK113" s="3"/>
      <c r="CL113" s="3"/>
      <c r="CM113" s="3"/>
      <c r="CN113" s="3"/>
      <c r="CO113" s="3"/>
      <c r="CP113" s="3"/>
      <c r="CQ113" s="3"/>
      <c r="CR113" s="3"/>
      <c r="CS113" s="32"/>
      <c r="CT113" s="32"/>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Y113" s="1"/>
      <c r="EZ113" s="1"/>
      <c r="FA113" s="1"/>
    </row>
    <row r="114" spans="9:157" ht="15.75" customHeight="1" x14ac:dyDescent="0.25">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2"/>
      <c r="AW114" s="3"/>
      <c r="AX114" s="3"/>
      <c r="AY114" s="3"/>
      <c r="AZ114" s="3"/>
      <c r="BA114" s="3"/>
      <c r="BB114" s="2"/>
      <c r="BC114" s="3"/>
      <c r="BD114" s="3"/>
      <c r="BE114" s="3"/>
      <c r="BF114" s="3"/>
      <c r="BG114" s="3"/>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3"/>
      <c r="CH114" s="3"/>
      <c r="CI114" s="3"/>
      <c r="CJ114" s="3"/>
      <c r="CK114" s="3"/>
      <c r="CL114" s="3"/>
      <c r="CM114" s="3"/>
      <c r="CN114" s="3"/>
      <c r="CO114" s="3"/>
      <c r="CP114" s="3"/>
      <c r="CQ114" s="3"/>
      <c r="CR114" s="3"/>
      <c r="CS114" s="32"/>
      <c r="CT114" s="32"/>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Y114" s="1"/>
      <c r="EZ114" s="1"/>
      <c r="FA114" s="1"/>
    </row>
    <row r="115" spans="9:157" ht="15.75" customHeight="1" x14ac:dyDescent="0.25">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2"/>
      <c r="AW115" s="3"/>
      <c r="AX115" s="3"/>
      <c r="AY115" s="3"/>
      <c r="AZ115" s="3"/>
      <c r="BA115" s="3"/>
      <c r="BB115" s="2"/>
      <c r="BC115" s="3"/>
      <c r="BD115" s="3"/>
      <c r="BE115" s="3"/>
      <c r="BF115" s="3"/>
      <c r="BG115" s="3"/>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3"/>
      <c r="CH115" s="3"/>
      <c r="CI115" s="3"/>
      <c r="CJ115" s="3"/>
      <c r="CK115" s="3"/>
      <c r="CL115" s="3"/>
      <c r="CM115" s="3"/>
      <c r="CN115" s="3"/>
      <c r="CO115" s="3"/>
      <c r="CP115" s="3"/>
      <c r="CQ115" s="3"/>
      <c r="CR115" s="3"/>
      <c r="CS115" s="32"/>
      <c r="CT115" s="32"/>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Y115" s="1"/>
      <c r="EZ115" s="1"/>
      <c r="FA115" s="1"/>
    </row>
    <row r="116" spans="9:157" ht="15.75" customHeight="1" x14ac:dyDescent="0.25">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2"/>
      <c r="AW116" s="3"/>
      <c r="AX116" s="3"/>
      <c r="AY116" s="3"/>
      <c r="AZ116" s="3"/>
      <c r="BA116" s="3"/>
      <c r="BB116" s="2"/>
      <c r="BC116" s="3"/>
      <c r="BD116" s="3"/>
      <c r="BE116" s="3"/>
      <c r="BF116" s="3"/>
      <c r="BG116" s="3"/>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3"/>
      <c r="CH116" s="3"/>
      <c r="CI116" s="3"/>
      <c r="CJ116" s="3"/>
      <c r="CK116" s="3"/>
      <c r="CL116" s="3"/>
      <c r="CM116" s="3"/>
      <c r="CN116" s="3"/>
      <c r="CO116" s="3"/>
      <c r="CP116" s="3"/>
      <c r="CQ116" s="3"/>
      <c r="CR116" s="3"/>
      <c r="CS116" s="32"/>
      <c r="CT116" s="32"/>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Y116" s="1"/>
      <c r="EZ116" s="1"/>
      <c r="FA116" s="1"/>
    </row>
    <row r="117" spans="9:157" ht="15.75" customHeight="1" x14ac:dyDescent="0.25">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2"/>
      <c r="AW117" s="3"/>
      <c r="AX117" s="3"/>
      <c r="AY117" s="3"/>
      <c r="AZ117" s="3"/>
      <c r="BA117" s="3"/>
      <c r="BB117" s="2"/>
      <c r="BC117" s="3"/>
      <c r="BD117" s="3"/>
      <c r="BE117" s="3"/>
      <c r="BF117" s="3"/>
      <c r="BG117" s="3"/>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3"/>
      <c r="CH117" s="3"/>
      <c r="CI117" s="3"/>
      <c r="CJ117" s="3"/>
      <c r="CK117" s="3"/>
      <c r="CL117" s="3"/>
      <c r="CM117" s="3"/>
      <c r="CN117" s="3"/>
      <c r="CO117" s="3"/>
      <c r="CP117" s="3"/>
      <c r="CQ117" s="3"/>
      <c r="CR117" s="3"/>
      <c r="CS117" s="32"/>
      <c r="CT117" s="32"/>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Y117" s="1"/>
      <c r="EZ117" s="1"/>
      <c r="FA117" s="1"/>
    </row>
    <row r="118" spans="9:157" ht="15.75" customHeight="1" x14ac:dyDescent="0.25">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2"/>
      <c r="AW118" s="3"/>
      <c r="AX118" s="3"/>
      <c r="AY118" s="3"/>
      <c r="AZ118" s="3"/>
      <c r="BA118" s="3"/>
      <c r="BB118" s="2"/>
      <c r="BC118" s="3"/>
      <c r="BD118" s="3"/>
      <c r="BE118" s="3"/>
      <c r="BF118" s="3"/>
      <c r="BG118" s="3"/>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3"/>
      <c r="CH118" s="3"/>
      <c r="CI118" s="3"/>
      <c r="CJ118" s="3"/>
      <c r="CK118" s="3"/>
      <c r="CL118" s="3"/>
      <c r="CM118" s="3"/>
      <c r="CN118" s="3"/>
      <c r="CO118" s="3"/>
      <c r="CP118" s="3"/>
      <c r="CQ118" s="3"/>
      <c r="CR118" s="3"/>
      <c r="CS118" s="32"/>
      <c r="CT118" s="32"/>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Y118" s="1"/>
      <c r="EZ118" s="1"/>
      <c r="FA118" s="1"/>
    </row>
    <row r="119" spans="9:157" ht="15.75" customHeight="1" x14ac:dyDescent="0.25">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2"/>
      <c r="AW119" s="3"/>
      <c r="AX119" s="3"/>
      <c r="AY119" s="3"/>
      <c r="AZ119" s="3"/>
      <c r="BA119" s="3"/>
      <c r="BB119" s="2"/>
      <c r="BC119" s="3"/>
      <c r="BD119" s="3"/>
      <c r="BE119" s="3"/>
      <c r="BF119" s="3"/>
      <c r="BG119" s="3"/>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3"/>
      <c r="CH119" s="3"/>
      <c r="CI119" s="3"/>
      <c r="CJ119" s="3"/>
      <c r="CK119" s="3"/>
      <c r="CL119" s="3"/>
      <c r="CM119" s="3"/>
      <c r="CN119" s="3"/>
      <c r="CO119" s="3"/>
      <c r="CP119" s="3"/>
      <c r="CQ119" s="3"/>
      <c r="CR119" s="3"/>
      <c r="CS119" s="32"/>
      <c r="CT119" s="32"/>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Y119" s="1"/>
      <c r="EZ119" s="1"/>
      <c r="FA119" s="1"/>
    </row>
    <row r="120" spans="9:157" ht="15.75" customHeight="1" x14ac:dyDescent="0.25">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2"/>
      <c r="AW120" s="3"/>
      <c r="AX120" s="3"/>
      <c r="AY120" s="3"/>
      <c r="AZ120" s="3"/>
      <c r="BA120" s="3"/>
      <c r="BB120" s="2"/>
      <c r="BC120" s="3"/>
      <c r="BD120" s="3"/>
      <c r="BE120" s="3"/>
      <c r="BF120" s="3"/>
      <c r="BG120" s="3"/>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3"/>
      <c r="CH120" s="3"/>
      <c r="CI120" s="3"/>
      <c r="CJ120" s="3"/>
      <c r="CK120" s="3"/>
      <c r="CL120" s="3"/>
      <c r="CM120" s="3"/>
      <c r="CN120" s="3"/>
      <c r="CO120" s="3"/>
      <c r="CP120" s="3"/>
      <c r="CQ120" s="3"/>
      <c r="CR120" s="3"/>
      <c r="CS120" s="32"/>
      <c r="CT120" s="32"/>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Y120" s="1"/>
      <c r="EZ120" s="1"/>
      <c r="FA120" s="1"/>
    </row>
    <row r="121" spans="9:157" ht="15.75" customHeight="1" x14ac:dyDescent="0.25">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2"/>
      <c r="AW121" s="3"/>
      <c r="AX121" s="3"/>
      <c r="AY121" s="3"/>
      <c r="AZ121" s="3"/>
      <c r="BA121" s="3"/>
      <c r="BB121" s="2"/>
      <c r="BC121" s="3"/>
      <c r="BD121" s="3"/>
      <c r="BE121" s="3"/>
      <c r="BF121" s="3"/>
      <c r="BG121" s="3"/>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3"/>
      <c r="CH121" s="3"/>
      <c r="CI121" s="3"/>
      <c r="CJ121" s="3"/>
      <c r="CK121" s="3"/>
      <c r="CL121" s="3"/>
      <c r="CM121" s="3"/>
      <c r="CN121" s="3"/>
      <c r="CO121" s="3"/>
      <c r="CP121" s="3"/>
      <c r="CQ121" s="3"/>
      <c r="CR121" s="3"/>
      <c r="CS121" s="32"/>
      <c r="CT121" s="32"/>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Y121" s="1"/>
      <c r="EZ121" s="1"/>
      <c r="FA121" s="1"/>
    </row>
    <row r="122" spans="9:157" ht="15.75" customHeight="1" x14ac:dyDescent="0.25">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2"/>
      <c r="AW122" s="3"/>
      <c r="AX122" s="3"/>
      <c r="AY122" s="3"/>
      <c r="AZ122" s="3"/>
      <c r="BA122" s="3"/>
      <c r="BB122" s="2"/>
      <c r="BC122" s="3"/>
      <c r="BD122" s="3"/>
      <c r="BE122" s="3"/>
      <c r="BF122" s="3"/>
      <c r="BG122" s="3"/>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3"/>
      <c r="CH122" s="3"/>
      <c r="CI122" s="3"/>
      <c r="CJ122" s="3"/>
      <c r="CK122" s="3"/>
      <c r="CL122" s="3"/>
      <c r="CM122" s="3"/>
      <c r="CN122" s="3"/>
      <c r="CO122" s="3"/>
      <c r="CP122" s="3"/>
      <c r="CQ122" s="3"/>
      <c r="CR122" s="3"/>
      <c r="CS122" s="32"/>
      <c r="CT122" s="32"/>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Y122" s="1"/>
      <c r="EZ122" s="1"/>
      <c r="FA122" s="1"/>
    </row>
    <row r="123" spans="9:157" ht="15.75" customHeight="1" x14ac:dyDescent="0.25">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2"/>
      <c r="AW123" s="3"/>
      <c r="AX123" s="3"/>
      <c r="AY123" s="3"/>
      <c r="AZ123" s="3"/>
      <c r="BA123" s="3"/>
      <c r="BB123" s="2"/>
      <c r="BC123" s="3"/>
      <c r="BD123" s="3"/>
      <c r="BE123" s="3"/>
      <c r="BF123" s="3"/>
      <c r="BG123" s="3"/>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3"/>
      <c r="CH123" s="3"/>
      <c r="CI123" s="3"/>
      <c r="CJ123" s="3"/>
      <c r="CK123" s="3"/>
      <c r="CL123" s="3"/>
      <c r="CM123" s="3"/>
      <c r="CN123" s="3"/>
      <c r="CO123" s="3"/>
      <c r="CP123" s="3"/>
      <c r="CQ123" s="3"/>
      <c r="CR123" s="3"/>
      <c r="CS123" s="32"/>
      <c r="CT123" s="32"/>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Y123" s="1"/>
      <c r="EZ123" s="1"/>
      <c r="FA123" s="1"/>
    </row>
    <row r="124" spans="9:157" ht="15.75" customHeight="1" x14ac:dyDescent="0.25">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2"/>
      <c r="AW124" s="3"/>
      <c r="AX124" s="3"/>
      <c r="AY124" s="3"/>
      <c r="AZ124" s="3"/>
      <c r="BA124" s="3"/>
      <c r="BB124" s="2"/>
      <c r="BC124" s="3"/>
      <c r="BD124" s="3"/>
      <c r="BE124" s="3"/>
      <c r="BF124" s="3"/>
      <c r="BG124" s="3"/>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3"/>
      <c r="CH124" s="3"/>
      <c r="CI124" s="3"/>
      <c r="CJ124" s="3"/>
      <c r="CK124" s="3"/>
      <c r="CL124" s="3"/>
      <c r="CM124" s="3"/>
      <c r="CN124" s="3"/>
      <c r="CO124" s="3"/>
      <c r="CP124" s="3"/>
      <c r="CQ124" s="3"/>
      <c r="CR124" s="3"/>
      <c r="CS124" s="32"/>
      <c r="CT124" s="32"/>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Y124" s="1"/>
      <c r="EZ124" s="1"/>
      <c r="FA124" s="1"/>
    </row>
    <row r="125" spans="9:157" ht="15.75" customHeight="1" x14ac:dyDescent="0.25">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2"/>
      <c r="AW125" s="3"/>
      <c r="AX125" s="3"/>
      <c r="AY125" s="3"/>
      <c r="AZ125" s="3"/>
      <c r="BA125" s="3"/>
      <c r="BB125" s="2"/>
      <c r="BC125" s="3"/>
      <c r="BD125" s="3"/>
      <c r="BE125" s="3"/>
      <c r="BF125" s="3"/>
      <c r="BG125" s="3"/>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3"/>
      <c r="CH125" s="3"/>
      <c r="CI125" s="3"/>
      <c r="CJ125" s="3"/>
      <c r="CK125" s="3"/>
      <c r="CL125" s="3"/>
      <c r="CM125" s="3"/>
      <c r="CN125" s="3"/>
      <c r="CO125" s="3"/>
      <c r="CP125" s="3"/>
      <c r="CQ125" s="3"/>
      <c r="CR125" s="3"/>
      <c r="CS125" s="32"/>
      <c r="CT125" s="32"/>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Y125" s="1"/>
      <c r="EZ125" s="1"/>
      <c r="FA125" s="1"/>
    </row>
    <row r="126" spans="9:157" ht="15.75" customHeight="1" x14ac:dyDescent="0.25">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2"/>
      <c r="AW126" s="3"/>
      <c r="AX126" s="3"/>
      <c r="AY126" s="3"/>
      <c r="AZ126" s="3"/>
      <c r="BA126" s="3"/>
      <c r="BB126" s="2"/>
      <c r="BC126" s="3"/>
      <c r="BD126" s="3"/>
      <c r="BE126" s="3"/>
      <c r="BF126" s="3"/>
      <c r="BG126" s="3"/>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3"/>
      <c r="CH126" s="3"/>
      <c r="CI126" s="3"/>
      <c r="CJ126" s="3"/>
      <c r="CK126" s="3"/>
      <c r="CL126" s="3"/>
      <c r="CM126" s="3"/>
      <c r="CN126" s="3"/>
      <c r="CO126" s="3"/>
      <c r="CP126" s="3"/>
      <c r="CQ126" s="3"/>
      <c r="CR126" s="3"/>
      <c r="CS126" s="32"/>
      <c r="CT126" s="32"/>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Y126" s="1"/>
      <c r="EZ126" s="1"/>
      <c r="FA126" s="1"/>
    </row>
    <row r="127" spans="9:157" ht="15.75" customHeight="1" x14ac:dyDescent="0.25">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2"/>
      <c r="AW127" s="3"/>
      <c r="AX127" s="3"/>
      <c r="AY127" s="3"/>
      <c r="AZ127" s="3"/>
      <c r="BA127" s="3"/>
      <c r="BB127" s="2"/>
      <c r="BC127" s="3"/>
      <c r="BD127" s="3"/>
      <c r="BE127" s="3"/>
      <c r="BF127" s="3"/>
      <c r="BG127" s="3"/>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3"/>
      <c r="CH127" s="3"/>
      <c r="CI127" s="3"/>
      <c r="CJ127" s="3"/>
      <c r="CK127" s="3"/>
      <c r="CL127" s="3"/>
      <c r="CM127" s="3"/>
      <c r="CN127" s="3"/>
      <c r="CO127" s="3"/>
      <c r="CP127" s="3"/>
      <c r="CQ127" s="3"/>
      <c r="CR127" s="3"/>
      <c r="CS127" s="32"/>
      <c r="CT127" s="32"/>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Y127" s="1"/>
      <c r="EZ127" s="1"/>
      <c r="FA127" s="1"/>
    </row>
    <row r="128" spans="9:157" ht="15.75" customHeight="1" x14ac:dyDescent="0.25">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2"/>
      <c r="AW128" s="3"/>
      <c r="AX128" s="3"/>
      <c r="AY128" s="3"/>
      <c r="AZ128" s="3"/>
      <c r="BA128" s="3"/>
      <c r="BB128" s="2"/>
      <c r="BC128" s="3"/>
      <c r="BD128" s="3"/>
      <c r="BE128" s="3"/>
      <c r="BF128" s="3"/>
      <c r="BG128" s="3"/>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3"/>
      <c r="CH128" s="3"/>
      <c r="CI128" s="3"/>
      <c r="CJ128" s="3"/>
      <c r="CK128" s="3"/>
      <c r="CL128" s="3"/>
      <c r="CM128" s="3"/>
      <c r="CN128" s="3"/>
      <c r="CO128" s="3"/>
      <c r="CP128" s="3"/>
      <c r="CQ128" s="3"/>
      <c r="CR128" s="3"/>
      <c r="CS128" s="32"/>
      <c r="CT128" s="32"/>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Y128" s="1"/>
      <c r="EZ128" s="1"/>
      <c r="FA128" s="1"/>
    </row>
    <row r="129" spans="9:157" ht="15.75" customHeight="1" x14ac:dyDescent="0.25">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2"/>
      <c r="AW129" s="3"/>
      <c r="AX129" s="3"/>
      <c r="AY129" s="3"/>
      <c r="AZ129" s="3"/>
      <c r="BA129" s="3"/>
      <c r="BB129" s="2"/>
      <c r="BC129" s="3"/>
      <c r="BD129" s="3"/>
      <c r="BE129" s="3"/>
      <c r="BF129" s="3"/>
      <c r="BG129" s="3"/>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3"/>
      <c r="CH129" s="3"/>
      <c r="CI129" s="3"/>
      <c r="CJ129" s="3"/>
      <c r="CK129" s="3"/>
      <c r="CL129" s="3"/>
      <c r="CM129" s="3"/>
      <c r="CN129" s="3"/>
      <c r="CO129" s="3"/>
      <c r="CP129" s="3"/>
      <c r="CQ129" s="3"/>
      <c r="CR129" s="3"/>
      <c r="CS129" s="32"/>
      <c r="CT129" s="32"/>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Y129" s="1"/>
      <c r="EZ129" s="1"/>
      <c r="FA129" s="1"/>
    </row>
    <row r="130" spans="9:157" ht="15.75" customHeight="1" x14ac:dyDescent="0.25">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2"/>
      <c r="AW130" s="3"/>
      <c r="AX130" s="3"/>
      <c r="AY130" s="3"/>
      <c r="AZ130" s="3"/>
      <c r="BA130" s="3"/>
      <c r="BB130" s="2"/>
      <c r="BC130" s="3"/>
      <c r="BD130" s="3"/>
      <c r="BE130" s="3"/>
      <c r="BF130" s="3"/>
      <c r="BG130" s="3"/>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3"/>
      <c r="CH130" s="3"/>
      <c r="CI130" s="3"/>
      <c r="CJ130" s="3"/>
      <c r="CK130" s="3"/>
      <c r="CL130" s="3"/>
      <c r="CM130" s="3"/>
      <c r="CN130" s="3"/>
      <c r="CO130" s="3"/>
      <c r="CP130" s="3"/>
      <c r="CQ130" s="3"/>
      <c r="CR130" s="3"/>
      <c r="CS130" s="32"/>
      <c r="CT130" s="32"/>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Y130" s="1"/>
      <c r="EZ130" s="1"/>
      <c r="FA130" s="1"/>
    </row>
    <row r="131" spans="9:157" ht="15.75" customHeight="1" x14ac:dyDescent="0.25">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2"/>
      <c r="AW131" s="3"/>
      <c r="AX131" s="3"/>
      <c r="AY131" s="3"/>
      <c r="AZ131" s="3"/>
      <c r="BA131" s="3"/>
      <c r="BB131" s="2"/>
      <c r="BC131" s="3"/>
      <c r="BD131" s="3"/>
      <c r="BE131" s="3"/>
      <c r="BF131" s="3"/>
      <c r="BG131" s="3"/>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3"/>
      <c r="CH131" s="3"/>
      <c r="CI131" s="3"/>
      <c r="CJ131" s="3"/>
      <c r="CK131" s="3"/>
      <c r="CL131" s="3"/>
      <c r="CM131" s="3"/>
      <c r="CN131" s="3"/>
      <c r="CO131" s="3"/>
      <c r="CP131" s="3"/>
      <c r="CQ131" s="3"/>
      <c r="CR131" s="3"/>
      <c r="CS131" s="32"/>
      <c r="CT131" s="32"/>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Y131" s="1"/>
      <c r="EZ131" s="1"/>
      <c r="FA131" s="1"/>
    </row>
    <row r="132" spans="9:157" ht="15.75" customHeight="1" x14ac:dyDescent="0.25">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2"/>
      <c r="AW132" s="3"/>
      <c r="AX132" s="3"/>
      <c r="AY132" s="3"/>
      <c r="AZ132" s="3"/>
      <c r="BA132" s="3"/>
      <c r="BB132" s="2"/>
      <c r="BC132" s="3"/>
      <c r="BD132" s="3"/>
      <c r="BE132" s="3"/>
      <c r="BF132" s="3"/>
      <c r="BG132" s="3"/>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3"/>
      <c r="CH132" s="3"/>
      <c r="CI132" s="3"/>
      <c r="CJ132" s="3"/>
      <c r="CK132" s="3"/>
      <c r="CL132" s="3"/>
      <c r="CM132" s="3"/>
      <c r="CN132" s="3"/>
      <c r="CO132" s="3"/>
      <c r="CP132" s="3"/>
      <c r="CQ132" s="3"/>
      <c r="CR132" s="3"/>
      <c r="CS132" s="32"/>
      <c r="CT132" s="32"/>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Y132" s="1"/>
      <c r="EZ132" s="1"/>
      <c r="FA132" s="1"/>
    </row>
    <row r="133" spans="9:157" ht="15.75" customHeight="1" x14ac:dyDescent="0.25">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2"/>
      <c r="AW133" s="3"/>
      <c r="AX133" s="3"/>
      <c r="AY133" s="3"/>
      <c r="AZ133" s="3"/>
      <c r="BA133" s="3"/>
      <c r="BB133" s="2"/>
      <c r="BC133" s="3"/>
      <c r="BD133" s="3"/>
      <c r="BE133" s="3"/>
      <c r="BF133" s="3"/>
      <c r="BG133" s="3"/>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3"/>
      <c r="CH133" s="3"/>
      <c r="CI133" s="3"/>
      <c r="CJ133" s="3"/>
      <c r="CK133" s="3"/>
      <c r="CL133" s="3"/>
      <c r="CM133" s="3"/>
      <c r="CN133" s="3"/>
      <c r="CO133" s="3"/>
      <c r="CP133" s="3"/>
      <c r="CQ133" s="3"/>
      <c r="CR133" s="3"/>
      <c r="CS133" s="32"/>
      <c r="CT133" s="32"/>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Y133" s="1"/>
      <c r="EZ133" s="1"/>
      <c r="FA133" s="1"/>
    </row>
    <row r="134" spans="9:157" ht="15.75" customHeight="1" x14ac:dyDescent="0.25">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2"/>
      <c r="AW134" s="3"/>
      <c r="AX134" s="3"/>
      <c r="AY134" s="3"/>
      <c r="AZ134" s="3"/>
      <c r="BA134" s="3"/>
      <c r="BB134" s="2"/>
      <c r="BC134" s="3"/>
      <c r="BD134" s="3"/>
      <c r="BE134" s="3"/>
      <c r="BF134" s="3"/>
      <c r="BG134" s="3"/>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3"/>
      <c r="CH134" s="3"/>
      <c r="CI134" s="3"/>
      <c r="CJ134" s="3"/>
      <c r="CK134" s="3"/>
      <c r="CL134" s="3"/>
      <c r="CM134" s="3"/>
      <c r="CN134" s="3"/>
      <c r="CO134" s="3"/>
      <c r="CP134" s="3"/>
      <c r="CQ134" s="3"/>
      <c r="CR134" s="3"/>
      <c r="CS134" s="32"/>
      <c r="CT134" s="32"/>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Y134" s="1"/>
      <c r="EZ134" s="1"/>
      <c r="FA134" s="1"/>
    </row>
    <row r="135" spans="9:157" ht="15.75" customHeight="1" x14ac:dyDescent="0.25">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2"/>
      <c r="AW135" s="3"/>
      <c r="AX135" s="3"/>
      <c r="AY135" s="3"/>
      <c r="AZ135" s="3"/>
      <c r="BA135" s="3"/>
      <c r="BB135" s="2"/>
      <c r="BC135" s="3"/>
      <c r="BD135" s="3"/>
      <c r="BE135" s="3"/>
      <c r="BF135" s="3"/>
      <c r="BG135" s="3"/>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3"/>
      <c r="CH135" s="3"/>
      <c r="CI135" s="3"/>
      <c r="CJ135" s="3"/>
      <c r="CK135" s="3"/>
      <c r="CL135" s="3"/>
      <c r="CM135" s="3"/>
      <c r="CN135" s="3"/>
      <c r="CO135" s="3"/>
      <c r="CP135" s="3"/>
      <c r="CQ135" s="3"/>
      <c r="CR135" s="3"/>
      <c r="CS135" s="32"/>
      <c r="CT135" s="32"/>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Y135" s="1"/>
      <c r="EZ135" s="1"/>
      <c r="FA135" s="1"/>
    </row>
    <row r="136" spans="9:157" ht="15.75" customHeight="1" x14ac:dyDescent="0.25">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2"/>
      <c r="AW136" s="3"/>
      <c r="AX136" s="3"/>
      <c r="AY136" s="3"/>
      <c r="AZ136" s="3"/>
      <c r="BA136" s="3"/>
      <c r="BB136" s="2"/>
      <c r="BC136" s="3"/>
      <c r="BD136" s="3"/>
      <c r="BE136" s="3"/>
      <c r="BF136" s="3"/>
      <c r="BG136" s="3"/>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3"/>
      <c r="CH136" s="3"/>
      <c r="CI136" s="3"/>
      <c r="CJ136" s="3"/>
      <c r="CK136" s="3"/>
      <c r="CL136" s="3"/>
      <c r="CM136" s="3"/>
      <c r="CN136" s="3"/>
      <c r="CO136" s="3"/>
      <c r="CP136" s="3"/>
      <c r="CQ136" s="3"/>
      <c r="CR136" s="3"/>
      <c r="CS136" s="32"/>
      <c r="CT136" s="32"/>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Y136" s="1"/>
      <c r="EZ136" s="1"/>
      <c r="FA136" s="1"/>
    </row>
    <row r="137" spans="9:157" ht="15.75" customHeight="1" x14ac:dyDescent="0.25">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2"/>
      <c r="AW137" s="3"/>
      <c r="AX137" s="3"/>
      <c r="AY137" s="3"/>
      <c r="AZ137" s="3"/>
      <c r="BA137" s="3"/>
      <c r="BB137" s="2"/>
      <c r="BC137" s="3"/>
      <c r="BD137" s="3"/>
      <c r="BE137" s="3"/>
      <c r="BF137" s="3"/>
      <c r="BG137" s="3"/>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3"/>
      <c r="CH137" s="3"/>
      <c r="CI137" s="3"/>
      <c r="CJ137" s="3"/>
      <c r="CK137" s="3"/>
      <c r="CL137" s="3"/>
      <c r="CM137" s="3"/>
      <c r="CN137" s="3"/>
      <c r="CO137" s="3"/>
      <c r="CP137" s="3"/>
      <c r="CQ137" s="3"/>
      <c r="CR137" s="3"/>
      <c r="CS137" s="32"/>
      <c r="CT137" s="32"/>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Y137" s="1"/>
      <c r="EZ137" s="1"/>
      <c r="FA137" s="1"/>
    </row>
    <row r="138" spans="9:157" ht="15.75" customHeight="1" x14ac:dyDescent="0.25">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2"/>
      <c r="AW138" s="3"/>
      <c r="AX138" s="3"/>
      <c r="AY138" s="3"/>
      <c r="AZ138" s="3"/>
      <c r="BA138" s="3"/>
      <c r="BB138" s="2"/>
      <c r="BC138" s="3"/>
      <c r="BD138" s="3"/>
      <c r="BE138" s="3"/>
      <c r="BF138" s="3"/>
      <c r="BG138" s="3"/>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3"/>
      <c r="CH138" s="3"/>
      <c r="CI138" s="3"/>
      <c r="CJ138" s="3"/>
      <c r="CK138" s="3"/>
      <c r="CL138" s="3"/>
      <c r="CM138" s="3"/>
      <c r="CN138" s="3"/>
      <c r="CO138" s="3"/>
      <c r="CP138" s="3"/>
      <c r="CQ138" s="3"/>
      <c r="CR138" s="3"/>
      <c r="CS138" s="32"/>
      <c r="CT138" s="32"/>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Y138" s="1"/>
      <c r="EZ138" s="1"/>
      <c r="FA138" s="1"/>
    </row>
    <row r="139" spans="9:157" ht="15.75" customHeight="1" x14ac:dyDescent="0.25">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2"/>
      <c r="AW139" s="3"/>
      <c r="AX139" s="3"/>
      <c r="AY139" s="3"/>
      <c r="AZ139" s="3"/>
      <c r="BA139" s="3"/>
      <c r="BB139" s="2"/>
      <c r="BC139" s="3"/>
      <c r="BD139" s="3"/>
      <c r="BE139" s="3"/>
      <c r="BF139" s="3"/>
      <c r="BG139" s="3"/>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3"/>
      <c r="CH139" s="3"/>
      <c r="CI139" s="3"/>
      <c r="CJ139" s="3"/>
      <c r="CK139" s="3"/>
      <c r="CL139" s="3"/>
      <c r="CM139" s="3"/>
      <c r="CN139" s="3"/>
      <c r="CO139" s="3"/>
      <c r="CP139" s="3"/>
      <c r="CQ139" s="3"/>
      <c r="CR139" s="3"/>
      <c r="CS139" s="32"/>
      <c r="CT139" s="32"/>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Y139" s="1"/>
      <c r="EZ139" s="1"/>
      <c r="FA139" s="1"/>
    </row>
    <row r="140" spans="9:157" ht="15.75" customHeight="1" x14ac:dyDescent="0.25">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2"/>
      <c r="AW140" s="3"/>
      <c r="AX140" s="3"/>
      <c r="AY140" s="3"/>
      <c r="AZ140" s="3"/>
      <c r="BA140" s="3"/>
      <c r="BB140" s="2"/>
      <c r="BC140" s="3"/>
      <c r="BD140" s="3"/>
      <c r="BE140" s="3"/>
      <c r="BF140" s="3"/>
      <c r="BG140" s="3"/>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3"/>
      <c r="CH140" s="3"/>
      <c r="CI140" s="3"/>
      <c r="CJ140" s="3"/>
      <c r="CK140" s="3"/>
      <c r="CL140" s="3"/>
      <c r="CM140" s="3"/>
      <c r="CN140" s="3"/>
      <c r="CO140" s="3"/>
      <c r="CP140" s="3"/>
      <c r="CQ140" s="3"/>
      <c r="CR140" s="3"/>
      <c r="CS140" s="32"/>
      <c r="CT140" s="32"/>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Y140" s="1"/>
      <c r="EZ140" s="1"/>
      <c r="FA140" s="1"/>
    </row>
    <row r="141" spans="9:157" ht="15.75" customHeight="1" x14ac:dyDescent="0.25">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2"/>
      <c r="AW141" s="3"/>
      <c r="AX141" s="3"/>
      <c r="AY141" s="3"/>
      <c r="AZ141" s="3"/>
      <c r="BA141" s="3"/>
      <c r="BB141" s="2"/>
      <c r="BC141" s="3"/>
      <c r="BD141" s="3"/>
      <c r="BE141" s="3"/>
      <c r="BF141" s="3"/>
      <c r="BG141" s="3"/>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3"/>
      <c r="CH141" s="3"/>
      <c r="CI141" s="3"/>
      <c r="CJ141" s="3"/>
      <c r="CK141" s="3"/>
      <c r="CL141" s="3"/>
      <c r="CM141" s="3"/>
      <c r="CN141" s="3"/>
      <c r="CO141" s="3"/>
      <c r="CP141" s="3"/>
      <c r="CQ141" s="3"/>
      <c r="CR141" s="3"/>
      <c r="CS141" s="32"/>
      <c r="CT141" s="32"/>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Y141" s="1"/>
      <c r="EZ141" s="1"/>
      <c r="FA141" s="1"/>
    </row>
    <row r="142" spans="9:157" ht="15.75" customHeight="1" x14ac:dyDescent="0.25">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2"/>
      <c r="AW142" s="3"/>
      <c r="AX142" s="3"/>
      <c r="AY142" s="3"/>
      <c r="AZ142" s="3"/>
      <c r="BA142" s="3"/>
      <c r="BB142" s="2"/>
      <c r="BC142" s="3"/>
      <c r="BD142" s="3"/>
      <c r="BE142" s="3"/>
      <c r="BF142" s="3"/>
      <c r="BG142" s="3"/>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3"/>
      <c r="CH142" s="3"/>
      <c r="CI142" s="3"/>
      <c r="CJ142" s="3"/>
      <c r="CK142" s="3"/>
      <c r="CL142" s="3"/>
      <c r="CM142" s="3"/>
      <c r="CN142" s="3"/>
      <c r="CO142" s="3"/>
      <c r="CP142" s="3"/>
      <c r="CQ142" s="3"/>
      <c r="CR142" s="3"/>
      <c r="CS142" s="32"/>
      <c r="CT142" s="32"/>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Y142" s="1"/>
      <c r="EZ142" s="1"/>
      <c r="FA142" s="1"/>
    </row>
    <row r="143" spans="9:157" ht="15.75" customHeight="1" x14ac:dyDescent="0.25">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2"/>
      <c r="AW143" s="3"/>
      <c r="AX143" s="3"/>
      <c r="AY143" s="3"/>
      <c r="AZ143" s="3"/>
      <c r="BA143" s="3"/>
      <c r="BB143" s="2"/>
      <c r="BC143" s="3"/>
      <c r="BD143" s="3"/>
      <c r="BE143" s="3"/>
      <c r="BF143" s="3"/>
      <c r="BG143" s="3"/>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3"/>
      <c r="CH143" s="3"/>
      <c r="CI143" s="3"/>
      <c r="CJ143" s="3"/>
      <c r="CK143" s="3"/>
      <c r="CL143" s="3"/>
      <c r="CM143" s="3"/>
      <c r="CN143" s="3"/>
      <c r="CO143" s="3"/>
      <c r="CP143" s="3"/>
      <c r="CQ143" s="3"/>
      <c r="CR143" s="3"/>
      <c r="CS143" s="32"/>
      <c r="CT143" s="32"/>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Y143" s="1"/>
      <c r="EZ143" s="1"/>
      <c r="FA143" s="1"/>
    </row>
    <row r="144" spans="9:157" ht="15.75" customHeight="1" x14ac:dyDescent="0.25">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2"/>
      <c r="AW144" s="3"/>
      <c r="AX144" s="3"/>
      <c r="AY144" s="3"/>
      <c r="AZ144" s="3"/>
      <c r="BA144" s="3"/>
      <c r="BB144" s="2"/>
      <c r="BC144" s="3"/>
      <c r="BD144" s="3"/>
      <c r="BE144" s="3"/>
      <c r="BF144" s="3"/>
      <c r="BG144" s="3"/>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3"/>
      <c r="CH144" s="3"/>
      <c r="CI144" s="3"/>
      <c r="CJ144" s="3"/>
      <c r="CK144" s="3"/>
      <c r="CL144" s="3"/>
      <c r="CM144" s="3"/>
      <c r="CN144" s="3"/>
      <c r="CO144" s="3"/>
      <c r="CP144" s="3"/>
      <c r="CQ144" s="3"/>
      <c r="CR144" s="3"/>
      <c r="CS144" s="32"/>
      <c r="CT144" s="32"/>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Y144" s="1"/>
      <c r="EZ144" s="1"/>
      <c r="FA144" s="1"/>
    </row>
    <row r="145" spans="9:157" ht="15.75" customHeight="1" x14ac:dyDescent="0.25">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2"/>
      <c r="AW145" s="3"/>
      <c r="AX145" s="3"/>
      <c r="AY145" s="3"/>
      <c r="AZ145" s="3"/>
      <c r="BA145" s="3"/>
      <c r="BB145" s="2"/>
      <c r="BC145" s="3"/>
      <c r="BD145" s="3"/>
      <c r="BE145" s="3"/>
      <c r="BF145" s="3"/>
      <c r="BG145" s="3"/>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3"/>
      <c r="CH145" s="3"/>
      <c r="CI145" s="3"/>
      <c r="CJ145" s="3"/>
      <c r="CK145" s="3"/>
      <c r="CL145" s="3"/>
      <c r="CM145" s="3"/>
      <c r="CN145" s="3"/>
      <c r="CO145" s="3"/>
      <c r="CP145" s="3"/>
      <c r="CQ145" s="3"/>
      <c r="CR145" s="3"/>
      <c r="CS145" s="32"/>
      <c r="CT145" s="32"/>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Y145" s="1"/>
      <c r="EZ145" s="1"/>
      <c r="FA145" s="1"/>
    </row>
    <row r="146" spans="9:157" ht="15.75" customHeight="1" x14ac:dyDescent="0.25">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2"/>
      <c r="AW146" s="3"/>
      <c r="AX146" s="3"/>
      <c r="AY146" s="3"/>
      <c r="AZ146" s="3"/>
      <c r="BA146" s="3"/>
      <c r="BB146" s="2"/>
      <c r="BC146" s="3"/>
      <c r="BD146" s="3"/>
      <c r="BE146" s="3"/>
      <c r="BF146" s="3"/>
      <c r="BG146" s="3"/>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3"/>
      <c r="CH146" s="3"/>
      <c r="CI146" s="3"/>
      <c r="CJ146" s="3"/>
      <c r="CK146" s="3"/>
      <c r="CL146" s="3"/>
      <c r="CM146" s="3"/>
      <c r="CN146" s="3"/>
      <c r="CO146" s="3"/>
      <c r="CP146" s="3"/>
      <c r="CQ146" s="3"/>
      <c r="CR146" s="3"/>
      <c r="CS146" s="32"/>
      <c r="CT146" s="32"/>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Y146" s="1"/>
      <c r="EZ146" s="1"/>
      <c r="FA146" s="1"/>
    </row>
    <row r="147" spans="9:157" ht="15.75" customHeight="1" x14ac:dyDescent="0.25">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2"/>
      <c r="AW147" s="3"/>
      <c r="AX147" s="3"/>
      <c r="AY147" s="3"/>
      <c r="AZ147" s="3"/>
      <c r="BA147" s="3"/>
      <c r="BB147" s="2"/>
      <c r="BC147" s="3"/>
      <c r="BD147" s="3"/>
      <c r="BE147" s="3"/>
      <c r="BF147" s="3"/>
      <c r="BG147" s="3"/>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3"/>
      <c r="CH147" s="3"/>
      <c r="CI147" s="3"/>
      <c r="CJ147" s="3"/>
      <c r="CK147" s="3"/>
      <c r="CL147" s="3"/>
      <c r="CM147" s="3"/>
      <c r="CN147" s="3"/>
      <c r="CO147" s="3"/>
      <c r="CP147" s="3"/>
      <c r="CQ147" s="3"/>
      <c r="CR147" s="3"/>
      <c r="CS147" s="32"/>
      <c r="CT147" s="32"/>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Y147" s="1"/>
      <c r="EZ147" s="1"/>
      <c r="FA147" s="1"/>
    </row>
    <row r="148" spans="9:157" ht="15.75" customHeight="1" x14ac:dyDescent="0.25">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2"/>
      <c r="AW148" s="3"/>
      <c r="AX148" s="3"/>
      <c r="AY148" s="3"/>
      <c r="AZ148" s="3"/>
      <c r="BA148" s="3"/>
      <c r="BB148" s="2"/>
      <c r="BC148" s="3"/>
      <c r="BD148" s="3"/>
      <c r="BE148" s="3"/>
      <c r="BF148" s="3"/>
      <c r="BG148" s="3"/>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3"/>
      <c r="CH148" s="3"/>
      <c r="CI148" s="3"/>
      <c r="CJ148" s="3"/>
      <c r="CK148" s="3"/>
      <c r="CL148" s="3"/>
      <c r="CM148" s="3"/>
      <c r="CN148" s="3"/>
      <c r="CO148" s="3"/>
      <c r="CP148" s="3"/>
      <c r="CQ148" s="3"/>
      <c r="CR148" s="3"/>
      <c r="CS148" s="32"/>
      <c r="CT148" s="32"/>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Y148" s="1"/>
      <c r="EZ148" s="1"/>
      <c r="FA148" s="1"/>
    </row>
    <row r="149" spans="9:157" ht="15.75" customHeight="1" x14ac:dyDescent="0.25">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2"/>
      <c r="AW149" s="3"/>
      <c r="AX149" s="3"/>
      <c r="AY149" s="3"/>
      <c r="AZ149" s="3"/>
      <c r="BA149" s="3"/>
      <c r="BB149" s="2"/>
      <c r="BC149" s="3"/>
      <c r="BD149" s="3"/>
      <c r="BE149" s="3"/>
      <c r="BF149" s="3"/>
      <c r="BG149" s="3"/>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3"/>
      <c r="CH149" s="3"/>
      <c r="CI149" s="3"/>
      <c r="CJ149" s="3"/>
      <c r="CK149" s="3"/>
      <c r="CL149" s="3"/>
      <c r="CM149" s="3"/>
      <c r="CN149" s="3"/>
      <c r="CO149" s="3"/>
      <c r="CP149" s="3"/>
      <c r="CQ149" s="3"/>
      <c r="CR149" s="3"/>
      <c r="CS149" s="32"/>
      <c r="CT149" s="32"/>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Y149" s="1"/>
      <c r="EZ149" s="1"/>
      <c r="FA149" s="1"/>
    </row>
    <row r="150" spans="9:157" ht="15.75" customHeight="1" x14ac:dyDescent="0.25">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2"/>
      <c r="AW150" s="3"/>
      <c r="AX150" s="3"/>
      <c r="AY150" s="3"/>
      <c r="AZ150" s="3"/>
      <c r="BA150" s="3"/>
      <c r="BB150" s="2"/>
      <c r="BC150" s="3"/>
      <c r="BD150" s="3"/>
      <c r="BE150" s="3"/>
      <c r="BF150" s="3"/>
      <c r="BG150" s="3"/>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3"/>
      <c r="CH150" s="3"/>
      <c r="CI150" s="3"/>
      <c r="CJ150" s="3"/>
      <c r="CK150" s="3"/>
      <c r="CL150" s="3"/>
      <c r="CM150" s="3"/>
      <c r="CN150" s="3"/>
      <c r="CO150" s="3"/>
      <c r="CP150" s="3"/>
      <c r="CQ150" s="3"/>
      <c r="CR150" s="3"/>
      <c r="CS150" s="32"/>
      <c r="CT150" s="32"/>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Y150" s="1"/>
      <c r="EZ150" s="1"/>
      <c r="FA150" s="1"/>
    </row>
    <row r="151" spans="9:157" ht="15.75" customHeight="1" x14ac:dyDescent="0.25">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2"/>
      <c r="AW151" s="3"/>
      <c r="AX151" s="3"/>
      <c r="AY151" s="3"/>
      <c r="AZ151" s="3"/>
      <c r="BA151" s="3"/>
      <c r="BB151" s="2"/>
      <c r="BC151" s="3"/>
      <c r="BD151" s="3"/>
      <c r="BE151" s="3"/>
      <c r="BF151" s="3"/>
      <c r="BG151" s="3"/>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3"/>
      <c r="CH151" s="3"/>
      <c r="CI151" s="3"/>
      <c r="CJ151" s="3"/>
      <c r="CK151" s="3"/>
      <c r="CL151" s="3"/>
      <c r="CM151" s="3"/>
      <c r="CN151" s="3"/>
      <c r="CO151" s="3"/>
      <c r="CP151" s="3"/>
      <c r="CQ151" s="3"/>
      <c r="CR151" s="3"/>
      <c r="CS151" s="32"/>
      <c r="CT151" s="32"/>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Y151" s="1"/>
      <c r="EZ151" s="1"/>
      <c r="FA151" s="1"/>
    </row>
    <row r="152" spans="9:157" ht="15.75" customHeight="1" x14ac:dyDescent="0.25">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2"/>
      <c r="AW152" s="3"/>
      <c r="AX152" s="3"/>
      <c r="AY152" s="3"/>
      <c r="AZ152" s="3"/>
      <c r="BA152" s="3"/>
      <c r="BB152" s="2"/>
      <c r="BC152" s="3"/>
      <c r="BD152" s="3"/>
      <c r="BE152" s="3"/>
      <c r="BF152" s="3"/>
      <c r="BG152" s="3"/>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3"/>
      <c r="CH152" s="3"/>
      <c r="CI152" s="3"/>
      <c r="CJ152" s="3"/>
      <c r="CK152" s="3"/>
      <c r="CL152" s="3"/>
      <c r="CM152" s="3"/>
      <c r="CN152" s="3"/>
      <c r="CO152" s="3"/>
      <c r="CP152" s="3"/>
      <c r="CQ152" s="3"/>
      <c r="CR152" s="3"/>
      <c r="CS152" s="32"/>
      <c r="CT152" s="32"/>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Y152" s="1"/>
      <c r="EZ152" s="1"/>
      <c r="FA152" s="1"/>
    </row>
    <row r="153" spans="9:157" ht="15.75" customHeight="1" x14ac:dyDescent="0.25">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2"/>
      <c r="AW153" s="3"/>
      <c r="AX153" s="3"/>
      <c r="AY153" s="3"/>
      <c r="AZ153" s="3"/>
      <c r="BA153" s="3"/>
      <c r="BB153" s="2"/>
      <c r="BC153" s="3"/>
      <c r="BD153" s="3"/>
      <c r="BE153" s="3"/>
      <c r="BF153" s="3"/>
      <c r="BG153" s="3"/>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3"/>
      <c r="CH153" s="3"/>
      <c r="CI153" s="3"/>
      <c r="CJ153" s="3"/>
      <c r="CK153" s="3"/>
      <c r="CL153" s="3"/>
      <c r="CM153" s="3"/>
      <c r="CN153" s="3"/>
      <c r="CO153" s="3"/>
      <c r="CP153" s="3"/>
      <c r="CQ153" s="3"/>
      <c r="CR153" s="3"/>
      <c r="CS153" s="32"/>
      <c r="CT153" s="32"/>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Y153" s="1"/>
      <c r="EZ153" s="1"/>
      <c r="FA153" s="1"/>
    </row>
    <row r="154" spans="9:157" ht="15.75" customHeight="1" x14ac:dyDescent="0.25">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2"/>
      <c r="AW154" s="3"/>
      <c r="AX154" s="3"/>
      <c r="AY154" s="3"/>
      <c r="AZ154" s="3"/>
      <c r="BA154" s="3"/>
      <c r="BB154" s="2"/>
      <c r="BC154" s="3"/>
      <c r="BD154" s="3"/>
      <c r="BE154" s="3"/>
      <c r="BF154" s="3"/>
      <c r="BG154" s="3"/>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3"/>
      <c r="CH154" s="3"/>
      <c r="CI154" s="3"/>
      <c r="CJ154" s="3"/>
      <c r="CK154" s="3"/>
      <c r="CL154" s="3"/>
      <c r="CM154" s="3"/>
      <c r="CN154" s="3"/>
      <c r="CO154" s="3"/>
      <c r="CP154" s="3"/>
      <c r="CQ154" s="3"/>
      <c r="CR154" s="3"/>
      <c r="CS154" s="32"/>
      <c r="CT154" s="32"/>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Y154" s="1"/>
      <c r="EZ154" s="1"/>
      <c r="FA154" s="1"/>
    </row>
    <row r="155" spans="9:157" ht="15.75" customHeight="1" x14ac:dyDescent="0.25">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2"/>
      <c r="AW155" s="3"/>
      <c r="AX155" s="3"/>
      <c r="AY155" s="3"/>
      <c r="AZ155" s="3"/>
      <c r="BA155" s="3"/>
      <c r="BB155" s="2"/>
      <c r="BC155" s="3"/>
      <c r="BD155" s="3"/>
      <c r="BE155" s="3"/>
      <c r="BF155" s="3"/>
      <c r="BG155" s="3"/>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3"/>
      <c r="CH155" s="3"/>
      <c r="CI155" s="3"/>
      <c r="CJ155" s="3"/>
      <c r="CK155" s="3"/>
      <c r="CL155" s="3"/>
      <c r="CM155" s="3"/>
      <c r="CN155" s="3"/>
      <c r="CO155" s="3"/>
      <c r="CP155" s="3"/>
      <c r="CQ155" s="3"/>
      <c r="CR155" s="3"/>
      <c r="CS155" s="32"/>
      <c r="CT155" s="32"/>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Y155" s="1"/>
      <c r="EZ155" s="1"/>
      <c r="FA155" s="1"/>
    </row>
    <row r="156" spans="9:157" ht="15.75" customHeight="1" x14ac:dyDescent="0.25">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2"/>
      <c r="AW156" s="3"/>
      <c r="AX156" s="3"/>
      <c r="AY156" s="3"/>
      <c r="AZ156" s="3"/>
      <c r="BA156" s="3"/>
      <c r="BB156" s="2"/>
      <c r="BC156" s="3"/>
      <c r="BD156" s="3"/>
      <c r="BE156" s="3"/>
      <c r="BF156" s="3"/>
      <c r="BG156" s="3"/>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3"/>
      <c r="CH156" s="3"/>
      <c r="CI156" s="3"/>
      <c r="CJ156" s="3"/>
      <c r="CK156" s="3"/>
      <c r="CL156" s="3"/>
      <c r="CM156" s="3"/>
      <c r="CN156" s="3"/>
      <c r="CO156" s="3"/>
      <c r="CP156" s="3"/>
      <c r="CQ156" s="3"/>
      <c r="CR156" s="3"/>
      <c r="CS156" s="32"/>
      <c r="CT156" s="32"/>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Y156" s="1"/>
      <c r="EZ156" s="1"/>
      <c r="FA156" s="1"/>
    </row>
    <row r="157" spans="9:157" ht="15.75" customHeight="1" x14ac:dyDescent="0.25">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2"/>
      <c r="AW157" s="3"/>
      <c r="AX157" s="3"/>
      <c r="AY157" s="3"/>
      <c r="AZ157" s="3"/>
      <c r="BA157" s="3"/>
      <c r="BB157" s="2"/>
      <c r="BC157" s="3"/>
      <c r="BD157" s="3"/>
      <c r="BE157" s="3"/>
      <c r="BF157" s="3"/>
      <c r="BG157" s="3"/>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3"/>
      <c r="CH157" s="3"/>
      <c r="CI157" s="3"/>
      <c r="CJ157" s="3"/>
      <c r="CK157" s="3"/>
      <c r="CL157" s="3"/>
      <c r="CM157" s="3"/>
      <c r="CN157" s="3"/>
      <c r="CO157" s="3"/>
      <c r="CP157" s="3"/>
      <c r="CQ157" s="3"/>
      <c r="CR157" s="3"/>
      <c r="CS157" s="32"/>
      <c r="CT157" s="32"/>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Y157" s="1"/>
      <c r="EZ157" s="1"/>
      <c r="FA157" s="1"/>
    </row>
    <row r="158" spans="9:157" ht="15.75" customHeight="1" x14ac:dyDescent="0.25">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2"/>
      <c r="AW158" s="3"/>
      <c r="AX158" s="3"/>
      <c r="AY158" s="3"/>
      <c r="AZ158" s="3"/>
      <c r="BA158" s="3"/>
      <c r="BB158" s="2"/>
      <c r="BC158" s="3"/>
      <c r="BD158" s="3"/>
      <c r="BE158" s="3"/>
      <c r="BF158" s="3"/>
      <c r="BG158" s="3"/>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3"/>
      <c r="CH158" s="3"/>
      <c r="CI158" s="3"/>
      <c r="CJ158" s="3"/>
      <c r="CK158" s="3"/>
      <c r="CL158" s="3"/>
      <c r="CM158" s="3"/>
      <c r="CN158" s="3"/>
      <c r="CO158" s="3"/>
      <c r="CP158" s="3"/>
      <c r="CQ158" s="3"/>
      <c r="CR158" s="3"/>
      <c r="CS158" s="32"/>
      <c r="CT158" s="32"/>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Y158" s="1"/>
      <c r="EZ158" s="1"/>
      <c r="FA158" s="1"/>
    </row>
    <row r="159" spans="9:157" ht="15.75" customHeight="1" x14ac:dyDescent="0.25">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2"/>
      <c r="AW159" s="3"/>
      <c r="AX159" s="3"/>
      <c r="AY159" s="3"/>
      <c r="AZ159" s="3"/>
      <c r="BA159" s="3"/>
      <c r="BB159" s="2"/>
      <c r="BC159" s="3"/>
      <c r="BD159" s="3"/>
      <c r="BE159" s="3"/>
      <c r="BF159" s="3"/>
      <c r="BG159" s="3"/>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3"/>
      <c r="CH159" s="3"/>
      <c r="CI159" s="3"/>
      <c r="CJ159" s="3"/>
      <c r="CK159" s="3"/>
      <c r="CL159" s="3"/>
      <c r="CM159" s="3"/>
      <c r="CN159" s="3"/>
      <c r="CO159" s="3"/>
      <c r="CP159" s="3"/>
      <c r="CQ159" s="3"/>
      <c r="CR159" s="3"/>
      <c r="CS159" s="32"/>
      <c r="CT159" s="32"/>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Y159" s="1"/>
      <c r="EZ159" s="1"/>
      <c r="FA159" s="1"/>
    </row>
    <row r="160" spans="9:157" ht="15.75" customHeight="1" x14ac:dyDescent="0.25">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2"/>
      <c r="AW160" s="3"/>
      <c r="AX160" s="3"/>
      <c r="AY160" s="3"/>
      <c r="AZ160" s="3"/>
      <c r="BA160" s="3"/>
      <c r="BB160" s="2"/>
      <c r="BC160" s="3"/>
      <c r="BD160" s="3"/>
      <c r="BE160" s="3"/>
      <c r="BF160" s="3"/>
      <c r="BG160" s="3"/>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3"/>
      <c r="CH160" s="3"/>
      <c r="CI160" s="3"/>
      <c r="CJ160" s="3"/>
      <c r="CK160" s="3"/>
      <c r="CL160" s="3"/>
      <c r="CM160" s="3"/>
      <c r="CN160" s="3"/>
      <c r="CO160" s="3"/>
      <c r="CP160" s="3"/>
      <c r="CQ160" s="3"/>
      <c r="CR160" s="3"/>
      <c r="CS160" s="32"/>
      <c r="CT160" s="32"/>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Y160" s="1"/>
      <c r="EZ160" s="1"/>
      <c r="FA160" s="1"/>
    </row>
    <row r="161" spans="9:157" ht="15.75" customHeight="1" x14ac:dyDescent="0.25">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2"/>
      <c r="AW161" s="3"/>
      <c r="AX161" s="3"/>
      <c r="AY161" s="3"/>
      <c r="AZ161" s="3"/>
      <c r="BA161" s="3"/>
      <c r="BB161" s="2"/>
      <c r="BC161" s="3"/>
      <c r="BD161" s="3"/>
      <c r="BE161" s="3"/>
      <c r="BF161" s="3"/>
      <c r="BG161" s="3"/>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3"/>
      <c r="CH161" s="3"/>
      <c r="CI161" s="3"/>
      <c r="CJ161" s="3"/>
      <c r="CK161" s="3"/>
      <c r="CL161" s="3"/>
      <c r="CM161" s="3"/>
      <c r="CN161" s="3"/>
      <c r="CO161" s="3"/>
      <c r="CP161" s="3"/>
      <c r="CQ161" s="3"/>
      <c r="CR161" s="3"/>
      <c r="CS161" s="32"/>
      <c r="CT161" s="32"/>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Y161" s="1"/>
      <c r="EZ161" s="1"/>
      <c r="FA161" s="1"/>
    </row>
    <row r="162" spans="9:157" ht="15.75" customHeight="1" x14ac:dyDescent="0.25">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2"/>
      <c r="AW162" s="3"/>
      <c r="AX162" s="3"/>
      <c r="AY162" s="3"/>
      <c r="AZ162" s="3"/>
      <c r="BA162" s="3"/>
      <c r="BB162" s="2"/>
      <c r="BC162" s="3"/>
      <c r="BD162" s="3"/>
      <c r="BE162" s="3"/>
      <c r="BF162" s="3"/>
      <c r="BG162" s="3"/>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3"/>
      <c r="CH162" s="3"/>
      <c r="CI162" s="3"/>
      <c r="CJ162" s="3"/>
      <c r="CK162" s="3"/>
      <c r="CL162" s="3"/>
      <c r="CM162" s="3"/>
      <c r="CN162" s="3"/>
      <c r="CO162" s="3"/>
      <c r="CP162" s="3"/>
      <c r="CQ162" s="3"/>
      <c r="CR162" s="3"/>
      <c r="CS162" s="32"/>
      <c r="CT162" s="32"/>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Y162" s="1"/>
      <c r="EZ162" s="1"/>
      <c r="FA162" s="1"/>
    </row>
    <row r="163" spans="9:157" ht="15.75" customHeight="1" x14ac:dyDescent="0.25">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2"/>
      <c r="AW163" s="3"/>
      <c r="AX163" s="3"/>
      <c r="AY163" s="3"/>
      <c r="AZ163" s="3"/>
      <c r="BA163" s="3"/>
      <c r="BB163" s="2"/>
      <c r="BC163" s="3"/>
      <c r="BD163" s="3"/>
      <c r="BE163" s="3"/>
      <c r="BF163" s="3"/>
      <c r="BG163" s="3"/>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3"/>
      <c r="CH163" s="3"/>
      <c r="CI163" s="3"/>
      <c r="CJ163" s="3"/>
      <c r="CK163" s="3"/>
      <c r="CL163" s="3"/>
      <c r="CM163" s="3"/>
      <c r="CN163" s="3"/>
      <c r="CO163" s="3"/>
      <c r="CP163" s="3"/>
      <c r="CQ163" s="3"/>
      <c r="CR163" s="3"/>
      <c r="CS163" s="32"/>
      <c r="CT163" s="32"/>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Y163" s="1"/>
      <c r="EZ163" s="1"/>
      <c r="FA163" s="1"/>
    </row>
    <row r="164" spans="9:157" ht="15.75" customHeight="1" x14ac:dyDescent="0.25">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2"/>
      <c r="AW164" s="3"/>
      <c r="AX164" s="3"/>
      <c r="AY164" s="3"/>
      <c r="AZ164" s="3"/>
      <c r="BA164" s="3"/>
      <c r="BB164" s="2"/>
      <c r="BC164" s="3"/>
      <c r="BD164" s="3"/>
      <c r="BE164" s="3"/>
      <c r="BF164" s="3"/>
      <c r="BG164" s="3"/>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3"/>
      <c r="CH164" s="3"/>
      <c r="CI164" s="3"/>
      <c r="CJ164" s="3"/>
      <c r="CK164" s="3"/>
      <c r="CL164" s="3"/>
      <c r="CM164" s="3"/>
      <c r="CN164" s="3"/>
      <c r="CO164" s="3"/>
      <c r="CP164" s="3"/>
      <c r="CQ164" s="3"/>
      <c r="CR164" s="3"/>
      <c r="CS164" s="32"/>
      <c r="CT164" s="32"/>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Y164" s="1"/>
      <c r="EZ164" s="1"/>
      <c r="FA164" s="1"/>
    </row>
    <row r="165" spans="9:157" ht="15.75" customHeight="1" x14ac:dyDescent="0.25">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2"/>
      <c r="AW165" s="3"/>
      <c r="AX165" s="3"/>
      <c r="AY165" s="3"/>
      <c r="AZ165" s="3"/>
      <c r="BA165" s="3"/>
      <c r="BB165" s="2"/>
      <c r="BC165" s="3"/>
      <c r="BD165" s="3"/>
      <c r="BE165" s="3"/>
      <c r="BF165" s="3"/>
      <c r="BG165" s="3"/>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3"/>
      <c r="CH165" s="3"/>
      <c r="CI165" s="3"/>
      <c r="CJ165" s="3"/>
      <c r="CK165" s="3"/>
      <c r="CL165" s="3"/>
      <c r="CM165" s="3"/>
      <c r="CN165" s="3"/>
      <c r="CO165" s="3"/>
      <c r="CP165" s="3"/>
      <c r="CQ165" s="3"/>
      <c r="CR165" s="3"/>
      <c r="CS165" s="32"/>
      <c r="CT165" s="32"/>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Y165" s="1"/>
      <c r="EZ165" s="1"/>
      <c r="FA165" s="1"/>
    </row>
    <row r="166" spans="9:157" ht="15.75" customHeight="1" x14ac:dyDescent="0.25">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2"/>
      <c r="AW166" s="3"/>
      <c r="AX166" s="3"/>
      <c r="AY166" s="3"/>
      <c r="AZ166" s="3"/>
      <c r="BA166" s="3"/>
      <c r="BB166" s="2"/>
      <c r="BC166" s="3"/>
      <c r="BD166" s="3"/>
      <c r="BE166" s="3"/>
      <c r="BF166" s="3"/>
      <c r="BG166" s="3"/>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3"/>
      <c r="CH166" s="3"/>
      <c r="CI166" s="3"/>
      <c r="CJ166" s="3"/>
      <c r="CK166" s="3"/>
      <c r="CL166" s="3"/>
      <c r="CM166" s="3"/>
      <c r="CN166" s="3"/>
      <c r="CO166" s="3"/>
      <c r="CP166" s="3"/>
      <c r="CQ166" s="3"/>
      <c r="CR166" s="3"/>
      <c r="CS166" s="32"/>
      <c r="CT166" s="32"/>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Y166" s="1"/>
      <c r="EZ166" s="1"/>
      <c r="FA166" s="1"/>
    </row>
    <row r="167" spans="9:157" ht="15.75" customHeight="1" x14ac:dyDescent="0.25">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2"/>
      <c r="AW167" s="3"/>
      <c r="AX167" s="3"/>
      <c r="AY167" s="3"/>
      <c r="AZ167" s="3"/>
      <c r="BA167" s="3"/>
      <c r="BB167" s="2"/>
      <c r="BC167" s="3"/>
      <c r="BD167" s="3"/>
      <c r="BE167" s="3"/>
      <c r="BF167" s="3"/>
      <c r="BG167" s="3"/>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3"/>
      <c r="CH167" s="3"/>
      <c r="CI167" s="3"/>
      <c r="CJ167" s="3"/>
      <c r="CK167" s="3"/>
      <c r="CL167" s="3"/>
      <c r="CM167" s="3"/>
      <c r="CN167" s="3"/>
      <c r="CO167" s="3"/>
      <c r="CP167" s="3"/>
      <c r="CQ167" s="3"/>
      <c r="CR167" s="3"/>
      <c r="CS167" s="32"/>
      <c r="CT167" s="32"/>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Y167" s="1"/>
      <c r="EZ167" s="1"/>
      <c r="FA167" s="1"/>
    </row>
    <row r="168" spans="9:157" ht="15.75" customHeight="1" x14ac:dyDescent="0.25">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2"/>
      <c r="AW168" s="3"/>
      <c r="AX168" s="3"/>
      <c r="AY168" s="3"/>
      <c r="AZ168" s="3"/>
      <c r="BA168" s="3"/>
      <c r="BB168" s="2"/>
      <c r="BC168" s="3"/>
      <c r="BD168" s="3"/>
      <c r="BE168" s="3"/>
      <c r="BF168" s="3"/>
      <c r="BG168" s="3"/>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3"/>
      <c r="CH168" s="3"/>
      <c r="CI168" s="3"/>
      <c r="CJ168" s="3"/>
      <c r="CK168" s="3"/>
      <c r="CL168" s="3"/>
      <c r="CM168" s="3"/>
      <c r="CN168" s="3"/>
      <c r="CO168" s="3"/>
      <c r="CP168" s="3"/>
      <c r="CQ168" s="3"/>
      <c r="CR168" s="3"/>
      <c r="CS168" s="32"/>
      <c r="CT168" s="32"/>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Y168" s="1"/>
      <c r="EZ168" s="1"/>
      <c r="FA168" s="1"/>
    </row>
    <row r="169" spans="9:157" ht="15.75" customHeight="1" x14ac:dyDescent="0.25">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2"/>
      <c r="AW169" s="3"/>
      <c r="AX169" s="3"/>
      <c r="AY169" s="3"/>
      <c r="AZ169" s="3"/>
      <c r="BA169" s="3"/>
      <c r="BB169" s="2"/>
      <c r="BC169" s="3"/>
      <c r="BD169" s="3"/>
      <c r="BE169" s="3"/>
      <c r="BF169" s="3"/>
      <c r="BG169" s="3"/>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3"/>
      <c r="CH169" s="3"/>
      <c r="CI169" s="3"/>
      <c r="CJ169" s="3"/>
      <c r="CK169" s="3"/>
      <c r="CL169" s="3"/>
      <c r="CM169" s="3"/>
      <c r="CN169" s="3"/>
      <c r="CO169" s="3"/>
      <c r="CP169" s="3"/>
      <c r="CQ169" s="3"/>
      <c r="CR169" s="3"/>
      <c r="CS169" s="32"/>
      <c r="CT169" s="32"/>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Y169" s="1"/>
      <c r="EZ169" s="1"/>
      <c r="FA169" s="1"/>
    </row>
    <row r="170" spans="9:157" ht="15.75" customHeight="1" x14ac:dyDescent="0.25">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2"/>
      <c r="AW170" s="3"/>
      <c r="AX170" s="3"/>
      <c r="AY170" s="3"/>
      <c r="AZ170" s="3"/>
      <c r="BA170" s="3"/>
      <c r="BB170" s="2"/>
      <c r="BC170" s="3"/>
      <c r="BD170" s="3"/>
      <c r="BE170" s="3"/>
      <c r="BF170" s="3"/>
      <c r="BG170" s="3"/>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3"/>
      <c r="CH170" s="3"/>
      <c r="CI170" s="3"/>
      <c r="CJ170" s="3"/>
      <c r="CK170" s="3"/>
      <c r="CL170" s="3"/>
      <c r="CM170" s="3"/>
      <c r="CN170" s="3"/>
      <c r="CO170" s="3"/>
      <c r="CP170" s="3"/>
      <c r="CQ170" s="3"/>
      <c r="CR170" s="3"/>
      <c r="CS170" s="32"/>
      <c r="CT170" s="32"/>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Y170" s="1"/>
      <c r="EZ170" s="1"/>
      <c r="FA170" s="1"/>
    </row>
    <row r="171" spans="9:157" ht="15.75" customHeight="1" x14ac:dyDescent="0.25">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2"/>
      <c r="AW171" s="3"/>
      <c r="AX171" s="3"/>
      <c r="AY171" s="3"/>
      <c r="AZ171" s="3"/>
      <c r="BA171" s="3"/>
      <c r="BB171" s="2"/>
      <c r="BC171" s="3"/>
      <c r="BD171" s="3"/>
      <c r="BE171" s="3"/>
      <c r="BF171" s="3"/>
      <c r="BG171" s="3"/>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3"/>
      <c r="CH171" s="3"/>
      <c r="CI171" s="3"/>
      <c r="CJ171" s="3"/>
      <c r="CK171" s="3"/>
      <c r="CL171" s="3"/>
      <c r="CM171" s="3"/>
      <c r="CN171" s="3"/>
      <c r="CO171" s="3"/>
      <c r="CP171" s="3"/>
      <c r="CQ171" s="3"/>
      <c r="CR171" s="3"/>
      <c r="CS171" s="32"/>
      <c r="CT171" s="32"/>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Y171" s="1"/>
      <c r="EZ171" s="1"/>
      <c r="FA171" s="1"/>
    </row>
    <row r="172" spans="9:157" ht="15.75" customHeight="1" x14ac:dyDescent="0.25">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2"/>
      <c r="AW172" s="3"/>
      <c r="AX172" s="3"/>
      <c r="AY172" s="3"/>
      <c r="AZ172" s="3"/>
      <c r="BA172" s="3"/>
      <c r="BB172" s="2"/>
      <c r="BC172" s="3"/>
      <c r="BD172" s="3"/>
      <c r="BE172" s="3"/>
      <c r="BF172" s="3"/>
      <c r="BG172" s="3"/>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3"/>
      <c r="CH172" s="3"/>
      <c r="CI172" s="3"/>
      <c r="CJ172" s="3"/>
      <c r="CK172" s="3"/>
      <c r="CL172" s="3"/>
      <c r="CM172" s="3"/>
      <c r="CN172" s="3"/>
      <c r="CO172" s="3"/>
      <c r="CP172" s="3"/>
      <c r="CQ172" s="3"/>
      <c r="CR172" s="3"/>
      <c r="CS172" s="32"/>
      <c r="CT172" s="32"/>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Y172" s="1"/>
      <c r="EZ172" s="1"/>
      <c r="FA172" s="1"/>
    </row>
    <row r="173" spans="9:157" ht="15.75" customHeight="1" x14ac:dyDescent="0.25">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2"/>
      <c r="AW173" s="3"/>
      <c r="AX173" s="3"/>
      <c r="AY173" s="3"/>
      <c r="AZ173" s="3"/>
      <c r="BA173" s="3"/>
      <c r="BB173" s="2"/>
      <c r="BC173" s="3"/>
      <c r="BD173" s="3"/>
      <c r="BE173" s="3"/>
      <c r="BF173" s="3"/>
      <c r="BG173" s="3"/>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3"/>
      <c r="CH173" s="3"/>
      <c r="CI173" s="3"/>
      <c r="CJ173" s="3"/>
      <c r="CK173" s="3"/>
      <c r="CL173" s="3"/>
      <c r="CM173" s="3"/>
      <c r="CN173" s="3"/>
      <c r="CO173" s="3"/>
      <c r="CP173" s="3"/>
      <c r="CQ173" s="3"/>
      <c r="CR173" s="3"/>
      <c r="CS173" s="32"/>
      <c r="CT173" s="32"/>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Y173" s="1"/>
      <c r="EZ173" s="1"/>
      <c r="FA173" s="1"/>
    </row>
    <row r="174" spans="9:157" ht="15.75" customHeight="1" x14ac:dyDescent="0.25">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2"/>
      <c r="AW174" s="3"/>
      <c r="AX174" s="3"/>
      <c r="AY174" s="3"/>
      <c r="AZ174" s="3"/>
      <c r="BA174" s="3"/>
      <c r="BB174" s="2"/>
      <c r="BC174" s="3"/>
      <c r="BD174" s="3"/>
      <c r="BE174" s="3"/>
      <c r="BF174" s="3"/>
      <c r="BG174" s="3"/>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3"/>
      <c r="CH174" s="3"/>
      <c r="CI174" s="3"/>
      <c r="CJ174" s="3"/>
      <c r="CK174" s="3"/>
      <c r="CL174" s="3"/>
      <c r="CM174" s="3"/>
      <c r="CN174" s="3"/>
      <c r="CO174" s="3"/>
      <c r="CP174" s="3"/>
      <c r="CQ174" s="3"/>
      <c r="CR174" s="3"/>
      <c r="CS174" s="32"/>
      <c r="CT174" s="32"/>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Y174" s="1"/>
      <c r="EZ174" s="1"/>
      <c r="FA174" s="1"/>
    </row>
    <row r="175" spans="9:157" ht="15.75" customHeight="1" x14ac:dyDescent="0.25">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2"/>
      <c r="AW175" s="3"/>
      <c r="AX175" s="3"/>
      <c r="AY175" s="3"/>
      <c r="AZ175" s="3"/>
      <c r="BA175" s="3"/>
      <c r="BB175" s="2"/>
      <c r="BC175" s="3"/>
      <c r="BD175" s="3"/>
      <c r="BE175" s="3"/>
      <c r="BF175" s="3"/>
      <c r="BG175" s="3"/>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3"/>
      <c r="CH175" s="3"/>
      <c r="CI175" s="3"/>
      <c r="CJ175" s="3"/>
      <c r="CK175" s="3"/>
      <c r="CL175" s="3"/>
      <c r="CM175" s="3"/>
      <c r="CN175" s="3"/>
      <c r="CO175" s="3"/>
      <c r="CP175" s="3"/>
      <c r="CQ175" s="3"/>
      <c r="CR175" s="3"/>
      <c r="CS175" s="32"/>
      <c r="CT175" s="32"/>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Y175" s="1"/>
      <c r="EZ175" s="1"/>
      <c r="FA175" s="1"/>
    </row>
    <row r="176" spans="9:157" ht="15.75" customHeight="1" x14ac:dyDescent="0.25">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2"/>
      <c r="AW176" s="3"/>
      <c r="AX176" s="3"/>
      <c r="AY176" s="3"/>
      <c r="AZ176" s="3"/>
      <c r="BA176" s="3"/>
      <c r="BB176" s="2"/>
      <c r="BC176" s="3"/>
      <c r="BD176" s="3"/>
      <c r="BE176" s="3"/>
      <c r="BF176" s="3"/>
      <c r="BG176" s="3"/>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3"/>
      <c r="CH176" s="3"/>
      <c r="CI176" s="3"/>
      <c r="CJ176" s="3"/>
      <c r="CK176" s="3"/>
      <c r="CL176" s="3"/>
      <c r="CM176" s="3"/>
      <c r="CN176" s="3"/>
      <c r="CO176" s="3"/>
      <c r="CP176" s="3"/>
      <c r="CQ176" s="3"/>
      <c r="CR176" s="3"/>
      <c r="CS176" s="32"/>
      <c r="CT176" s="32"/>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Y176" s="1"/>
      <c r="EZ176" s="1"/>
      <c r="FA176" s="1"/>
    </row>
    <row r="177" spans="9:157" ht="15.75" customHeight="1" x14ac:dyDescent="0.25">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2"/>
      <c r="AW177" s="3"/>
      <c r="AX177" s="3"/>
      <c r="AY177" s="3"/>
      <c r="AZ177" s="3"/>
      <c r="BA177" s="3"/>
      <c r="BB177" s="2"/>
      <c r="BC177" s="3"/>
      <c r="BD177" s="3"/>
      <c r="BE177" s="3"/>
      <c r="BF177" s="3"/>
      <c r="BG177" s="3"/>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3"/>
      <c r="CH177" s="3"/>
      <c r="CI177" s="3"/>
      <c r="CJ177" s="3"/>
      <c r="CK177" s="3"/>
      <c r="CL177" s="3"/>
      <c r="CM177" s="3"/>
      <c r="CN177" s="3"/>
      <c r="CO177" s="3"/>
      <c r="CP177" s="3"/>
      <c r="CQ177" s="3"/>
      <c r="CR177" s="3"/>
      <c r="CS177" s="32"/>
      <c r="CT177" s="32"/>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Y177" s="1"/>
      <c r="EZ177" s="1"/>
      <c r="FA177" s="1"/>
    </row>
    <row r="178" spans="9:157" ht="15.75" customHeight="1" x14ac:dyDescent="0.25">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2"/>
      <c r="AW178" s="3"/>
      <c r="AX178" s="3"/>
      <c r="AY178" s="3"/>
      <c r="AZ178" s="3"/>
      <c r="BA178" s="3"/>
      <c r="BB178" s="2"/>
      <c r="BC178" s="3"/>
      <c r="BD178" s="3"/>
      <c r="BE178" s="3"/>
      <c r="BF178" s="3"/>
      <c r="BG178" s="3"/>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3"/>
      <c r="CH178" s="3"/>
      <c r="CI178" s="3"/>
      <c r="CJ178" s="3"/>
      <c r="CK178" s="3"/>
      <c r="CL178" s="3"/>
      <c r="CM178" s="3"/>
      <c r="CN178" s="3"/>
      <c r="CO178" s="3"/>
      <c r="CP178" s="3"/>
      <c r="CQ178" s="3"/>
      <c r="CR178" s="3"/>
      <c r="CS178" s="32"/>
      <c r="CT178" s="32"/>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Y178" s="1"/>
      <c r="EZ178" s="1"/>
      <c r="FA178" s="1"/>
    </row>
    <row r="179" spans="9:157" ht="15.75" customHeight="1" x14ac:dyDescent="0.25">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2"/>
      <c r="AW179" s="3"/>
      <c r="AX179" s="3"/>
      <c r="AY179" s="3"/>
      <c r="AZ179" s="3"/>
      <c r="BA179" s="3"/>
      <c r="BB179" s="2"/>
      <c r="BC179" s="3"/>
      <c r="BD179" s="3"/>
      <c r="BE179" s="3"/>
      <c r="BF179" s="3"/>
      <c r="BG179" s="3"/>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3"/>
      <c r="CH179" s="3"/>
      <c r="CI179" s="3"/>
      <c r="CJ179" s="3"/>
      <c r="CK179" s="3"/>
      <c r="CL179" s="3"/>
      <c r="CM179" s="3"/>
      <c r="CN179" s="3"/>
      <c r="CO179" s="3"/>
      <c r="CP179" s="3"/>
      <c r="CQ179" s="3"/>
      <c r="CR179" s="3"/>
      <c r="CS179" s="32"/>
      <c r="CT179" s="32"/>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Y179" s="1"/>
      <c r="EZ179" s="1"/>
      <c r="FA179" s="1"/>
    </row>
    <row r="180" spans="9:157" ht="15.75" customHeight="1" x14ac:dyDescent="0.25">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2"/>
      <c r="AW180" s="3"/>
      <c r="AX180" s="3"/>
      <c r="AY180" s="3"/>
      <c r="AZ180" s="3"/>
      <c r="BA180" s="3"/>
      <c r="BB180" s="2"/>
      <c r="BC180" s="3"/>
      <c r="BD180" s="3"/>
      <c r="BE180" s="3"/>
      <c r="BF180" s="3"/>
      <c r="BG180" s="3"/>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3"/>
      <c r="CH180" s="3"/>
      <c r="CI180" s="3"/>
      <c r="CJ180" s="3"/>
      <c r="CK180" s="3"/>
      <c r="CL180" s="3"/>
      <c r="CM180" s="3"/>
      <c r="CN180" s="3"/>
      <c r="CO180" s="3"/>
      <c r="CP180" s="3"/>
      <c r="CQ180" s="3"/>
      <c r="CR180" s="3"/>
      <c r="CS180" s="32"/>
      <c r="CT180" s="32"/>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Y180" s="1"/>
      <c r="EZ180" s="1"/>
      <c r="FA180" s="1"/>
    </row>
    <row r="181" spans="9:157" ht="15.75" customHeight="1" x14ac:dyDescent="0.25">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2"/>
      <c r="AW181" s="3"/>
      <c r="AX181" s="3"/>
      <c r="AY181" s="3"/>
      <c r="AZ181" s="3"/>
      <c r="BA181" s="3"/>
      <c r="BB181" s="2"/>
      <c r="BC181" s="3"/>
      <c r="BD181" s="3"/>
      <c r="BE181" s="3"/>
      <c r="BF181" s="3"/>
      <c r="BG181" s="3"/>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3"/>
      <c r="CH181" s="3"/>
      <c r="CI181" s="3"/>
      <c r="CJ181" s="3"/>
      <c r="CK181" s="3"/>
      <c r="CL181" s="3"/>
      <c r="CM181" s="3"/>
      <c r="CN181" s="3"/>
      <c r="CO181" s="3"/>
      <c r="CP181" s="3"/>
      <c r="CQ181" s="3"/>
      <c r="CR181" s="3"/>
      <c r="CS181" s="32"/>
      <c r="CT181" s="32"/>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Y181" s="1"/>
      <c r="EZ181" s="1"/>
      <c r="FA181" s="1"/>
    </row>
    <row r="182" spans="9:157" ht="15.75" customHeight="1" x14ac:dyDescent="0.25">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2"/>
      <c r="AW182" s="3"/>
      <c r="AX182" s="3"/>
      <c r="AY182" s="3"/>
      <c r="AZ182" s="3"/>
      <c r="BA182" s="3"/>
      <c r="BB182" s="2"/>
      <c r="BC182" s="3"/>
      <c r="BD182" s="3"/>
      <c r="BE182" s="3"/>
      <c r="BF182" s="3"/>
      <c r="BG182" s="3"/>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3"/>
      <c r="CH182" s="3"/>
      <c r="CI182" s="3"/>
      <c r="CJ182" s="3"/>
      <c r="CK182" s="3"/>
      <c r="CL182" s="3"/>
      <c r="CM182" s="3"/>
      <c r="CN182" s="3"/>
      <c r="CO182" s="3"/>
      <c r="CP182" s="3"/>
      <c r="CQ182" s="3"/>
      <c r="CR182" s="3"/>
      <c r="CS182" s="32"/>
      <c r="CT182" s="32"/>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Y182" s="1"/>
      <c r="EZ182" s="1"/>
      <c r="FA182" s="1"/>
    </row>
    <row r="183" spans="9:157" ht="15.75" customHeight="1" x14ac:dyDescent="0.25">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2"/>
      <c r="AW183" s="3"/>
      <c r="AX183" s="3"/>
      <c r="AY183" s="3"/>
      <c r="AZ183" s="3"/>
      <c r="BA183" s="3"/>
      <c r="BB183" s="2"/>
      <c r="BC183" s="3"/>
      <c r="BD183" s="3"/>
      <c r="BE183" s="3"/>
      <c r="BF183" s="3"/>
      <c r="BG183" s="3"/>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3"/>
      <c r="CH183" s="3"/>
      <c r="CI183" s="3"/>
      <c r="CJ183" s="3"/>
      <c r="CK183" s="3"/>
      <c r="CL183" s="3"/>
      <c r="CM183" s="3"/>
      <c r="CN183" s="3"/>
      <c r="CO183" s="3"/>
      <c r="CP183" s="3"/>
      <c r="CQ183" s="3"/>
      <c r="CR183" s="3"/>
      <c r="CS183" s="32"/>
      <c r="CT183" s="32"/>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Y183" s="1"/>
      <c r="EZ183" s="1"/>
      <c r="FA183" s="1"/>
    </row>
    <row r="184" spans="9:157" ht="15.75" customHeight="1" x14ac:dyDescent="0.25">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2"/>
      <c r="AW184" s="3"/>
      <c r="AX184" s="3"/>
      <c r="AY184" s="3"/>
      <c r="AZ184" s="3"/>
      <c r="BA184" s="3"/>
      <c r="BB184" s="2"/>
      <c r="BC184" s="3"/>
      <c r="BD184" s="3"/>
      <c r="BE184" s="3"/>
      <c r="BF184" s="3"/>
      <c r="BG184" s="3"/>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3"/>
      <c r="CH184" s="3"/>
      <c r="CI184" s="3"/>
      <c r="CJ184" s="3"/>
      <c r="CK184" s="3"/>
      <c r="CL184" s="3"/>
      <c r="CM184" s="3"/>
      <c r="CN184" s="3"/>
      <c r="CO184" s="3"/>
      <c r="CP184" s="3"/>
      <c r="CQ184" s="3"/>
      <c r="CR184" s="3"/>
      <c r="CS184" s="32"/>
      <c r="CT184" s="32"/>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Y184" s="1"/>
      <c r="EZ184" s="1"/>
      <c r="FA184" s="1"/>
    </row>
    <row r="185" spans="9:157" ht="15.75" customHeight="1" x14ac:dyDescent="0.25">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2"/>
      <c r="AW185" s="3"/>
      <c r="AX185" s="3"/>
      <c r="AY185" s="3"/>
      <c r="AZ185" s="3"/>
      <c r="BA185" s="3"/>
      <c r="BB185" s="2"/>
      <c r="BC185" s="3"/>
      <c r="BD185" s="3"/>
      <c r="BE185" s="3"/>
      <c r="BF185" s="3"/>
      <c r="BG185" s="3"/>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3"/>
      <c r="CH185" s="3"/>
      <c r="CI185" s="3"/>
      <c r="CJ185" s="3"/>
      <c r="CK185" s="3"/>
      <c r="CL185" s="3"/>
      <c r="CM185" s="3"/>
      <c r="CN185" s="3"/>
      <c r="CO185" s="3"/>
      <c r="CP185" s="3"/>
      <c r="CQ185" s="3"/>
      <c r="CR185" s="3"/>
      <c r="CS185" s="32"/>
      <c r="CT185" s="32"/>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Y185" s="1"/>
      <c r="EZ185" s="1"/>
      <c r="FA185" s="1"/>
    </row>
    <row r="186" spans="9:157" ht="15.75" customHeight="1" x14ac:dyDescent="0.25">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2"/>
      <c r="AW186" s="3"/>
      <c r="AX186" s="3"/>
      <c r="AY186" s="3"/>
      <c r="AZ186" s="3"/>
      <c r="BA186" s="3"/>
      <c r="BB186" s="2"/>
      <c r="BC186" s="3"/>
      <c r="BD186" s="3"/>
      <c r="BE186" s="3"/>
      <c r="BF186" s="3"/>
      <c r="BG186" s="3"/>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3"/>
      <c r="CH186" s="3"/>
      <c r="CI186" s="3"/>
      <c r="CJ186" s="3"/>
      <c r="CK186" s="3"/>
      <c r="CL186" s="3"/>
      <c r="CM186" s="3"/>
      <c r="CN186" s="3"/>
      <c r="CO186" s="3"/>
      <c r="CP186" s="3"/>
      <c r="CQ186" s="3"/>
      <c r="CR186" s="3"/>
      <c r="CS186" s="32"/>
      <c r="CT186" s="32"/>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Y186" s="1"/>
      <c r="EZ186" s="1"/>
      <c r="FA186" s="1"/>
    </row>
    <row r="187" spans="9:157" ht="15.75" customHeight="1" x14ac:dyDescent="0.25">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2"/>
      <c r="AW187" s="3"/>
      <c r="AX187" s="3"/>
      <c r="AY187" s="3"/>
      <c r="AZ187" s="3"/>
      <c r="BA187" s="3"/>
      <c r="BB187" s="2"/>
      <c r="BC187" s="3"/>
      <c r="BD187" s="3"/>
      <c r="BE187" s="3"/>
      <c r="BF187" s="3"/>
      <c r="BG187" s="3"/>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3"/>
      <c r="CH187" s="3"/>
      <c r="CI187" s="3"/>
      <c r="CJ187" s="3"/>
      <c r="CK187" s="3"/>
      <c r="CL187" s="3"/>
      <c r="CM187" s="3"/>
      <c r="CN187" s="3"/>
      <c r="CO187" s="3"/>
      <c r="CP187" s="3"/>
      <c r="CQ187" s="3"/>
      <c r="CR187" s="3"/>
      <c r="CS187" s="32"/>
      <c r="CT187" s="32"/>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Y187" s="1"/>
      <c r="EZ187" s="1"/>
      <c r="FA187" s="1"/>
    </row>
    <row r="188" spans="9:157" ht="15.75" customHeight="1" x14ac:dyDescent="0.25">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2"/>
      <c r="AW188" s="3"/>
      <c r="AX188" s="3"/>
      <c r="AY188" s="3"/>
      <c r="AZ188" s="3"/>
      <c r="BA188" s="3"/>
      <c r="BB188" s="2"/>
      <c r="BC188" s="3"/>
      <c r="BD188" s="3"/>
      <c r="BE188" s="3"/>
      <c r="BF188" s="3"/>
      <c r="BG188" s="3"/>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3"/>
      <c r="CH188" s="3"/>
      <c r="CI188" s="3"/>
      <c r="CJ188" s="3"/>
      <c r="CK188" s="3"/>
      <c r="CL188" s="3"/>
      <c r="CM188" s="3"/>
      <c r="CN188" s="3"/>
      <c r="CO188" s="3"/>
      <c r="CP188" s="3"/>
      <c r="CQ188" s="3"/>
      <c r="CR188" s="3"/>
      <c r="CS188" s="32"/>
      <c r="CT188" s="32"/>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Y188" s="1"/>
      <c r="EZ188" s="1"/>
      <c r="FA188" s="1"/>
    </row>
    <row r="189" spans="9:157" ht="15.75" customHeight="1" x14ac:dyDescent="0.25">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2"/>
      <c r="AW189" s="3"/>
      <c r="AX189" s="3"/>
      <c r="AY189" s="3"/>
      <c r="AZ189" s="3"/>
      <c r="BA189" s="3"/>
      <c r="BB189" s="2"/>
      <c r="BC189" s="3"/>
      <c r="BD189" s="3"/>
      <c r="BE189" s="3"/>
      <c r="BF189" s="3"/>
      <c r="BG189" s="3"/>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3"/>
      <c r="CH189" s="3"/>
      <c r="CI189" s="3"/>
      <c r="CJ189" s="3"/>
      <c r="CK189" s="3"/>
      <c r="CL189" s="3"/>
      <c r="CM189" s="3"/>
      <c r="CN189" s="3"/>
      <c r="CO189" s="3"/>
      <c r="CP189" s="3"/>
      <c r="CQ189" s="3"/>
      <c r="CR189" s="3"/>
      <c r="CS189" s="32"/>
      <c r="CT189" s="32"/>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Y189" s="1"/>
      <c r="EZ189" s="1"/>
      <c r="FA189" s="1"/>
    </row>
    <row r="190" spans="9:157" ht="15.75" customHeight="1" x14ac:dyDescent="0.25">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2"/>
      <c r="AW190" s="3"/>
      <c r="AX190" s="3"/>
      <c r="AY190" s="3"/>
      <c r="AZ190" s="3"/>
      <c r="BA190" s="3"/>
      <c r="BB190" s="2"/>
      <c r="BC190" s="3"/>
      <c r="BD190" s="3"/>
      <c r="BE190" s="3"/>
      <c r="BF190" s="3"/>
      <c r="BG190" s="3"/>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3"/>
      <c r="CH190" s="3"/>
      <c r="CI190" s="3"/>
      <c r="CJ190" s="3"/>
      <c r="CK190" s="3"/>
      <c r="CL190" s="3"/>
      <c r="CM190" s="3"/>
      <c r="CN190" s="3"/>
      <c r="CO190" s="3"/>
      <c r="CP190" s="3"/>
      <c r="CQ190" s="3"/>
      <c r="CR190" s="3"/>
      <c r="CS190" s="32"/>
      <c r="CT190" s="32"/>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Y190" s="1"/>
      <c r="EZ190" s="1"/>
      <c r="FA190" s="1"/>
    </row>
    <row r="191" spans="9:157" ht="15.75" customHeight="1" x14ac:dyDescent="0.25">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2"/>
      <c r="AW191" s="3"/>
      <c r="AX191" s="3"/>
      <c r="AY191" s="3"/>
      <c r="AZ191" s="3"/>
      <c r="BA191" s="3"/>
      <c r="BB191" s="2"/>
      <c r="BC191" s="3"/>
      <c r="BD191" s="3"/>
      <c r="BE191" s="3"/>
      <c r="BF191" s="3"/>
      <c r="BG191" s="3"/>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3"/>
      <c r="CH191" s="3"/>
      <c r="CI191" s="3"/>
      <c r="CJ191" s="3"/>
      <c r="CK191" s="3"/>
      <c r="CL191" s="3"/>
      <c r="CM191" s="3"/>
      <c r="CN191" s="3"/>
      <c r="CO191" s="3"/>
      <c r="CP191" s="3"/>
      <c r="CQ191" s="3"/>
      <c r="CR191" s="3"/>
      <c r="CS191" s="32"/>
      <c r="CT191" s="32"/>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Y191" s="1"/>
      <c r="EZ191" s="1"/>
      <c r="FA191" s="1"/>
    </row>
    <row r="192" spans="9:157" ht="15.75" customHeight="1" x14ac:dyDescent="0.25">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2"/>
      <c r="AW192" s="3"/>
      <c r="AX192" s="3"/>
      <c r="AY192" s="3"/>
      <c r="AZ192" s="3"/>
      <c r="BA192" s="3"/>
      <c r="BB192" s="2"/>
      <c r="BC192" s="3"/>
      <c r="BD192" s="3"/>
      <c r="BE192" s="3"/>
      <c r="BF192" s="3"/>
      <c r="BG192" s="3"/>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3"/>
      <c r="CH192" s="3"/>
      <c r="CI192" s="3"/>
      <c r="CJ192" s="3"/>
      <c r="CK192" s="3"/>
      <c r="CL192" s="3"/>
      <c r="CM192" s="3"/>
      <c r="CN192" s="3"/>
      <c r="CO192" s="3"/>
      <c r="CP192" s="3"/>
      <c r="CQ192" s="3"/>
      <c r="CR192" s="3"/>
      <c r="CS192" s="32"/>
      <c r="CT192" s="32"/>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Y192" s="1"/>
      <c r="EZ192" s="1"/>
      <c r="FA192" s="1"/>
    </row>
    <row r="193" spans="9:157" ht="15.75" customHeight="1" x14ac:dyDescent="0.25">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2"/>
      <c r="AW193" s="3"/>
      <c r="AX193" s="3"/>
      <c r="AY193" s="3"/>
      <c r="AZ193" s="3"/>
      <c r="BA193" s="3"/>
      <c r="BB193" s="2"/>
      <c r="BC193" s="3"/>
      <c r="BD193" s="3"/>
      <c r="BE193" s="3"/>
      <c r="BF193" s="3"/>
      <c r="BG193" s="3"/>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3"/>
      <c r="CH193" s="3"/>
      <c r="CI193" s="3"/>
      <c r="CJ193" s="3"/>
      <c r="CK193" s="3"/>
      <c r="CL193" s="3"/>
      <c r="CM193" s="3"/>
      <c r="CN193" s="3"/>
      <c r="CO193" s="3"/>
      <c r="CP193" s="3"/>
      <c r="CQ193" s="3"/>
      <c r="CR193" s="3"/>
      <c r="CS193" s="32"/>
      <c r="CT193" s="32"/>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Y193" s="1"/>
      <c r="EZ193" s="1"/>
      <c r="FA193" s="1"/>
    </row>
    <row r="194" spans="9:157" ht="15.75" customHeight="1" x14ac:dyDescent="0.25">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2"/>
      <c r="AW194" s="3"/>
      <c r="AX194" s="3"/>
      <c r="AY194" s="3"/>
      <c r="AZ194" s="3"/>
      <c r="BA194" s="3"/>
      <c r="BB194" s="2"/>
      <c r="BC194" s="3"/>
      <c r="BD194" s="3"/>
      <c r="BE194" s="3"/>
      <c r="BF194" s="3"/>
      <c r="BG194" s="3"/>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3"/>
      <c r="CH194" s="3"/>
      <c r="CI194" s="3"/>
      <c r="CJ194" s="3"/>
      <c r="CK194" s="3"/>
      <c r="CL194" s="3"/>
      <c r="CM194" s="3"/>
      <c r="CN194" s="3"/>
      <c r="CO194" s="3"/>
      <c r="CP194" s="3"/>
      <c r="CQ194" s="3"/>
      <c r="CR194" s="3"/>
      <c r="CS194" s="32"/>
      <c r="CT194" s="32"/>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Y194" s="1"/>
      <c r="EZ194" s="1"/>
      <c r="FA194" s="1"/>
    </row>
    <row r="195" spans="9:157" ht="15.75" customHeight="1" x14ac:dyDescent="0.25">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2"/>
      <c r="AW195" s="3"/>
      <c r="AX195" s="3"/>
      <c r="AY195" s="3"/>
      <c r="AZ195" s="3"/>
      <c r="BA195" s="3"/>
      <c r="BB195" s="2"/>
      <c r="BC195" s="3"/>
      <c r="BD195" s="3"/>
      <c r="BE195" s="3"/>
      <c r="BF195" s="3"/>
      <c r="BG195" s="3"/>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3"/>
      <c r="CH195" s="3"/>
      <c r="CI195" s="3"/>
      <c r="CJ195" s="3"/>
      <c r="CK195" s="3"/>
      <c r="CL195" s="3"/>
      <c r="CM195" s="3"/>
      <c r="CN195" s="3"/>
      <c r="CO195" s="3"/>
      <c r="CP195" s="3"/>
      <c r="CQ195" s="3"/>
      <c r="CR195" s="3"/>
      <c r="CS195" s="32"/>
      <c r="CT195" s="32"/>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Y195" s="1"/>
      <c r="EZ195" s="1"/>
      <c r="FA195" s="1"/>
    </row>
    <row r="196" spans="9:157" ht="15.75" customHeight="1" x14ac:dyDescent="0.25">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2"/>
      <c r="AW196" s="3"/>
      <c r="AX196" s="3"/>
      <c r="AY196" s="3"/>
      <c r="AZ196" s="3"/>
      <c r="BA196" s="3"/>
      <c r="BB196" s="2"/>
      <c r="BC196" s="3"/>
      <c r="BD196" s="3"/>
      <c r="BE196" s="3"/>
      <c r="BF196" s="3"/>
      <c r="BG196" s="3"/>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3"/>
      <c r="CH196" s="3"/>
      <c r="CI196" s="3"/>
      <c r="CJ196" s="3"/>
      <c r="CK196" s="3"/>
      <c r="CL196" s="3"/>
      <c r="CM196" s="3"/>
      <c r="CN196" s="3"/>
      <c r="CO196" s="3"/>
      <c r="CP196" s="3"/>
      <c r="CQ196" s="3"/>
      <c r="CR196" s="3"/>
      <c r="CS196" s="32"/>
      <c r="CT196" s="32"/>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Y196" s="1"/>
      <c r="EZ196" s="1"/>
      <c r="FA196" s="1"/>
    </row>
    <row r="197" spans="9:157" ht="15.75" customHeight="1" x14ac:dyDescent="0.25">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2"/>
      <c r="AW197" s="3"/>
      <c r="AX197" s="3"/>
      <c r="AY197" s="3"/>
      <c r="AZ197" s="3"/>
      <c r="BA197" s="3"/>
      <c r="BB197" s="2"/>
      <c r="BC197" s="3"/>
      <c r="BD197" s="3"/>
      <c r="BE197" s="3"/>
      <c r="BF197" s="3"/>
      <c r="BG197" s="3"/>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3"/>
      <c r="CH197" s="3"/>
      <c r="CI197" s="3"/>
      <c r="CJ197" s="3"/>
      <c r="CK197" s="3"/>
      <c r="CL197" s="3"/>
      <c r="CM197" s="3"/>
      <c r="CN197" s="3"/>
      <c r="CO197" s="3"/>
      <c r="CP197" s="3"/>
      <c r="CQ197" s="3"/>
      <c r="CR197" s="3"/>
      <c r="CS197" s="32"/>
      <c r="CT197" s="32"/>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Y197" s="1"/>
      <c r="EZ197" s="1"/>
      <c r="FA197" s="1"/>
    </row>
    <row r="198" spans="9:157" ht="15.75" customHeight="1" x14ac:dyDescent="0.25">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2"/>
      <c r="AW198" s="3"/>
      <c r="AX198" s="3"/>
      <c r="AY198" s="3"/>
      <c r="AZ198" s="3"/>
      <c r="BA198" s="3"/>
      <c r="BB198" s="2"/>
      <c r="BC198" s="3"/>
      <c r="BD198" s="3"/>
      <c r="BE198" s="3"/>
      <c r="BF198" s="3"/>
      <c r="BG198" s="3"/>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3"/>
      <c r="CH198" s="3"/>
      <c r="CI198" s="3"/>
      <c r="CJ198" s="3"/>
      <c r="CK198" s="3"/>
      <c r="CL198" s="3"/>
      <c r="CM198" s="3"/>
      <c r="CN198" s="3"/>
      <c r="CO198" s="3"/>
      <c r="CP198" s="3"/>
      <c r="CQ198" s="3"/>
      <c r="CR198" s="3"/>
      <c r="CS198" s="32"/>
      <c r="CT198" s="32"/>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Y198" s="1"/>
      <c r="EZ198" s="1"/>
      <c r="FA198" s="1"/>
    </row>
    <row r="199" spans="9:157" ht="15.75" customHeight="1" x14ac:dyDescent="0.25">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2"/>
      <c r="AW199" s="3"/>
      <c r="AX199" s="3"/>
      <c r="AY199" s="3"/>
      <c r="AZ199" s="3"/>
      <c r="BA199" s="3"/>
      <c r="BB199" s="2"/>
      <c r="BC199" s="3"/>
      <c r="BD199" s="3"/>
      <c r="BE199" s="3"/>
      <c r="BF199" s="3"/>
      <c r="BG199" s="3"/>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3"/>
      <c r="CH199" s="3"/>
      <c r="CI199" s="3"/>
      <c r="CJ199" s="3"/>
      <c r="CK199" s="3"/>
      <c r="CL199" s="3"/>
      <c r="CM199" s="3"/>
      <c r="CN199" s="3"/>
      <c r="CO199" s="3"/>
      <c r="CP199" s="3"/>
      <c r="CQ199" s="3"/>
      <c r="CR199" s="3"/>
      <c r="CS199" s="32"/>
      <c r="CT199" s="32"/>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Y199" s="1"/>
      <c r="EZ199" s="1"/>
      <c r="FA199" s="1"/>
    </row>
    <row r="200" spans="9:157" ht="15.75" customHeight="1" x14ac:dyDescent="0.25">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2"/>
      <c r="AW200" s="3"/>
      <c r="AX200" s="3"/>
      <c r="AY200" s="3"/>
      <c r="AZ200" s="3"/>
      <c r="BA200" s="3"/>
      <c r="BB200" s="2"/>
      <c r="BC200" s="3"/>
      <c r="BD200" s="3"/>
      <c r="BE200" s="3"/>
      <c r="BF200" s="3"/>
      <c r="BG200" s="3"/>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3"/>
      <c r="CH200" s="3"/>
      <c r="CI200" s="3"/>
      <c r="CJ200" s="3"/>
      <c r="CK200" s="3"/>
      <c r="CL200" s="3"/>
      <c r="CM200" s="3"/>
      <c r="CN200" s="3"/>
      <c r="CO200" s="3"/>
      <c r="CP200" s="3"/>
      <c r="CQ200" s="3"/>
      <c r="CR200" s="3"/>
      <c r="CS200" s="32"/>
      <c r="CT200" s="32"/>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Y200" s="1"/>
      <c r="EZ200" s="1"/>
      <c r="FA200" s="1"/>
    </row>
    <row r="201" spans="9:157" ht="15.75" customHeight="1" x14ac:dyDescent="0.25">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2"/>
      <c r="AW201" s="3"/>
      <c r="AX201" s="3"/>
      <c r="AY201" s="3"/>
      <c r="AZ201" s="3"/>
      <c r="BA201" s="3"/>
      <c r="BB201" s="2"/>
      <c r="BC201" s="3"/>
      <c r="BD201" s="3"/>
      <c r="BE201" s="3"/>
      <c r="BF201" s="3"/>
      <c r="BG201" s="3"/>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3"/>
      <c r="CH201" s="3"/>
      <c r="CI201" s="3"/>
      <c r="CJ201" s="3"/>
      <c r="CK201" s="3"/>
      <c r="CL201" s="3"/>
      <c r="CM201" s="3"/>
      <c r="CN201" s="3"/>
      <c r="CO201" s="3"/>
      <c r="CP201" s="3"/>
      <c r="CQ201" s="3"/>
      <c r="CR201" s="3"/>
      <c r="CS201" s="32"/>
      <c r="CT201" s="32"/>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Y201" s="1"/>
      <c r="EZ201" s="1"/>
      <c r="FA201" s="1"/>
    </row>
    <row r="202" spans="9:157" ht="15.75" customHeight="1" x14ac:dyDescent="0.25">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2"/>
      <c r="AW202" s="3"/>
      <c r="AX202" s="3"/>
      <c r="AY202" s="3"/>
      <c r="AZ202" s="3"/>
      <c r="BA202" s="3"/>
      <c r="BB202" s="2"/>
      <c r="BC202" s="3"/>
      <c r="BD202" s="3"/>
      <c r="BE202" s="3"/>
      <c r="BF202" s="3"/>
      <c r="BG202" s="3"/>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3"/>
      <c r="CH202" s="3"/>
      <c r="CI202" s="3"/>
      <c r="CJ202" s="3"/>
      <c r="CK202" s="3"/>
      <c r="CL202" s="3"/>
      <c r="CM202" s="3"/>
      <c r="CN202" s="3"/>
      <c r="CO202" s="3"/>
      <c r="CP202" s="3"/>
      <c r="CQ202" s="3"/>
      <c r="CR202" s="3"/>
      <c r="CS202" s="32"/>
      <c r="CT202" s="32"/>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Y202" s="1"/>
      <c r="EZ202" s="1"/>
      <c r="FA202" s="1"/>
    </row>
    <row r="203" spans="9:157" ht="15.75" customHeight="1" x14ac:dyDescent="0.25">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2"/>
      <c r="AW203" s="3"/>
      <c r="AX203" s="3"/>
      <c r="AY203" s="3"/>
      <c r="AZ203" s="3"/>
      <c r="BA203" s="3"/>
      <c r="BB203" s="2"/>
      <c r="BC203" s="3"/>
      <c r="BD203" s="3"/>
      <c r="BE203" s="3"/>
      <c r="BF203" s="3"/>
      <c r="BG203" s="3"/>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3"/>
      <c r="CH203" s="3"/>
      <c r="CI203" s="3"/>
      <c r="CJ203" s="3"/>
      <c r="CK203" s="3"/>
      <c r="CL203" s="3"/>
      <c r="CM203" s="3"/>
      <c r="CN203" s="3"/>
      <c r="CO203" s="3"/>
      <c r="CP203" s="3"/>
      <c r="CQ203" s="3"/>
      <c r="CR203" s="3"/>
      <c r="CS203" s="32"/>
      <c r="CT203" s="32"/>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Y203" s="1"/>
      <c r="EZ203" s="1"/>
      <c r="FA203" s="1"/>
    </row>
    <row r="204" spans="9:157" ht="15.75" customHeight="1" x14ac:dyDescent="0.25">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2"/>
      <c r="AW204" s="3"/>
      <c r="AX204" s="3"/>
      <c r="AY204" s="3"/>
      <c r="AZ204" s="3"/>
      <c r="BA204" s="3"/>
      <c r="BB204" s="2"/>
      <c r="BC204" s="3"/>
      <c r="BD204" s="3"/>
      <c r="BE204" s="3"/>
      <c r="BF204" s="3"/>
      <c r="BG204" s="3"/>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3"/>
      <c r="CH204" s="3"/>
      <c r="CI204" s="3"/>
      <c r="CJ204" s="3"/>
      <c r="CK204" s="3"/>
      <c r="CL204" s="3"/>
      <c r="CM204" s="3"/>
      <c r="CN204" s="3"/>
      <c r="CO204" s="3"/>
      <c r="CP204" s="3"/>
      <c r="CQ204" s="3"/>
      <c r="CR204" s="3"/>
      <c r="CS204" s="32"/>
      <c r="CT204" s="32"/>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Y204" s="1"/>
      <c r="EZ204" s="1"/>
      <c r="FA204" s="1"/>
    </row>
    <row r="205" spans="9:157" ht="15.75" customHeight="1" x14ac:dyDescent="0.25">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2"/>
      <c r="AW205" s="3"/>
      <c r="AX205" s="3"/>
      <c r="AY205" s="3"/>
      <c r="AZ205" s="3"/>
      <c r="BA205" s="3"/>
      <c r="BB205" s="2"/>
      <c r="BC205" s="3"/>
      <c r="BD205" s="3"/>
      <c r="BE205" s="3"/>
      <c r="BF205" s="3"/>
      <c r="BG205" s="3"/>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3"/>
      <c r="CH205" s="3"/>
      <c r="CI205" s="3"/>
      <c r="CJ205" s="3"/>
      <c r="CK205" s="3"/>
      <c r="CL205" s="3"/>
      <c r="CM205" s="3"/>
      <c r="CN205" s="3"/>
      <c r="CO205" s="3"/>
      <c r="CP205" s="3"/>
      <c r="CQ205" s="3"/>
      <c r="CR205" s="3"/>
      <c r="CS205" s="32"/>
      <c r="CT205" s="32"/>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Y205" s="1"/>
      <c r="EZ205" s="1"/>
      <c r="FA205" s="1"/>
    </row>
    <row r="206" spans="9:157" ht="15.75" customHeight="1" x14ac:dyDescent="0.25">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2"/>
      <c r="AW206" s="3"/>
      <c r="AX206" s="3"/>
      <c r="AY206" s="3"/>
      <c r="AZ206" s="3"/>
      <c r="BA206" s="3"/>
      <c r="BB206" s="2"/>
      <c r="BC206" s="3"/>
      <c r="BD206" s="3"/>
      <c r="BE206" s="3"/>
      <c r="BF206" s="3"/>
      <c r="BG206" s="3"/>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3"/>
      <c r="CH206" s="3"/>
      <c r="CI206" s="3"/>
      <c r="CJ206" s="3"/>
      <c r="CK206" s="3"/>
      <c r="CL206" s="3"/>
      <c r="CM206" s="3"/>
      <c r="CN206" s="3"/>
      <c r="CO206" s="3"/>
      <c r="CP206" s="3"/>
      <c r="CQ206" s="3"/>
      <c r="CR206" s="3"/>
      <c r="CS206" s="32"/>
      <c r="CT206" s="32"/>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Y206" s="1"/>
      <c r="EZ206" s="1"/>
      <c r="FA206" s="1"/>
    </row>
    <row r="207" spans="9:157" ht="15.75" customHeight="1" x14ac:dyDescent="0.25">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2"/>
      <c r="AW207" s="3"/>
      <c r="AX207" s="3"/>
      <c r="AY207" s="3"/>
      <c r="AZ207" s="3"/>
      <c r="BA207" s="3"/>
      <c r="BB207" s="2"/>
      <c r="BC207" s="3"/>
      <c r="BD207" s="3"/>
      <c r="BE207" s="3"/>
      <c r="BF207" s="3"/>
      <c r="BG207" s="3"/>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3"/>
      <c r="CH207" s="3"/>
      <c r="CI207" s="3"/>
      <c r="CJ207" s="3"/>
      <c r="CK207" s="3"/>
      <c r="CL207" s="3"/>
      <c r="CM207" s="3"/>
      <c r="CN207" s="3"/>
      <c r="CO207" s="3"/>
      <c r="CP207" s="3"/>
      <c r="CQ207" s="3"/>
      <c r="CR207" s="3"/>
      <c r="CS207" s="32"/>
      <c r="CT207" s="32"/>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Y207" s="1"/>
      <c r="EZ207" s="1"/>
      <c r="FA207" s="1"/>
    </row>
    <row r="208" spans="9:157" ht="15.75" customHeight="1" x14ac:dyDescent="0.25">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2"/>
      <c r="AW208" s="3"/>
      <c r="AX208" s="3"/>
      <c r="AY208" s="3"/>
      <c r="AZ208" s="3"/>
      <c r="BA208" s="3"/>
      <c r="BB208" s="2"/>
      <c r="BC208" s="3"/>
      <c r="BD208" s="3"/>
      <c r="BE208" s="3"/>
      <c r="BF208" s="3"/>
      <c r="BG208" s="3"/>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3"/>
      <c r="CH208" s="3"/>
      <c r="CI208" s="3"/>
      <c r="CJ208" s="3"/>
      <c r="CK208" s="3"/>
      <c r="CL208" s="3"/>
      <c r="CM208" s="3"/>
      <c r="CN208" s="3"/>
      <c r="CO208" s="3"/>
      <c r="CP208" s="3"/>
      <c r="CQ208" s="3"/>
      <c r="CR208" s="3"/>
      <c r="CS208" s="32"/>
      <c r="CT208" s="32"/>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Y208" s="1"/>
      <c r="EZ208" s="1"/>
      <c r="FA208" s="1"/>
    </row>
    <row r="209" spans="9:157" ht="15.75" customHeight="1" x14ac:dyDescent="0.25">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2"/>
      <c r="AW209" s="3"/>
      <c r="AX209" s="3"/>
      <c r="AY209" s="3"/>
      <c r="AZ209" s="3"/>
      <c r="BA209" s="3"/>
      <c r="BB209" s="2"/>
      <c r="BC209" s="3"/>
      <c r="BD209" s="3"/>
      <c r="BE209" s="3"/>
      <c r="BF209" s="3"/>
      <c r="BG209" s="3"/>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3"/>
      <c r="CH209" s="3"/>
      <c r="CI209" s="3"/>
      <c r="CJ209" s="3"/>
      <c r="CK209" s="3"/>
      <c r="CL209" s="3"/>
      <c r="CM209" s="3"/>
      <c r="CN209" s="3"/>
      <c r="CO209" s="3"/>
      <c r="CP209" s="3"/>
      <c r="CQ209" s="3"/>
      <c r="CR209" s="3"/>
      <c r="CS209" s="32"/>
      <c r="CT209" s="32"/>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Y209" s="1"/>
      <c r="EZ209" s="1"/>
      <c r="FA209" s="1"/>
    </row>
    <row r="210" spans="9:157" ht="15.75" customHeight="1" x14ac:dyDescent="0.25">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2"/>
      <c r="AW210" s="3"/>
      <c r="AX210" s="3"/>
      <c r="AY210" s="3"/>
      <c r="AZ210" s="3"/>
      <c r="BA210" s="3"/>
      <c r="BB210" s="2"/>
      <c r="BC210" s="3"/>
      <c r="BD210" s="3"/>
      <c r="BE210" s="3"/>
      <c r="BF210" s="3"/>
      <c r="BG210" s="3"/>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3"/>
      <c r="CH210" s="3"/>
      <c r="CI210" s="3"/>
      <c r="CJ210" s="3"/>
      <c r="CK210" s="3"/>
      <c r="CL210" s="3"/>
      <c r="CM210" s="3"/>
      <c r="CN210" s="3"/>
      <c r="CO210" s="3"/>
      <c r="CP210" s="3"/>
      <c r="CQ210" s="3"/>
      <c r="CR210" s="3"/>
      <c r="CS210" s="32"/>
      <c r="CT210" s="32"/>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Y210" s="1"/>
      <c r="EZ210" s="1"/>
      <c r="FA210" s="1"/>
    </row>
    <row r="211" spans="9:157" ht="15.75" customHeight="1" x14ac:dyDescent="0.25">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2"/>
      <c r="AW211" s="3"/>
      <c r="AX211" s="3"/>
      <c r="AY211" s="3"/>
      <c r="AZ211" s="3"/>
      <c r="BA211" s="3"/>
      <c r="BB211" s="2"/>
      <c r="BC211" s="3"/>
      <c r="BD211" s="3"/>
      <c r="BE211" s="3"/>
      <c r="BF211" s="3"/>
      <c r="BG211" s="3"/>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3"/>
      <c r="CH211" s="3"/>
      <c r="CI211" s="3"/>
      <c r="CJ211" s="3"/>
      <c r="CK211" s="3"/>
      <c r="CL211" s="3"/>
      <c r="CM211" s="3"/>
      <c r="CN211" s="3"/>
      <c r="CO211" s="3"/>
      <c r="CP211" s="3"/>
      <c r="CQ211" s="3"/>
      <c r="CR211" s="3"/>
      <c r="CS211" s="32"/>
      <c r="CT211" s="32"/>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Y211" s="1"/>
      <c r="EZ211" s="1"/>
      <c r="FA211" s="1"/>
    </row>
    <row r="212" spans="9:157" ht="15.75" customHeight="1" x14ac:dyDescent="0.25">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2"/>
      <c r="AW212" s="3"/>
      <c r="AX212" s="3"/>
      <c r="AY212" s="3"/>
      <c r="AZ212" s="3"/>
      <c r="BA212" s="3"/>
      <c r="BB212" s="2"/>
      <c r="BC212" s="3"/>
      <c r="BD212" s="3"/>
      <c r="BE212" s="3"/>
      <c r="BF212" s="3"/>
      <c r="BG212" s="3"/>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3"/>
      <c r="CH212" s="3"/>
      <c r="CI212" s="3"/>
      <c r="CJ212" s="3"/>
      <c r="CK212" s="3"/>
      <c r="CL212" s="3"/>
      <c r="CM212" s="3"/>
      <c r="CN212" s="3"/>
      <c r="CO212" s="3"/>
      <c r="CP212" s="3"/>
      <c r="CQ212" s="3"/>
      <c r="CR212" s="3"/>
      <c r="CS212" s="32"/>
      <c r="CT212" s="32"/>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Y212" s="1"/>
      <c r="EZ212" s="1"/>
      <c r="FA212" s="1"/>
    </row>
    <row r="213" spans="9:157" ht="15.75" customHeight="1" x14ac:dyDescent="0.25">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2"/>
      <c r="AW213" s="3"/>
      <c r="AX213" s="3"/>
      <c r="AY213" s="3"/>
      <c r="AZ213" s="3"/>
      <c r="BA213" s="3"/>
      <c r="BB213" s="2"/>
      <c r="BC213" s="3"/>
      <c r="BD213" s="3"/>
      <c r="BE213" s="3"/>
      <c r="BF213" s="3"/>
      <c r="BG213" s="3"/>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3"/>
      <c r="CH213" s="3"/>
      <c r="CI213" s="3"/>
      <c r="CJ213" s="3"/>
      <c r="CK213" s="3"/>
      <c r="CL213" s="3"/>
      <c r="CM213" s="3"/>
      <c r="CN213" s="3"/>
      <c r="CO213" s="3"/>
      <c r="CP213" s="3"/>
      <c r="CQ213" s="3"/>
      <c r="CR213" s="3"/>
      <c r="CS213" s="32"/>
      <c r="CT213" s="32"/>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Y213" s="1"/>
      <c r="EZ213" s="1"/>
      <c r="FA213" s="1"/>
    </row>
    <row r="214" spans="9:157" ht="15.75" customHeight="1" x14ac:dyDescent="0.25">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2"/>
      <c r="AW214" s="3"/>
      <c r="AX214" s="3"/>
      <c r="AY214" s="3"/>
      <c r="AZ214" s="3"/>
      <c r="BA214" s="3"/>
      <c r="BB214" s="2"/>
      <c r="BC214" s="3"/>
      <c r="BD214" s="3"/>
      <c r="BE214" s="3"/>
      <c r="BF214" s="3"/>
      <c r="BG214" s="3"/>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3"/>
      <c r="CH214" s="3"/>
      <c r="CI214" s="3"/>
      <c r="CJ214" s="3"/>
      <c r="CK214" s="3"/>
      <c r="CL214" s="3"/>
      <c r="CM214" s="3"/>
      <c r="CN214" s="3"/>
      <c r="CO214" s="3"/>
      <c r="CP214" s="3"/>
      <c r="CQ214" s="3"/>
      <c r="CR214" s="3"/>
      <c r="CS214" s="32"/>
      <c r="CT214" s="32"/>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Y214" s="1"/>
      <c r="EZ214" s="1"/>
      <c r="FA214" s="1"/>
    </row>
    <row r="215" spans="9:157" ht="15.75" customHeight="1" x14ac:dyDescent="0.25">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2"/>
      <c r="AW215" s="3"/>
      <c r="AX215" s="3"/>
      <c r="AY215" s="3"/>
      <c r="AZ215" s="3"/>
      <c r="BA215" s="3"/>
      <c r="BB215" s="2"/>
      <c r="BC215" s="3"/>
      <c r="BD215" s="3"/>
      <c r="BE215" s="3"/>
      <c r="BF215" s="3"/>
      <c r="BG215" s="3"/>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3"/>
      <c r="CH215" s="3"/>
      <c r="CI215" s="3"/>
      <c r="CJ215" s="3"/>
      <c r="CK215" s="3"/>
      <c r="CL215" s="3"/>
      <c r="CM215" s="3"/>
      <c r="CN215" s="3"/>
      <c r="CO215" s="3"/>
      <c r="CP215" s="3"/>
      <c r="CQ215" s="3"/>
      <c r="CR215" s="3"/>
      <c r="CS215" s="32"/>
      <c r="CT215" s="32"/>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Y215" s="1"/>
      <c r="EZ215" s="1"/>
      <c r="FA215" s="1"/>
    </row>
    <row r="216" spans="9:157" ht="15.75" customHeight="1" x14ac:dyDescent="0.25">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2"/>
      <c r="AW216" s="3"/>
      <c r="AX216" s="3"/>
      <c r="AY216" s="3"/>
      <c r="AZ216" s="3"/>
      <c r="BA216" s="3"/>
      <c r="BB216" s="2"/>
      <c r="BC216" s="3"/>
      <c r="BD216" s="3"/>
      <c r="BE216" s="3"/>
      <c r="BF216" s="3"/>
      <c r="BG216" s="3"/>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3"/>
      <c r="CH216" s="3"/>
      <c r="CI216" s="3"/>
      <c r="CJ216" s="3"/>
      <c r="CK216" s="3"/>
      <c r="CL216" s="3"/>
      <c r="CM216" s="3"/>
      <c r="CN216" s="3"/>
      <c r="CO216" s="3"/>
      <c r="CP216" s="3"/>
      <c r="CQ216" s="3"/>
      <c r="CR216" s="3"/>
      <c r="CS216" s="32"/>
      <c r="CT216" s="32"/>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Y216" s="1"/>
      <c r="EZ216" s="1"/>
      <c r="FA216" s="1"/>
    </row>
    <row r="217" spans="9:157" ht="15.75" customHeight="1" x14ac:dyDescent="0.25">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2"/>
      <c r="AW217" s="3"/>
      <c r="AX217" s="3"/>
      <c r="AY217" s="3"/>
      <c r="AZ217" s="3"/>
      <c r="BA217" s="3"/>
      <c r="BB217" s="2"/>
      <c r="BC217" s="3"/>
      <c r="BD217" s="3"/>
      <c r="BE217" s="3"/>
      <c r="BF217" s="3"/>
      <c r="BG217" s="3"/>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3"/>
      <c r="CH217" s="3"/>
      <c r="CI217" s="3"/>
      <c r="CJ217" s="3"/>
      <c r="CK217" s="3"/>
      <c r="CL217" s="3"/>
      <c r="CM217" s="3"/>
      <c r="CN217" s="3"/>
      <c r="CO217" s="3"/>
      <c r="CP217" s="3"/>
      <c r="CQ217" s="3"/>
      <c r="CR217" s="3"/>
      <c r="CS217" s="32"/>
      <c r="CT217" s="32"/>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Y217" s="1"/>
      <c r="EZ217" s="1"/>
      <c r="FA217" s="1"/>
    </row>
    <row r="218" spans="9:157" ht="15.75" customHeight="1" x14ac:dyDescent="0.25">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2"/>
      <c r="AW218" s="3"/>
      <c r="AX218" s="3"/>
      <c r="AY218" s="3"/>
      <c r="AZ218" s="3"/>
      <c r="BA218" s="3"/>
      <c r="BB218" s="2"/>
      <c r="BC218" s="3"/>
      <c r="BD218" s="3"/>
      <c r="BE218" s="3"/>
      <c r="BF218" s="3"/>
      <c r="BG218" s="3"/>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3"/>
      <c r="CH218" s="3"/>
      <c r="CI218" s="3"/>
      <c r="CJ218" s="3"/>
      <c r="CK218" s="3"/>
      <c r="CL218" s="3"/>
      <c r="CM218" s="3"/>
      <c r="CN218" s="3"/>
      <c r="CO218" s="3"/>
      <c r="CP218" s="3"/>
      <c r="CQ218" s="3"/>
      <c r="CR218" s="3"/>
      <c r="CS218" s="32"/>
      <c r="CT218" s="32"/>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Y218" s="1"/>
      <c r="EZ218" s="1"/>
      <c r="FA218" s="1"/>
    </row>
    <row r="219" spans="9:157" ht="15.75" customHeight="1" x14ac:dyDescent="0.25">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2"/>
      <c r="AW219" s="3"/>
      <c r="AX219" s="3"/>
      <c r="AY219" s="3"/>
      <c r="AZ219" s="3"/>
      <c r="BA219" s="3"/>
      <c r="BB219" s="2"/>
      <c r="BC219" s="3"/>
      <c r="BD219" s="3"/>
      <c r="BE219" s="3"/>
      <c r="BF219" s="3"/>
      <c r="BG219" s="3"/>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3"/>
      <c r="CH219" s="3"/>
      <c r="CI219" s="3"/>
      <c r="CJ219" s="3"/>
      <c r="CK219" s="3"/>
      <c r="CL219" s="3"/>
      <c r="CM219" s="3"/>
      <c r="CN219" s="3"/>
      <c r="CO219" s="3"/>
      <c r="CP219" s="3"/>
      <c r="CQ219" s="3"/>
      <c r="CR219" s="3"/>
      <c r="CS219" s="32"/>
      <c r="CT219" s="32"/>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Y219" s="1"/>
      <c r="EZ219" s="1"/>
      <c r="FA219" s="1"/>
    </row>
    <row r="220" spans="9:157" ht="15.75" customHeight="1" x14ac:dyDescent="0.25">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2"/>
      <c r="AW220" s="3"/>
      <c r="AX220" s="3"/>
      <c r="AY220" s="3"/>
      <c r="AZ220" s="3"/>
      <c r="BA220" s="3"/>
      <c r="BB220" s="2"/>
      <c r="BC220" s="3"/>
      <c r="BD220" s="3"/>
      <c r="BE220" s="3"/>
      <c r="BF220" s="3"/>
      <c r="BG220" s="3"/>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3"/>
      <c r="CH220" s="3"/>
      <c r="CI220" s="3"/>
      <c r="CJ220" s="3"/>
      <c r="CK220" s="3"/>
      <c r="CL220" s="3"/>
      <c r="CM220" s="3"/>
      <c r="CN220" s="3"/>
      <c r="CO220" s="3"/>
      <c r="CP220" s="3"/>
      <c r="CQ220" s="3"/>
      <c r="CR220" s="3"/>
      <c r="CS220" s="32"/>
      <c r="CT220" s="32"/>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Y220" s="1"/>
      <c r="EZ220" s="1"/>
      <c r="FA220" s="1"/>
    </row>
    <row r="221" spans="9:157" ht="15.75" customHeight="1" x14ac:dyDescent="0.25">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2"/>
      <c r="AW221" s="3"/>
      <c r="AX221" s="3"/>
      <c r="AY221" s="3"/>
      <c r="AZ221" s="3"/>
      <c r="BA221" s="3"/>
      <c r="BB221" s="2"/>
      <c r="BC221" s="3"/>
      <c r="BD221" s="3"/>
      <c r="BE221" s="3"/>
      <c r="BF221" s="3"/>
      <c r="BG221" s="3"/>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3"/>
      <c r="CH221" s="3"/>
      <c r="CI221" s="3"/>
      <c r="CJ221" s="3"/>
      <c r="CK221" s="3"/>
      <c r="CL221" s="3"/>
      <c r="CM221" s="3"/>
      <c r="CN221" s="3"/>
      <c r="CO221" s="3"/>
      <c r="CP221" s="3"/>
      <c r="CQ221" s="3"/>
      <c r="CR221" s="3"/>
      <c r="CS221" s="32"/>
      <c r="CT221" s="32"/>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Y221" s="1"/>
      <c r="EZ221" s="1"/>
      <c r="FA221" s="1"/>
    </row>
    <row r="222" spans="9:157" ht="15.75" customHeight="1" x14ac:dyDescent="0.25">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2"/>
      <c r="AW222" s="3"/>
      <c r="AX222" s="3"/>
      <c r="AY222" s="3"/>
      <c r="AZ222" s="3"/>
      <c r="BA222" s="3"/>
      <c r="BB222" s="2"/>
      <c r="BC222" s="3"/>
      <c r="BD222" s="3"/>
      <c r="BE222" s="3"/>
      <c r="BF222" s="3"/>
      <c r="BG222" s="3"/>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3"/>
      <c r="CH222" s="3"/>
      <c r="CI222" s="3"/>
      <c r="CJ222" s="3"/>
      <c r="CK222" s="3"/>
      <c r="CL222" s="3"/>
      <c r="CM222" s="3"/>
      <c r="CN222" s="3"/>
      <c r="CO222" s="3"/>
      <c r="CP222" s="3"/>
      <c r="CQ222" s="3"/>
      <c r="CR222" s="3"/>
      <c r="CS222" s="32"/>
      <c r="CT222" s="32"/>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Y222" s="1"/>
      <c r="EZ222" s="1"/>
      <c r="FA222" s="1"/>
    </row>
    <row r="223" spans="9:157" ht="15" customHeight="1" x14ac:dyDescent="0.25">
      <c r="DT223" s="3"/>
    </row>
    <row r="224" spans="9:157" ht="15" customHeight="1" x14ac:dyDescent="0.25">
      <c r="DT224" s="3"/>
    </row>
    <row r="225" spans="124:124" ht="15" customHeight="1" x14ac:dyDescent="0.25">
      <c r="DT225" s="3"/>
    </row>
    <row r="226" spans="124:124" ht="15" customHeight="1" x14ac:dyDescent="0.25">
      <c r="DT226" s="3"/>
    </row>
    <row r="227" spans="124:124" ht="15" customHeight="1" x14ac:dyDescent="0.25">
      <c r="DT227" s="3"/>
    </row>
    <row r="228" spans="124:124" ht="15" customHeight="1" x14ac:dyDescent="0.25">
      <c r="DT228" s="3"/>
    </row>
    <row r="229" spans="124:124" ht="15" customHeight="1" x14ac:dyDescent="0.25">
      <c r="DT229" s="3"/>
    </row>
    <row r="230" spans="124:124" ht="15" customHeight="1" x14ac:dyDescent="0.25">
      <c r="DT230" s="3"/>
    </row>
    <row r="231" spans="124:124" ht="15" customHeight="1" x14ac:dyDescent="0.25">
      <c r="DT231" s="3"/>
    </row>
    <row r="232" spans="124:124" ht="15" customHeight="1" x14ac:dyDescent="0.25">
      <c r="DT232" s="3"/>
    </row>
    <row r="233" spans="124:124" ht="15" customHeight="1" x14ac:dyDescent="0.25">
      <c r="DT233" s="3"/>
    </row>
    <row r="234" spans="124:124" ht="15" customHeight="1" x14ac:dyDescent="0.25">
      <c r="DT234" s="3"/>
    </row>
    <row r="235" spans="124:124" ht="15" customHeight="1" x14ac:dyDescent="0.25">
      <c r="DT235" s="3"/>
    </row>
    <row r="236" spans="124:124" ht="15" customHeight="1" x14ac:dyDescent="0.25">
      <c r="DT236" s="3"/>
    </row>
    <row r="237" spans="124:124" ht="15" customHeight="1" x14ac:dyDescent="0.25">
      <c r="DT237" s="3"/>
    </row>
    <row r="238" spans="124:124" ht="15" customHeight="1" x14ac:dyDescent="0.25">
      <c r="DT238" s="3"/>
    </row>
    <row r="239" spans="124:124" ht="15" customHeight="1" x14ac:dyDescent="0.25">
      <c r="DT239" s="3"/>
    </row>
    <row r="240" spans="124:124" ht="15" customHeight="1" x14ac:dyDescent="0.25">
      <c r="DT240" s="3"/>
    </row>
    <row r="241" spans="124:124" ht="15" customHeight="1" x14ac:dyDescent="0.25">
      <c r="DT241" s="3"/>
    </row>
    <row r="242" spans="124:124" ht="15" customHeight="1" x14ac:dyDescent="0.25">
      <c r="DT242" s="3"/>
    </row>
    <row r="243" spans="124:124" ht="15" customHeight="1" x14ac:dyDescent="0.25">
      <c r="DT243" s="3"/>
    </row>
    <row r="244" spans="124:124" ht="15" customHeight="1" x14ac:dyDescent="0.25">
      <c r="DT244" s="3"/>
    </row>
    <row r="245" spans="124:124" ht="15" customHeight="1" x14ac:dyDescent="0.25">
      <c r="DT245" s="3"/>
    </row>
    <row r="246" spans="124:124" ht="15" customHeight="1" x14ac:dyDescent="0.25">
      <c r="DT246" s="3"/>
    </row>
    <row r="247" spans="124:124" ht="15" customHeight="1" x14ac:dyDescent="0.25">
      <c r="DT247" s="3"/>
    </row>
    <row r="248" spans="124:124" ht="15" customHeight="1" x14ac:dyDescent="0.25">
      <c r="DT248" s="3"/>
    </row>
    <row r="249" spans="124:124" ht="15" customHeight="1" x14ac:dyDescent="0.25">
      <c r="DT249" s="3"/>
    </row>
    <row r="250" spans="124:124" ht="15" customHeight="1" x14ac:dyDescent="0.25">
      <c r="DT250" s="3"/>
    </row>
    <row r="251" spans="124:124" ht="15" customHeight="1" x14ac:dyDescent="0.25">
      <c r="DT251" s="3"/>
    </row>
    <row r="252" spans="124:124" ht="15" customHeight="1" x14ac:dyDescent="0.25">
      <c r="DT252" s="3"/>
    </row>
    <row r="253" spans="124:124" ht="15" customHeight="1" x14ac:dyDescent="0.25">
      <c r="DT253" s="3"/>
    </row>
    <row r="254" spans="124:124" ht="15" customHeight="1" x14ac:dyDescent="0.25">
      <c r="DT254" s="3"/>
    </row>
    <row r="255" spans="124:124" ht="15" customHeight="1" x14ac:dyDescent="0.25">
      <c r="DT255" s="3"/>
    </row>
    <row r="256" spans="124:124" ht="15" customHeight="1" x14ac:dyDescent="0.25">
      <c r="DT256" s="3"/>
    </row>
    <row r="257" spans="124:124" ht="15" customHeight="1" x14ac:dyDescent="0.25">
      <c r="DT257" s="3"/>
    </row>
    <row r="258" spans="124:124" ht="15" customHeight="1" x14ac:dyDescent="0.25">
      <c r="DT258" s="3"/>
    </row>
    <row r="259" spans="124:124" ht="15" customHeight="1" x14ac:dyDescent="0.25">
      <c r="DT259" s="3"/>
    </row>
    <row r="260" spans="124:124" ht="15" customHeight="1" x14ac:dyDescent="0.25">
      <c r="DT260" s="3"/>
    </row>
    <row r="261" spans="124:124" ht="15" customHeight="1" x14ac:dyDescent="0.25">
      <c r="DT261" s="3"/>
    </row>
    <row r="262" spans="124:124" ht="15" customHeight="1" x14ac:dyDescent="0.25">
      <c r="DT262" s="3"/>
    </row>
    <row r="263" spans="124:124" ht="15" customHeight="1" x14ac:dyDescent="0.25">
      <c r="DT263" s="3"/>
    </row>
    <row r="264" spans="124:124" ht="15" customHeight="1" x14ac:dyDescent="0.25">
      <c r="DT264" s="3"/>
    </row>
    <row r="265" spans="124:124" ht="15" customHeight="1" x14ac:dyDescent="0.25">
      <c r="DT265" s="3"/>
    </row>
    <row r="266" spans="124:124" ht="15" customHeight="1" x14ac:dyDescent="0.25">
      <c r="DT266" s="3"/>
    </row>
    <row r="267" spans="124:124" ht="15" customHeight="1" x14ac:dyDescent="0.25">
      <c r="DT267" s="3"/>
    </row>
    <row r="268" spans="124:124" ht="15" customHeight="1" x14ac:dyDescent="0.25">
      <c r="DT268" s="3"/>
    </row>
    <row r="269" spans="124:124" ht="15" customHeight="1" x14ac:dyDescent="0.25">
      <c r="DT269" s="3"/>
    </row>
    <row r="270" spans="124:124" ht="15" customHeight="1" x14ac:dyDescent="0.25">
      <c r="DT270" s="3"/>
    </row>
    <row r="271" spans="124:124" ht="15" customHeight="1" x14ac:dyDescent="0.25">
      <c r="DT271" s="3"/>
    </row>
    <row r="272" spans="124:124" ht="15" customHeight="1" x14ac:dyDescent="0.25">
      <c r="DT272" s="3"/>
    </row>
    <row r="273" spans="124:124" ht="15" customHeight="1" x14ac:dyDescent="0.25">
      <c r="DT273" s="3"/>
    </row>
    <row r="274" spans="124:124" ht="15" customHeight="1" x14ac:dyDescent="0.25">
      <c r="DT274" s="3"/>
    </row>
    <row r="275" spans="124:124" ht="15" customHeight="1" x14ac:dyDescent="0.25">
      <c r="DT275" s="3"/>
    </row>
    <row r="276" spans="124:124" ht="15" customHeight="1" x14ac:dyDescent="0.25">
      <c r="DT276" s="3"/>
    </row>
    <row r="277" spans="124:124" ht="15" customHeight="1" x14ac:dyDescent="0.25">
      <c r="DT277" s="3"/>
    </row>
    <row r="278" spans="124:124" ht="15" customHeight="1" x14ac:dyDescent="0.25">
      <c r="DT278" s="3"/>
    </row>
    <row r="279" spans="124:124" ht="15" customHeight="1" x14ac:dyDescent="0.25">
      <c r="DT279" s="3"/>
    </row>
    <row r="280" spans="124:124" ht="15" customHeight="1" x14ac:dyDescent="0.25">
      <c r="DT280" s="3"/>
    </row>
    <row r="281" spans="124:124" ht="15" customHeight="1" x14ac:dyDescent="0.25">
      <c r="DT281" s="3"/>
    </row>
    <row r="282" spans="124:124" ht="15" customHeight="1" x14ac:dyDescent="0.25">
      <c r="DT282" s="3"/>
    </row>
    <row r="283" spans="124:124" ht="15" customHeight="1" x14ac:dyDescent="0.25">
      <c r="DT283" s="3"/>
    </row>
    <row r="284" spans="124:124" ht="15" customHeight="1" x14ac:dyDescent="0.25">
      <c r="DT284" s="3"/>
    </row>
    <row r="285" spans="124:124" ht="15" customHeight="1" x14ac:dyDescent="0.25">
      <c r="DT285" s="3"/>
    </row>
    <row r="286" spans="124:124" ht="15" customHeight="1" x14ac:dyDescent="0.25">
      <c r="DT286" s="3"/>
    </row>
    <row r="287" spans="124:124" ht="15" customHeight="1" x14ac:dyDescent="0.25">
      <c r="DT287" s="3"/>
    </row>
    <row r="288" spans="124:124" ht="15" customHeight="1" x14ac:dyDescent="0.25">
      <c r="DT288" s="3"/>
    </row>
    <row r="289" spans="124:124" ht="15" customHeight="1" x14ac:dyDescent="0.25">
      <c r="DT289" s="3"/>
    </row>
    <row r="290" spans="124:124" ht="15" customHeight="1" x14ac:dyDescent="0.25">
      <c r="DT290" s="3"/>
    </row>
    <row r="291" spans="124:124" ht="15" customHeight="1" x14ac:dyDescent="0.25">
      <c r="DT291" s="3"/>
    </row>
    <row r="292" spans="124:124" ht="15" customHeight="1" x14ac:dyDescent="0.25">
      <c r="DT292" s="3"/>
    </row>
    <row r="293" spans="124:124" ht="15" customHeight="1" x14ac:dyDescent="0.25">
      <c r="DT293" s="3"/>
    </row>
    <row r="294" spans="124:124" ht="15" customHeight="1" x14ac:dyDescent="0.25">
      <c r="DT294" s="3"/>
    </row>
    <row r="295" spans="124:124" ht="15" customHeight="1" x14ac:dyDescent="0.25">
      <c r="DT295" s="3"/>
    </row>
    <row r="296" spans="124:124" ht="15" customHeight="1" x14ac:dyDescent="0.25">
      <c r="DT296" s="3"/>
    </row>
    <row r="297" spans="124:124" ht="15" customHeight="1" x14ac:dyDescent="0.25">
      <c r="DT297" s="3"/>
    </row>
    <row r="298" spans="124:124" ht="15" customHeight="1" x14ac:dyDescent="0.25">
      <c r="DT298" s="3"/>
    </row>
    <row r="299" spans="124:124" ht="15" customHeight="1" x14ac:dyDescent="0.25">
      <c r="DT299" s="3"/>
    </row>
    <row r="300" spans="124:124" ht="15" customHeight="1" x14ac:dyDescent="0.25">
      <c r="DT300" s="3"/>
    </row>
    <row r="301" spans="124:124" ht="15" customHeight="1" x14ac:dyDescent="0.25">
      <c r="DT301" s="3"/>
    </row>
    <row r="302" spans="124:124" ht="15" customHeight="1" x14ac:dyDescent="0.25">
      <c r="DT302" s="3"/>
    </row>
    <row r="303" spans="124:124" ht="15" customHeight="1" x14ac:dyDescent="0.25">
      <c r="DT303" s="3"/>
    </row>
    <row r="304" spans="124:124" ht="15" customHeight="1" x14ac:dyDescent="0.25">
      <c r="DT304" s="3"/>
    </row>
    <row r="305" spans="124:124" ht="15" customHeight="1" x14ac:dyDescent="0.25">
      <c r="DT305" s="3"/>
    </row>
    <row r="306" spans="124:124" ht="15" customHeight="1" x14ac:dyDescent="0.25">
      <c r="DT306" s="3"/>
    </row>
    <row r="307" spans="124:124" ht="15" customHeight="1" x14ac:dyDescent="0.25">
      <c r="DT307" s="3"/>
    </row>
    <row r="308" spans="124:124" ht="15" customHeight="1" x14ac:dyDescent="0.25">
      <c r="DT308" s="3"/>
    </row>
    <row r="309" spans="124:124" ht="15" customHeight="1" x14ac:dyDescent="0.25">
      <c r="DT309" s="3"/>
    </row>
    <row r="310" spans="124:124" ht="15" customHeight="1" x14ac:dyDescent="0.25">
      <c r="DT310" s="3"/>
    </row>
    <row r="311" spans="124:124" ht="15" customHeight="1" x14ac:dyDescent="0.25">
      <c r="DT311" s="3"/>
    </row>
    <row r="312" spans="124:124" ht="15" customHeight="1" x14ac:dyDescent="0.25">
      <c r="DT312" s="3"/>
    </row>
    <row r="313" spans="124:124" ht="15" customHeight="1" x14ac:dyDescent="0.25">
      <c r="DT313" s="3"/>
    </row>
    <row r="314" spans="124:124" ht="15" customHeight="1" x14ac:dyDescent="0.25">
      <c r="DT314" s="3"/>
    </row>
    <row r="315" spans="124:124" ht="15" customHeight="1" x14ac:dyDescent="0.25">
      <c r="DT315" s="3"/>
    </row>
    <row r="316" spans="124:124" ht="15" customHeight="1" x14ac:dyDescent="0.25">
      <c r="DT316" s="3"/>
    </row>
    <row r="317" spans="124:124" ht="15" customHeight="1" x14ac:dyDescent="0.25">
      <c r="DT317" s="3"/>
    </row>
    <row r="318" spans="124:124" ht="15" customHeight="1" x14ac:dyDescent="0.25">
      <c r="DT318" s="3"/>
    </row>
    <row r="319" spans="124:124" ht="15" customHeight="1" x14ac:dyDescent="0.25">
      <c r="DT319" s="3"/>
    </row>
    <row r="320" spans="124:124" ht="15" customHeight="1" x14ac:dyDescent="0.25">
      <c r="DT320" s="3"/>
    </row>
    <row r="321" spans="124:124" ht="15" customHeight="1" x14ac:dyDescent="0.25">
      <c r="DT321" s="3"/>
    </row>
    <row r="322" spans="124:124" ht="15" customHeight="1" x14ac:dyDescent="0.25">
      <c r="DT322" s="3"/>
    </row>
    <row r="323" spans="124:124" ht="15" customHeight="1" x14ac:dyDescent="0.25">
      <c r="DT323" s="3"/>
    </row>
    <row r="324" spans="124:124" ht="15" customHeight="1" x14ac:dyDescent="0.25">
      <c r="DT324" s="3"/>
    </row>
    <row r="325" spans="124:124" ht="15" customHeight="1" x14ac:dyDescent="0.25">
      <c r="DT325" s="3"/>
    </row>
    <row r="326" spans="124:124" ht="15" customHeight="1" x14ac:dyDescent="0.25">
      <c r="DT326" s="3"/>
    </row>
    <row r="327" spans="124:124" ht="15" customHeight="1" x14ac:dyDescent="0.25">
      <c r="DT327" s="3"/>
    </row>
    <row r="328" spans="124:124" ht="15" customHeight="1" x14ac:dyDescent="0.25">
      <c r="DT328" s="3"/>
    </row>
    <row r="329" spans="124:124" ht="15" customHeight="1" x14ac:dyDescent="0.25">
      <c r="DT329" s="3"/>
    </row>
    <row r="330" spans="124:124" ht="15" customHeight="1" x14ac:dyDescent="0.25">
      <c r="DT330" s="3"/>
    </row>
    <row r="331" spans="124:124" ht="15" customHeight="1" x14ac:dyDescent="0.25">
      <c r="DT331" s="3"/>
    </row>
    <row r="332" spans="124:124" ht="15" customHeight="1" x14ac:dyDescent="0.25">
      <c r="DT332" s="3"/>
    </row>
    <row r="333" spans="124:124" ht="15" customHeight="1" x14ac:dyDescent="0.25">
      <c r="DT333" s="3"/>
    </row>
    <row r="334" spans="124:124" ht="15" customHeight="1" x14ac:dyDescent="0.25">
      <c r="DT334" s="3"/>
    </row>
    <row r="335" spans="124:124" ht="15" customHeight="1" x14ac:dyDescent="0.25">
      <c r="DT335" s="3"/>
    </row>
    <row r="336" spans="124:124" ht="15" customHeight="1" x14ac:dyDescent="0.25">
      <c r="DT336" s="3"/>
    </row>
    <row r="337" spans="124:124" ht="15" customHeight="1" x14ac:dyDescent="0.25">
      <c r="DT337" s="3"/>
    </row>
    <row r="338" spans="124:124" ht="15" customHeight="1" x14ac:dyDescent="0.25">
      <c r="DT338" s="3"/>
    </row>
    <row r="339" spans="124:124" ht="15" customHeight="1" x14ac:dyDescent="0.25">
      <c r="DT339" s="3"/>
    </row>
    <row r="340" spans="124:124" ht="15" customHeight="1" x14ac:dyDescent="0.25">
      <c r="DT340" s="3"/>
    </row>
    <row r="341" spans="124:124" ht="15" customHeight="1" x14ac:dyDescent="0.25">
      <c r="DT341" s="3"/>
    </row>
    <row r="342" spans="124:124" ht="15" customHeight="1" x14ac:dyDescent="0.25">
      <c r="DT342" s="3"/>
    </row>
    <row r="343" spans="124:124" ht="15" customHeight="1" x14ac:dyDescent="0.25">
      <c r="DT343" s="3"/>
    </row>
    <row r="344" spans="124:124" ht="15" customHeight="1" x14ac:dyDescent="0.25">
      <c r="DT344" s="3"/>
    </row>
    <row r="345" spans="124:124" ht="15" customHeight="1" x14ac:dyDescent="0.25">
      <c r="DT345" s="3"/>
    </row>
    <row r="346" spans="124:124" ht="15" customHeight="1" x14ac:dyDescent="0.25">
      <c r="DT346" s="3"/>
    </row>
    <row r="347" spans="124:124" ht="15" customHeight="1" x14ac:dyDescent="0.25">
      <c r="DT347" s="3"/>
    </row>
    <row r="348" spans="124:124" ht="15" customHeight="1" x14ac:dyDescent="0.25">
      <c r="DT348" s="3"/>
    </row>
    <row r="349" spans="124:124" ht="15" customHeight="1" x14ac:dyDescent="0.25">
      <c r="DT349" s="3"/>
    </row>
    <row r="350" spans="124:124" ht="15" customHeight="1" x14ac:dyDescent="0.25">
      <c r="DT350" s="3"/>
    </row>
    <row r="351" spans="124:124" ht="15" customHeight="1" x14ac:dyDescent="0.25">
      <c r="DT351" s="3"/>
    </row>
    <row r="352" spans="124:124" ht="15" customHeight="1" x14ac:dyDescent="0.25">
      <c r="DT352" s="3"/>
    </row>
    <row r="353" spans="124:124" ht="15" customHeight="1" x14ac:dyDescent="0.25">
      <c r="DT353" s="3"/>
    </row>
    <row r="354" spans="124:124" ht="15" customHeight="1" x14ac:dyDescent="0.25">
      <c r="DT354" s="3"/>
    </row>
    <row r="355" spans="124:124" ht="15" customHeight="1" x14ac:dyDescent="0.25">
      <c r="DT355" s="3"/>
    </row>
    <row r="356" spans="124:124" ht="15" customHeight="1" x14ac:dyDescent="0.25">
      <c r="DT356" s="3"/>
    </row>
    <row r="357" spans="124:124" ht="15" customHeight="1" x14ac:dyDescent="0.25">
      <c r="DT357" s="3"/>
    </row>
    <row r="358" spans="124:124" ht="15" customHeight="1" x14ac:dyDescent="0.25">
      <c r="DT358" s="3"/>
    </row>
    <row r="359" spans="124:124" ht="15" customHeight="1" x14ac:dyDescent="0.25">
      <c r="DT359" s="3"/>
    </row>
    <row r="360" spans="124:124" ht="15" customHeight="1" x14ac:dyDescent="0.25">
      <c r="DT360" s="3"/>
    </row>
    <row r="361" spans="124:124" ht="15" customHeight="1" x14ac:dyDescent="0.25">
      <c r="DT361" s="3"/>
    </row>
    <row r="362" spans="124:124" ht="15" customHeight="1" x14ac:dyDescent="0.25">
      <c r="DT362" s="3"/>
    </row>
    <row r="363" spans="124:124" ht="15" customHeight="1" x14ac:dyDescent="0.25">
      <c r="DT363" s="3"/>
    </row>
    <row r="364" spans="124:124" ht="15" customHeight="1" x14ac:dyDescent="0.25">
      <c r="DT364" s="3"/>
    </row>
    <row r="365" spans="124:124" ht="15" customHeight="1" x14ac:dyDescent="0.25">
      <c r="DT365" s="3"/>
    </row>
    <row r="366" spans="124:124" ht="15" customHeight="1" x14ac:dyDescent="0.25">
      <c r="DT366" s="3"/>
    </row>
    <row r="367" spans="124:124" ht="15" customHeight="1" x14ac:dyDescent="0.25">
      <c r="DT367" s="3"/>
    </row>
    <row r="368" spans="124:124" ht="15" customHeight="1" x14ac:dyDescent="0.25">
      <c r="DT368" s="3"/>
    </row>
    <row r="369" spans="124:124" ht="15" customHeight="1" x14ac:dyDescent="0.25">
      <c r="DT369" s="3"/>
    </row>
    <row r="370" spans="124:124" ht="15" customHeight="1" x14ac:dyDescent="0.25">
      <c r="DT370" s="3"/>
    </row>
    <row r="371" spans="124:124" ht="15" customHeight="1" x14ac:dyDescent="0.25">
      <c r="DT371" s="3"/>
    </row>
    <row r="372" spans="124:124" ht="15" customHeight="1" x14ac:dyDescent="0.25">
      <c r="DT372" s="3"/>
    </row>
    <row r="373" spans="124:124" ht="15" customHeight="1" x14ac:dyDescent="0.25">
      <c r="DT373" s="3"/>
    </row>
    <row r="374" spans="124:124" ht="15" customHeight="1" x14ac:dyDescent="0.25">
      <c r="DT374" s="3"/>
    </row>
    <row r="375" spans="124:124" ht="15" customHeight="1" x14ac:dyDescent="0.25">
      <c r="DT375" s="3"/>
    </row>
    <row r="376" spans="124:124" ht="15" customHeight="1" x14ac:dyDescent="0.25">
      <c r="DT376" s="3"/>
    </row>
    <row r="377" spans="124:124" ht="15" customHeight="1" x14ac:dyDescent="0.25">
      <c r="DT377" s="3"/>
    </row>
    <row r="378" spans="124:124" ht="15" customHeight="1" x14ac:dyDescent="0.25">
      <c r="DT378" s="3"/>
    </row>
    <row r="379" spans="124:124" ht="15" customHeight="1" x14ac:dyDescent="0.25">
      <c r="DT379" s="3"/>
    </row>
    <row r="380" spans="124:124" ht="15" customHeight="1" x14ac:dyDescent="0.25">
      <c r="DT380" s="3"/>
    </row>
    <row r="381" spans="124:124" ht="15" customHeight="1" x14ac:dyDescent="0.25">
      <c r="DT381" s="3"/>
    </row>
    <row r="382" spans="124:124" ht="15" customHeight="1" x14ac:dyDescent="0.25">
      <c r="DT382" s="3"/>
    </row>
    <row r="383" spans="124:124" ht="15" customHeight="1" x14ac:dyDescent="0.25">
      <c r="DT383" s="3"/>
    </row>
    <row r="384" spans="124:124" ht="15" customHeight="1" x14ac:dyDescent="0.25">
      <c r="DT384" s="3"/>
    </row>
    <row r="385" spans="124:124" ht="15" customHeight="1" x14ac:dyDescent="0.25">
      <c r="DT385" s="3"/>
    </row>
    <row r="386" spans="124:124" ht="15" customHeight="1" x14ac:dyDescent="0.25">
      <c r="DT386" s="3"/>
    </row>
    <row r="387" spans="124:124" ht="15" customHeight="1" x14ac:dyDescent="0.25">
      <c r="DT387" s="3"/>
    </row>
    <row r="388" spans="124:124" ht="15" customHeight="1" x14ac:dyDescent="0.25">
      <c r="DT388" s="3"/>
    </row>
    <row r="389" spans="124:124" ht="15" customHeight="1" x14ac:dyDescent="0.25">
      <c r="DT389" s="3"/>
    </row>
    <row r="390" spans="124:124" ht="15" customHeight="1" x14ac:dyDescent="0.25">
      <c r="DT390" s="3"/>
    </row>
    <row r="391" spans="124:124" ht="15" customHeight="1" x14ac:dyDescent="0.25">
      <c r="DT391" s="3"/>
    </row>
    <row r="392" spans="124:124" ht="15" customHeight="1" x14ac:dyDescent="0.25">
      <c r="DT392" s="3"/>
    </row>
    <row r="393" spans="124:124" ht="15" customHeight="1" x14ac:dyDescent="0.25">
      <c r="DT393" s="3"/>
    </row>
    <row r="394" spans="124:124" ht="15" customHeight="1" x14ac:dyDescent="0.25">
      <c r="DT394" s="3"/>
    </row>
    <row r="395" spans="124:124" ht="15" customHeight="1" x14ac:dyDescent="0.25">
      <c r="DT395" s="3"/>
    </row>
    <row r="396" spans="124:124" ht="15" customHeight="1" x14ac:dyDescent="0.25">
      <c r="DT396" s="3"/>
    </row>
    <row r="397" spans="124:124" ht="15" customHeight="1" x14ac:dyDescent="0.25">
      <c r="DT397" s="3"/>
    </row>
    <row r="398" spans="124:124" ht="15" customHeight="1" x14ac:dyDescent="0.25">
      <c r="DT398" s="3"/>
    </row>
    <row r="399" spans="124:124" ht="15" customHeight="1" x14ac:dyDescent="0.25">
      <c r="DT399" s="3"/>
    </row>
    <row r="400" spans="124:124" ht="15" customHeight="1" x14ac:dyDescent="0.25">
      <c r="DT400" s="3"/>
    </row>
    <row r="401" spans="124:124" ht="15" customHeight="1" x14ac:dyDescent="0.25">
      <c r="DT401" s="3"/>
    </row>
    <row r="402" spans="124:124" ht="15" customHeight="1" x14ac:dyDescent="0.25">
      <c r="DT402" s="3"/>
    </row>
    <row r="403" spans="124:124" ht="15" customHeight="1" x14ac:dyDescent="0.25">
      <c r="DT403" s="3"/>
    </row>
    <row r="404" spans="124:124" ht="15" customHeight="1" x14ac:dyDescent="0.25">
      <c r="DT404" s="3"/>
    </row>
    <row r="405" spans="124:124" ht="15" customHeight="1" x14ac:dyDescent="0.25">
      <c r="DT405" s="3"/>
    </row>
    <row r="406" spans="124:124" ht="15" customHeight="1" x14ac:dyDescent="0.25">
      <c r="DT406" s="3"/>
    </row>
    <row r="407" spans="124:124" ht="15" customHeight="1" x14ac:dyDescent="0.25">
      <c r="DT407" s="3"/>
    </row>
    <row r="408" spans="124:124" ht="15" customHeight="1" x14ac:dyDescent="0.25">
      <c r="DT408" s="3"/>
    </row>
    <row r="409" spans="124:124" ht="15" customHeight="1" x14ac:dyDescent="0.25">
      <c r="DT409" s="3"/>
    </row>
    <row r="410" spans="124:124" ht="15" customHeight="1" x14ac:dyDescent="0.25">
      <c r="DT410" s="3"/>
    </row>
    <row r="411" spans="124:124" ht="15" customHeight="1" x14ac:dyDescent="0.25">
      <c r="DT411" s="3"/>
    </row>
    <row r="412" spans="124:124" ht="15" customHeight="1" x14ac:dyDescent="0.25">
      <c r="DT412" s="3"/>
    </row>
    <row r="413" spans="124:124" ht="15" customHeight="1" x14ac:dyDescent="0.25">
      <c r="DT413" s="3"/>
    </row>
    <row r="414" spans="124:124" ht="15" customHeight="1" x14ac:dyDescent="0.25">
      <c r="DT414" s="3"/>
    </row>
    <row r="415" spans="124:124" ht="15" customHeight="1" x14ac:dyDescent="0.25">
      <c r="DT415" s="3"/>
    </row>
    <row r="416" spans="124:124" ht="15" customHeight="1" x14ac:dyDescent="0.25">
      <c r="DT416" s="3"/>
    </row>
    <row r="417" spans="124:124" ht="15" customHeight="1" x14ac:dyDescent="0.25">
      <c r="DT417" s="3"/>
    </row>
    <row r="418" spans="124:124" ht="15" customHeight="1" x14ac:dyDescent="0.25">
      <c r="DT418" s="3"/>
    </row>
    <row r="419" spans="124:124" ht="15" customHeight="1" x14ac:dyDescent="0.25">
      <c r="DT419" s="3"/>
    </row>
    <row r="420" spans="124:124" ht="15" customHeight="1" x14ac:dyDescent="0.25">
      <c r="DT420" s="3"/>
    </row>
    <row r="421" spans="124:124" ht="15" customHeight="1" x14ac:dyDescent="0.25">
      <c r="DT421" s="3"/>
    </row>
    <row r="422" spans="124:124" ht="15" customHeight="1" x14ac:dyDescent="0.25">
      <c r="DT422" s="3"/>
    </row>
    <row r="423" spans="124:124" ht="15" customHeight="1" x14ac:dyDescent="0.25">
      <c r="DT423" s="3"/>
    </row>
    <row r="424" spans="124:124" ht="15" customHeight="1" x14ac:dyDescent="0.25">
      <c r="DT424" s="3"/>
    </row>
    <row r="425" spans="124:124" ht="15" customHeight="1" x14ac:dyDescent="0.25">
      <c r="DT425" s="3"/>
    </row>
    <row r="426" spans="124:124" ht="15" customHeight="1" x14ac:dyDescent="0.25">
      <c r="DT426" s="3"/>
    </row>
    <row r="427" spans="124:124" ht="15" customHeight="1" x14ac:dyDescent="0.25">
      <c r="DT427" s="3"/>
    </row>
    <row r="428" spans="124:124" ht="15" customHeight="1" x14ac:dyDescent="0.25">
      <c r="DT428" s="3"/>
    </row>
    <row r="429" spans="124:124" ht="15" customHeight="1" x14ac:dyDescent="0.25">
      <c r="DT429" s="3"/>
    </row>
    <row r="430" spans="124:124" ht="15" customHeight="1" x14ac:dyDescent="0.25">
      <c r="DT430" s="3"/>
    </row>
    <row r="431" spans="124:124" ht="15" customHeight="1" x14ac:dyDescent="0.25">
      <c r="DT431" s="3"/>
    </row>
    <row r="432" spans="124:124" ht="15" customHeight="1" x14ac:dyDescent="0.25">
      <c r="DT432" s="3"/>
    </row>
    <row r="433" spans="124:124" ht="15" customHeight="1" x14ac:dyDescent="0.25">
      <c r="DT433" s="3"/>
    </row>
    <row r="434" spans="124:124" ht="15" customHeight="1" x14ac:dyDescent="0.25">
      <c r="DT434" s="3"/>
    </row>
    <row r="435" spans="124:124" ht="15" customHeight="1" x14ac:dyDescent="0.25">
      <c r="DT435" s="3"/>
    </row>
    <row r="436" spans="124:124" ht="15" customHeight="1" x14ac:dyDescent="0.25">
      <c r="DT436" s="3"/>
    </row>
    <row r="437" spans="124:124" ht="15" customHeight="1" x14ac:dyDescent="0.25">
      <c r="DT437" s="3"/>
    </row>
    <row r="438" spans="124:124" ht="15" customHeight="1" x14ac:dyDescent="0.25">
      <c r="DT438" s="3"/>
    </row>
    <row r="439" spans="124:124" ht="15" customHeight="1" x14ac:dyDescent="0.25">
      <c r="DT439" s="3"/>
    </row>
    <row r="440" spans="124:124" ht="15" customHeight="1" x14ac:dyDescent="0.25">
      <c r="DT440" s="3"/>
    </row>
    <row r="441" spans="124:124" ht="15" customHeight="1" x14ac:dyDescent="0.25">
      <c r="DT441" s="3"/>
    </row>
    <row r="442" spans="124:124" ht="15" customHeight="1" x14ac:dyDescent="0.25">
      <c r="DT442" s="3"/>
    </row>
    <row r="443" spans="124:124" ht="15" customHeight="1" x14ac:dyDescent="0.25">
      <c r="DT443" s="3"/>
    </row>
    <row r="444" spans="124:124" ht="15" customHeight="1" x14ac:dyDescent="0.25">
      <c r="DT444" s="3"/>
    </row>
    <row r="445" spans="124:124" ht="15" customHeight="1" x14ac:dyDescent="0.25">
      <c r="DT445" s="3"/>
    </row>
    <row r="446" spans="124:124" ht="15" customHeight="1" x14ac:dyDescent="0.25">
      <c r="DT446" s="3"/>
    </row>
    <row r="447" spans="124:124" ht="15" customHeight="1" x14ac:dyDescent="0.25">
      <c r="DT447" s="3"/>
    </row>
    <row r="448" spans="124:124" ht="15" customHeight="1" x14ac:dyDescent="0.25">
      <c r="DT448" s="3"/>
    </row>
    <row r="449" spans="124:124" ht="15" customHeight="1" x14ac:dyDescent="0.25">
      <c r="DT449" s="3"/>
    </row>
    <row r="450" spans="124:124" ht="15" customHeight="1" x14ac:dyDescent="0.25">
      <c r="DT450" s="3"/>
    </row>
    <row r="451" spans="124:124" ht="15" customHeight="1" x14ac:dyDescent="0.25">
      <c r="DT451" s="3"/>
    </row>
    <row r="452" spans="124:124" ht="15" customHeight="1" x14ac:dyDescent="0.25">
      <c r="DT452" s="3"/>
    </row>
    <row r="453" spans="124:124" ht="15" customHeight="1" x14ac:dyDescent="0.25">
      <c r="DT453" s="3"/>
    </row>
    <row r="454" spans="124:124" ht="15" customHeight="1" x14ac:dyDescent="0.25">
      <c r="DT454" s="3"/>
    </row>
    <row r="455" spans="124:124" ht="15" customHeight="1" x14ac:dyDescent="0.25">
      <c r="DT455" s="3"/>
    </row>
    <row r="456" spans="124:124" ht="15" customHeight="1" x14ac:dyDescent="0.25">
      <c r="DT456" s="3"/>
    </row>
    <row r="457" spans="124:124" ht="15" customHeight="1" x14ac:dyDescent="0.25">
      <c r="DT457" s="3"/>
    </row>
    <row r="458" spans="124:124" ht="15" customHeight="1" x14ac:dyDescent="0.25">
      <c r="DT458" s="3"/>
    </row>
    <row r="459" spans="124:124" ht="15" customHeight="1" x14ac:dyDescent="0.25">
      <c r="DT459" s="3"/>
    </row>
    <row r="460" spans="124:124" ht="15" customHeight="1" x14ac:dyDescent="0.25">
      <c r="DT460" s="3"/>
    </row>
    <row r="461" spans="124:124" ht="15" customHeight="1" x14ac:dyDescent="0.25">
      <c r="DT461" s="3"/>
    </row>
    <row r="462" spans="124:124" ht="15" customHeight="1" x14ac:dyDescent="0.25">
      <c r="DT462" s="3"/>
    </row>
    <row r="463" spans="124:124" ht="15" customHeight="1" x14ac:dyDescent="0.25">
      <c r="DT463" s="3"/>
    </row>
    <row r="464" spans="124:124" ht="15" customHeight="1" x14ac:dyDescent="0.25">
      <c r="DT464" s="3"/>
    </row>
    <row r="465" spans="124:124" ht="15" customHeight="1" x14ac:dyDescent="0.25">
      <c r="DT465" s="3"/>
    </row>
    <row r="466" spans="124:124" ht="15" customHeight="1" x14ac:dyDescent="0.25">
      <c r="DT466" s="3"/>
    </row>
    <row r="467" spans="124:124" ht="15" customHeight="1" x14ac:dyDescent="0.25">
      <c r="DT467" s="3"/>
    </row>
    <row r="468" spans="124:124" ht="15" customHeight="1" x14ac:dyDescent="0.25">
      <c r="DT468" s="3"/>
    </row>
    <row r="469" spans="124:124" ht="15" customHeight="1" x14ac:dyDescent="0.25">
      <c r="DT469" s="3"/>
    </row>
    <row r="470" spans="124:124" ht="15" customHeight="1" x14ac:dyDescent="0.25">
      <c r="DT470" s="3"/>
    </row>
    <row r="471" spans="124:124" ht="15" customHeight="1" x14ac:dyDescent="0.25">
      <c r="DT471" s="3"/>
    </row>
    <row r="472" spans="124:124" ht="15" customHeight="1" x14ac:dyDescent="0.25">
      <c r="DT472" s="3"/>
    </row>
    <row r="473" spans="124:124" ht="15" customHeight="1" x14ac:dyDescent="0.25">
      <c r="DT473" s="3"/>
    </row>
    <row r="474" spans="124:124" ht="15" customHeight="1" x14ac:dyDescent="0.25">
      <c r="DT474" s="3"/>
    </row>
    <row r="475" spans="124:124" ht="15" customHeight="1" x14ac:dyDescent="0.25">
      <c r="DT475" s="3"/>
    </row>
    <row r="476" spans="124:124" ht="15" customHeight="1" x14ac:dyDescent="0.25">
      <c r="DT476" s="3"/>
    </row>
    <row r="477" spans="124:124" ht="15" customHeight="1" x14ac:dyDescent="0.25">
      <c r="DT477" s="3"/>
    </row>
    <row r="478" spans="124:124" ht="15" customHeight="1" x14ac:dyDescent="0.25">
      <c r="DT478" s="3"/>
    </row>
    <row r="479" spans="124:124" ht="15" customHeight="1" x14ac:dyDescent="0.25">
      <c r="DT479" s="3"/>
    </row>
    <row r="480" spans="124:124" ht="15" customHeight="1" x14ac:dyDescent="0.25">
      <c r="DT480" s="3"/>
    </row>
    <row r="481" spans="124:124" ht="15" customHeight="1" x14ac:dyDescent="0.25">
      <c r="DT481" s="3"/>
    </row>
    <row r="482" spans="124:124" ht="15" customHeight="1" x14ac:dyDescent="0.25">
      <c r="DT482" s="3"/>
    </row>
    <row r="483" spans="124:124" ht="15" customHeight="1" x14ac:dyDescent="0.25">
      <c r="DT483" s="3"/>
    </row>
    <row r="484" spans="124:124" ht="15" customHeight="1" x14ac:dyDescent="0.25">
      <c r="DT484" s="3"/>
    </row>
    <row r="485" spans="124:124" ht="15" customHeight="1" x14ac:dyDescent="0.25">
      <c r="DT485" s="3"/>
    </row>
    <row r="486" spans="124:124" ht="15" customHeight="1" x14ac:dyDescent="0.25">
      <c r="DT486" s="3"/>
    </row>
    <row r="487" spans="124:124" ht="15" customHeight="1" x14ac:dyDescent="0.25">
      <c r="DT487" s="3"/>
    </row>
    <row r="488" spans="124:124" ht="15" customHeight="1" x14ac:dyDescent="0.25">
      <c r="DT488" s="3"/>
    </row>
    <row r="489" spans="124:124" ht="15" customHeight="1" x14ac:dyDescent="0.25">
      <c r="DT489" s="3"/>
    </row>
    <row r="490" spans="124:124" ht="15" customHeight="1" x14ac:dyDescent="0.25">
      <c r="DT490" s="3"/>
    </row>
    <row r="491" spans="124:124" ht="15" customHeight="1" x14ac:dyDescent="0.25">
      <c r="DT491" s="3"/>
    </row>
    <row r="492" spans="124:124" ht="15" customHeight="1" x14ac:dyDescent="0.25">
      <c r="DT492" s="3"/>
    </row>
    <row r="493" spans="124:124" ht="15" customHeight="1" x14ac:dyDescent="0.25">
      <c r="DT493" s="3"/>
    </row>
    <row r="494" spans="124:124" ht="15" customHeight="1" x14ac:dyDescent="0.25">
      <c r="DT494" s="3"/>
    </row>
    <row r="495" spans="124:124" ht="15" customHeight="1" x14ac:dyDescent="0.25">
      <c r="DT495" s="3"/>
    </row>
    <row r="496" spans="124:124" ht="15" customHeight="1" x14ac:dyDescent="0.25">
      <c r="DT496" s="3"/>
    </row>
    <row r="497" spans="124:124" ht="15" customHeight="1" x14ac:dyDescent="0.25">
      <c r="DT497" s="3"/>
    </row>
    <row r="498" spans="124:124" ht="15" customHeight="1" x14ac:dyDescent="0.25">
      <c r="DT498" s="3"/>
    </row>
    <row r="499" spans="124:124" ht="15" customHeight="1" x14ac:dyDescent="0.25">
      <c r="DT499" s="3"/>
    </row>
    <row r="500" spans="124:124" ht="15" customHeight="1" x14ac:dyDescent="0.25">
      <c r="DT500" s="3"/>
    </row>
    <row r="501" spans="124:124" ht="15" customHeight="1" x14ac:dyDescent="0.25">
      <c r="DT501" s="3"/>
    </row>
    <row r="502" spans="124:124" ht="15" customHeight="1" x14ac:dyDescent="0.25">
      <c r="DT502" s="3"/>
    </row>
    <row r="503" spans="124:124" ht="15" customHeight="1" x14ac:dyDescent="0.25">
      <c r="DT503" s="3"/>
    </row>
    <row r="504" spans="124:124" ht="15" customHeight="1" x14ac:dyDescent="0.25">
      <c r="DT504" s="3"/>
    </row>
    <row r="505" spans="124:124" ht="15" customHeight="1" x14ac:dyDescent="0.25">
      <c r="DT505" s="3"/>
    </row>
    <row r="506" spans="124:124" ht="15" customHeight="1" x14ac:dyDescent="0.25">
      <c r="DT506" s="3"/>
    </row>
    <row r="507" spans="124:124" ht="15" customHeight="1" x14ac:dyDescent="0.25">
      <c r="DT507" s="3"/>
    </row>
    <row r="508" spans="124:124" ht="15" customHeight="1" x14ac:dyDescent="0.25">
      <c r="DT508" s="3"/>
    </row>
    <row r="509" spans="124:124" ht="15" customHeight="1" x14ac:dyDescent="0.25">
      <c r="DT509" s="3"/>
    </row>
    <row r="510" spans="124:124" ht="15" customHeight="1" x14ac:dyDescent="0.25">
      <c r="DT510" s="3"/>
    </row>
    <row r="511" spans="124:124" ht="15" customHeight="1" x14ac:dyDescent="0.25">
      <c r="DT511" s="3"/>
    </row>
    <row r="512" spans="124:124" ht="15" customHeight="1" x14ac:dyDescent="0.25">
      <c r="DT512" s="3"/>
    </row>
    <row r="513" spans="124:124" ht="15" customHeight="1" x14ac:dyDescent="0.25">
      <c r="DT513" s="3"/>
    </row>
    <row r="514" spans="124:124" ht="15" customHeight="1" x14ac:dyDescent="0.25">
      <c r="DT514" s="3"/>
    </row>
    <row r="515" spans="124:124" ht="15" customHeight="1" x14ac:dyDescent="0.25">
      <c r="DT515" s="3"/>
    </row>
    <row r="516" spans="124:124" ht="15" customHeight="1" x14ac:dyDescent="0.25">
      <c r="DT516" s="3"/>
    </row>
    <row r="517" spans="124:124" ht="15" customHeight="1" x14ac:dyDescent="0.25">
      <c r="DT517" s="3"/>
    </row>
    <row r="518" spans="124:124" ht="15" customHeight="1" x14ac:dyDescent="0.25">
      <c r="DT518" s="3"/>
    </row>
    <row r="519" spans="124:124" ht="15" customHeight="1" x14ac:dyDescent="0.25">
      <c r="DT519" s="3"/>
    </row>
    <row r="520" spans="124:124" ht="15" customHeight="1" x14ac:dyDescent="0.25">
      <c r="DT520" s="3"/>
    </row>
    <row r="521" spans="124:124" ht="15" customHeight="1" x14ac:dyDescent="0.25">
      <c r="DT521" s="3"/>
    </row>
    <row r="522" spans="124:124" ht="15" customHeight="1" x14ac:dyDescent="0.25">
      <c r="DT522" s="3"/>
    </row>
    <row r="523" spans="124:124" ht="15" customHeight="1" x14ac:dyDescent="0.25">
      <c r="DT523" s="3"/>
    </row>
    <row r="524" spans="124:124" ht="15" customHeight="1" x14ac:dyDescent="0.25">
      <c r="DT524" s="3"/>
    </row>
    <row r="525" spans="124:124" ht="15" customHeight="1" x14ac:dyDescent="0.25">
      <c r="DT525" s="3"/>
    </row>
    <row r="526" spans="124:124" ht="15" customHeight="1" x14ac:dyDescent="0.25">
      <c r="DT526" s="3"/>
    </row>
    <row r="527" spans="124:124" ht="15" customHeight="1" x14ac:dyDescent="0.25">
      <c r="DT527" s="3"/>
    </row>
    <row r="528" spans="124:124" ht="15" customHeight="1" x14ac:dyDescent="0.25">
      <c r="DT528" s="3"/>
    </row>
    <row r="529" spans="124:124" ht="15" customHeight="1" x14ac:dyDescent="0.25">
      <c r="DT529" s="3"/>
    </row>
    <row r="530" spans="124:124" ht="15" customHeight="1" x14ac:dyDescent="0.25">
      <c r="DT530" s="3"/>
    </row>
    <row r="531" spans="124:124" ht="15" customHeight="1" x14ac:dyDescent="0.25">
      <c r="DT531" s="3"/>
    </row>
    <row r="532" spans="124:124" ht="15" customHeight="1" x14ac:dyDescent="0.25">
      <c r="DT532" s="3"/>
    </row>
    <row r="533" spans="124:124" ht="15" customHeight="1" x14ac:dyDescent="0.25">
      <c r="DT533" s="3"/>
    </row>
    <row r="534" spans="124:124" ht="15" customHeight="1" x14ac:dyDescent="0.25">
      <c r="DT534" s="3"/>
    </row>
    <row r="535" spans="124:124" ht="15" customHeight="1" x14ac:dyDescent="0.25">
      <c r="DT535" s="3"/>
    </row>
    <row r="536" spans="124:124" ht="15" customHeight="1" x14ac:dyDescent="0.25">
      <c r="DT536" s="3"/>
    </row>
    <row r="537" spans="124:124" ht="15" customHeight="1" x14ac:dyDescent="0.25">
      <c r="DT537" s="3"/>
    </row>
    <row r="538" spans="124:124" ht="15" customHeight="1" x14ac:dyDescent="0.25">
      <c r="DT538" s="3"/>
    </row>
    <row r="539" spans="124:124" ht="15" customHeight="1" x14ac:dyDescent="0.25">
      <c r="DT539" s="3"/>
    </row>
    <row r="540" spans="124:124" ht="15" customHeight="1" x14ac:dyDescent="0.25">
      <c r="DT540" s="3"/>
    </row>
    <row r="541" spans="124:124" ht="15" customHeight="1" x14ac:dyDescent="0.25">
      <c r="DT541" s="3"/>
    </row>
    <row r="542" spans="124:124" ht="15" customHeight="1" x14ac:dyDescent="0.25">
      <c r="DT542" s="3"/>
    </row>
    <row r="543" spans="124:124" ht="15" customHeight="1" x14ac:dyDescent="0.25">
      <c r="DT543" s="3"/>
    </row>
    <row r="544" spans="124:124" ht="15" customHeight="1" x14ac:dyDescent="0.25">
      <c r="DT544" s="3"/>
    </row>
    <row r="545" spans="124:124" ht="15" customHeight="1" x14ac:dyDescent="0.25">
      <c r="DT545" s="3"/>
    </row>
    <row r="546" spans="124:124" ht="15" customHeight="1" x14ac:dyDescent="0.25">
      <c r="DT546" s="3"/>
    </row>
    <row r="547" spans="124:124" ht="15" customHeight="1" x14ac:dyDescent="0.25">
      <c r="DT547" s="3"/>
    </row>
    <row r="548" spans="124:124" ht="15" customHeight="1" x14ac:dyDescent="0.25">
      <c r="DT548" s="3"/>
    </row>
    <row r="549" spans="124:124" ht="15" customHeight="1" x14ac:dyDescent="0.25">
      <c r="DT549" s="3"/>
    </row>
    <row r="550" spans="124:124" ht="15" customHeight="1" x14ac:dyDescent="0.25">
      <c r="DT550" s="3"/>
    </row>
    <row r="551" spans="124:124" ht="15" customHeight="1" x14ac:dyDescent="0.25">
      <c r="DT551" s="3"/>
    </row>
    <row r="552" spans="124:124" ht="15" customHeight="1" x14ac:dyDescent="0.25">
      <c r="DT552" s="3"/>
    </row>
    <row r="553" spans="124:124" ht="15" customHeight="1" x14ac:dyDescent="0.25">
      <c r="DT553" s="3"/>
    </row>
    <row r="554" spans="124:124" ht="15" customHeight="1" x14ac:dyDescent="0.25">
      <c r="DT554" s="3"/>
    </row>
    <row r="555" spans="124:124" ht="15" customHeight="1" x14ac:dyDescent="0.25">
      <c r="DT555" s="3"/>
    </row>
    <row r="556" spans="124:124" ht="15" customHeight="1" x14ac:dyDescent="0.25">
      <c r="DT556" s="3"/>
    </row>
    <row r="557" spans="124:124" ht="15" customHeight="1" x14ac:dyDescent="0.25">
      <c r="DT557" s="3"/>
    </row>
    <row r="558" spans="124:124" ht="15" customHeight="1" x14ac:dyDescent="0.25">
      <c r="DT558" s="3"/>
    </row>
    <row r="559" spans="124:124" ht="15" customHeight="1" x14ac:dyDescent="0.25">
      <c r="DT559" s="3"/>
    </row>
    <row r="560" spans="124:124" ht="15" customHeight="1" x14ac:dyDescent="0.25">
      <c r="DT560" s="3"/>
    </row>
    <row r="561" spans="124:124" ht="15" customHeight="1" x14ac:dyDescent="0.25">
      <c r="DT561" s="3"/>
    </row>
    <row r="562" spans="124:124" ht="15" customHeight="1" x14ac:dyDescent="0.25">
      <c r="DT562" s="3"/>
    </row>
    <row r="563" spans="124:124" ht="15" customHeight="1" x14ac:dyDescent="0.25">
      <c r="DT563" s="3"/>
    </row>
    <row r="564" spans="124:124" ht="15" customHeight="1" x14ac:dyDescent="0.25">
      <c r="DT564" s="3"/>
    </row>
    <row r="565" spans="124:124" ht="15" customHeight="1" x14ac:dyDescent="0.25">
      <c r="DT565" s="3"/>
    </row>
    <row r="566" spans="124:124" ht="15" customHeight="1" x14ac:dyDescent="0.25">
      <c r="DT566" s="3"/>
    </row>
    <row r="567" spans="124:124" ht="15" customHeight="1" x14ac:dyDescent="0.25">
      <c r="DT567" s="3"/>
    </row>
    <row r="568" spans="124:124" ht="15" customHeight="1" x14ac:dyDescent="0.25">
      <c r="DT568" s="3"/>
    </row>
    <row r="569" spans="124:124" ht="15" customHeight="1" x14ac:dyDescent="0.25">
      <c r="DT569" s="3"/>
    </row>
    <row r="570" spans="124:124" ht="15" customHeight="1" x14ac:dyDescent="0.25">
      <c r="DT570" s="3"/>
    </row>
    <row r="571" spans="124:124" ht="15" customHeight="1" x14ac:dyDescent="0.25">
      <c r="DT571" s="3"/>
    </row>
    <row r="572" spans="124:124" ht="15" customHeight="1" x14ac:dyDescent="0.25">
      <c r="DT572" s="3"/>
    </row>
    <row r="573" spans="124:124" ht="15" customHeight="1" x14ac:dyDescent="0.25">
      <c r="DT573" s="3"/>
    </row>
    <row r="574" spans="124:124" ht="15" customHeight="1" x14ac:dyDescent="0.25">
      <c r="DT574" s="3"/>
    </row>
    <row r="575" spans="124:124" ht="15" customHeight="1" x14ac:dyDescent="0.25">
      <c r="DT575" s="3"/>
    </row>
    <row r="576" spans="124:124" ht="15" customHeight="1" x14ac:dyDescent="0.25">
      <c r="DT576" s="3"/>
    </row>
    <row r="577" spans="124:124" ht="15" customHeight="1" x14ac:dyDescent="0.25">
      <c r="DT577" s="3"/>
    </row>
    <row r="578" spans="124:124" ht="15" customHeight="1" x14ac:dyDescent="0.25">
      <c r="DT578" s="3"/>
    </row>
    <row r="579" spans="124:124" ht="15" customHeight="1" x14ac:dyDescent="0.25">
      <c r="DT579" s="3"/>
    </row>
    <row r="580" spans="124:124" ht="15" customHeight="1" x14ac:dyDescent="0.25">
      <c r="DT580" s="3"/>
    </row>
    <row r="581" spans="124:124" ht="15" customHeight="1" x14ac:dyDescent="0.25">
      <c r="DT581" s="3"/>
    </row>
    <row r="582" spans="124:124" ht="15" customHeight="1" x14ac:dyDescent="0.25">
      <c r="DT582" s="3"/>
    </row>
    <row r="583" spans="124:124" ht="15" customHeight="1" x14ac:dyDescent="0.25">
      <c r="DT583" s="3"/>
    </row>
    <row r="584" spans="124:124" ht="15" customHeight="1" x14ac:dyDescent="0.25">
      <c r="DT584" s="3"/>
    </row>
    <row r="585" spans="124:124" ht="15" customHeight="1" x14ac:dyDescent="0.25">
      <c r="DT585" s="3"/>
    </row>
    <row r="586" spans="124:124" ht="15" customHeight="1" x14ac:dyDescent="0.25">
      <c r="DT586" s="3"/>
    </row>
    <row r="587" spans="124:124" ht="15" customHeight="1" x14ac:dyDescent="0.25">
      <c r="DT587" s="3"/>
    </row>
    <row r="588" spans="124:124" ht="15" customHeight="1" x14ac:dyDescent="0.25">
      <c r="DT588" s="3"/>
    </row>
    <row r="589" spans="124:124" ht="15" customHeight="1" x14ac:dyDescent="0.25">
      <c r="DT589" s="3"/>
    </row>
    <row r="590" spans="124:124" ht="15" customHeight="1" x14ac:dyDescent="0.25">
      <c r="DT590" s="3"/>
    </row>
    <row r="591" spans="124:124" ht="15" customHeight="1" x14ac:dyDescent="0.25">
      <c r="DT591" s="3"/>
    </row>
    <row r="592" spans="124:124" ht="15" customHeight="1" x14ac:dyDescent="0.25">
      <c r="DT592" s="3"/>
    </row>
    <row r="593" spans="124:124" ht="15" customHeight="1" x14ac:dyDescent="0.25">
      <c r="DT593" s="3"/>
    </row>
    <row r="594" spans="124:124" ht="15" customHeight="1" x14ac:dyDescent="0.25">
      <c r="DT594" s="3"/>
    </row>
    <row r="595" spans="124:124" ht="15" customHeight="1" x14ac:dyDescent="0.25">
      <c r="DT595" s="3"/>
    </row>
    <row r="596" spans="124:124" ht="15" customHeight="1" x14ac:dyDescent="0.25">
      <c r="DT596" s="3"/>
    </row>
    <row r="597" spans="124:124" ht="15" customHeight="1" x14ac:dyDescent="0.25">
      <c r="DT597" s="3"/>
    </row>
    <row r="598" spans="124:124" ht="15" customHeight="1" x14ac:dyDescent="0.25">
      <c r="DT598" s="3"/>
    </row>
    <row r="599" spans="124:124" ht="15" customHeight="1" x14ac:dyDescent="0.25">
      <c r="DT599" s="3"/>
    </row>
    <row r="600" spans="124:124" ht="15" customHeight="1" x14ac:dyDescent="0.25">
      <c r="DT600" s="3"/>
    </row>
    <row r="601" spans="124:124" ht="15" customHeight="1" x14ac:dyDescent="0.25">
      <c r="DT601" s="3"/>
    </row>
    <row r="602" spans="124:124" ht="15" customHeight="1" x14ac:dyDescent="0.25">
      <c r="DT602" s="3"/>
    </row>
    <row r="603" spans="124:124" ht="15" customHeight="1" x14ac:dyDescent="0.25">
      <c r="DT603" s="3"/>
    </row>
    <row r="604" spans="124:124" ht="15" customHeight="1" x14ac:dyDescent="0.25">
      <c r="DT604" s="3"/>
    </row>
    <row r="605" spans="124:124" ht="15" customHeight="1" x14ac:dyDescent="0.25">
      <c r="DT605" s="3"/>
    </row>
    <row r="606" spans="124:124" ht="15" customHeight="1" x14ac:dyDescent="0.25">
      <c r="DT606" s="3"/>
    </row>
    <row r="607" spans="124:124" ht="15" customHeight="1" x14ac:dyDescent="0.25">
      <c r="DT607" s="3"/>
    </row>
    <row r="608" spans="124:124" ht="15" customHeight="1" x14ac:dyDescent="0.25">
      <c r="DT608" s="3"/>
    </row>
    <row r="609" spans="124:124" ht="15" customHeight="1" x14ac:dyDescent="0.25">
      <c r="DT609" s="3"/>
    </row>
    <row r="610" spans="124:124" ht="15" customHeight="1" x14ac:dyDescent="0.25">
      <c r="DT610" s="3"/>
    </row>
    <row r="611" spans="124:124" ht="15" customHeight="1" x14ac:dyDescent="0.25">
      <c r="DT611" s="3"/>
    </row>
    <row r="612" spans="124:124" ht="15" customHeight="1" x14ac:dyDescent="0.25">
      <c r="DT612" s="3"/>
    </row>
    <row r="613" spans="124:124" ht="15" customHeight="1" x14ac:dyDescent="0.25">
      <c r="DT613" s="3"/>
    </row>
    <row r="614" spans="124:124" ht="15" customHeight="1" x14ac:dyDescent="0.25">
      <c r="DT614" s="3"/>
    </row>
    <row r="615" spans="124:124" ht="15" customHeight="1" x14ac:dyDescent="0.25">
      <c r="DT615" s="3"/>
    </row>
    <row r="616" spans="124:124" ht="15" customHeight="1" x14ac:dyDescent="0.25">
      <c r="DT616" s="3"/>
    </row>
    <row r="617" spans="124:124" ht="15" customHeight="1" x14ac:dyDescent="0.25">
      <c r="DT617" s="3"/>
    </row>
    <row r="618" spans="124:124" ht="15" customHeight="1" x14ac:dyDescent="0.25">
      <c r="DT618" s="3"/>
    </row>
    <row r="619" spans="124:124" ht="15" customHeight="1" x14ac:dyDescent="0.25">
      <c r="DT619" s="3"/>
    </row>
    <row r="620" spans="124:124" ht="15" customHeight="1" x14ac:dyDescent="0.25">
      <c r="DT620" s="3"/>
    </row>
    <row r="621" spans="124:124" ht="15" customHeight="1" x14ac:dyDescent="0.25">
      <c r="DT621" s="3"/>
    </row>
    <row r="622" spans="124:124" ht="15" customHeight="1" x14ac:dyDescent="0.25">
      <c r="DT622" s="3"/>
    </row>
    <row r="623" spans="124:124" ht="15" customHeight="1" x14ac:dyDescent="0.25">
      <c r="DT623" s="3"/>
    </row>
    <row r="624" spans="124:124" ht="15" customHeight="1" x14ac:dyDescent="0.25">
      <c r="DT624" s="3"/>
    </row>
    <row r="625" spans="124:124" ht="15" customHeight="1" x14ac:dyDescent="0.25">
      <c r="DT625" s="3"/>
    </row>
    <row r="626" spans="124:124" ht="15" customHeight="1" x14ac:dyDescent="0.25">
      <c r="DT626" s="3"/>
    </row>
    <row r="627" spans="124:124" ht="15" customHeight="1" x14ac:dyDescent="0.25">
      <c r="DT627" s="3"/>
    </row>
    <row r="628" spans="124:124" ht="15" customHeight="1" x14ac:dyDescent="0.25">
      <c r="DT628" s="3"/>
    </row>
    <row r="629" spans="124:124" ht="15" customHeight="1" x14ac:dyDescent="0.25">
      <c r="DT629" s="3"/>
    </row>
    <row r="630" spans="124:124" ht="15" customHeight="1" x14ac:dyDescent="0.25">
      <c r="DT630" s="3"/>
    </row>
    <row r="631" spans="124:124" ht="15" customHeight="1" x14ac:dyDescent="0.25">
      <c r="DT631" s="3"/>
    </row>
    <row r="632" spans="124:124" ht="15" customHeight="1" x14ac:dyDescent="0.25">
      <c r="DT632" s="3"/>
    </row>
    <row r="633" spans="124:124" ht="15" customHeight="1" x14ac:dyDescent="0.25">
      <c r="DT633" s="3"/>
    </row>
    <row r="634" spans="124:124" ht="15" customHeight="1" x14ac:dyDescent="0.25">
      <c r="DT634" s="3"/>
    </row>
    <row r="635" spans="124:124" ht="15" customHeight="1" x14ac:dyDescent="0.25">
      <c r="DT635" s="3"/>
    </row>
    <row r="636" spans="124:124" ht="15" customHeight="1" x14ac:dyDescent="0.25">
      <c r="DT636" s="3"/>
    </row>
    <row r="637" spans="124:124" ht="15" customHeight="1" x14ac:dyDescent="0.25">
      <c r="DT637" s="3"/>
    </row>
    <row r="638" spans="124:124" ht="15" customHeight="1" x14ac:dyDescent="0.25">
      <c r="DT638" s="3"/>
    </row>
    <row r="639" spans="124:124" ht="15" customHeight="1" x14ac:dyDescent="0.25">
      <c r="DT639" s="3"/>
    </row>
    <row r="640" spans="124:124" ht="15" customHeight="1" x14ac:dyDescent="0.25">
      <c r="DT640" s="3"/>
    </row>
    <row r="641" spans="124:124" ht="15" customHeight="1" x14ac:dyDescent="0.25">
      <c r="DT641" s="3"/>
    </row>
    <row r="642" spans="124:124" ht="15" customHeight="1" x14ac:dyDescent="0.25">
      <c r="DT642" s="3"/>
    </row>
    <row r="643" spans="124:124" ht="15" customHeight="1" x14ac:dyDescent="0.25">
      <c r="DT643" s="3"/>
    </row>
    <row r="644" spans="124:124" ht="15" customHeight="1" x14ac:dyDescent="0.25">
      <c r="DT644" s="3"/>
    </row>
    <row r="645" spans="124:124" ht="15" customHeight="1" x14ac:dyDescent="0.25">
      <c r="DT645" s="3"/>
    </row>
    <row r="646" spans="124:124" ht="15" customHeight="1" x14ac:dyDescent="0.25">
      <c r="DT646" s="3"/>
    </row>
    <row r="647" spans="124:124" ht="15" customHeight="1" x14ac:dyDescent="0.25">
      <c r="DT647" s="3"/>
    </row>
    <row r="648" spans="124:124" ht="15" customHeight="1" x14ac:dyDescent="0.25">
      <c r="DT648" s="3"/>
    </row>
    <row r="649" spans="124:124" ht="15" customHeight="1" x14ac:dyDescent="0.25">
      <c r="DT649" s="3"/>
    </row>
    <row r="650" spans="124:124" ht="15" customHeight="1" x14ac:dyDescent="0.25">
      <c r="DT650" s="3"/>
    </row>
    <row r="651" spans="124:124" ht="15" customHeight="1" x14ac:dyDescent="0.25">
      <c r="DT651" s="3"/>
    </row>
    <row r="652" spans="124:124" ht="15" customHeight="1" x14ac:dyDescent="0.25">
      <c r="DT652" s="3"/>
    </row>
    <row r="653" spans="124:124" ht="15" customHeight="1" x14ac:dyDescent="0.25">
      <c r="DT653" s="3"/>
    </row>
    <row r="654" spans="124:124" ht="15" customHeight="1" x14ac:dyDescent="0.25">
      <c r="DT654" s="3"/>
    </row>
    <row r="655" spans="124:124" ht="15" customHeight="1" x14ac:dyDescent="0.25">
      <c r="DT655" s="3"/>
    </row>
    <row r="656" spans="124:124" ht="15" customHeight="1" x14ac:dyDescent="0.25">
      <c r="DT656" s="3"/>
    </row>
    <row r="657" spans="124:124" ht="15" customHeight="1" x14ac:dyDescent="0.25">
      <c r="DT657" s="3"/>
    </row>
    <row r="658" spans="124:124" ht="15" customHeight="1" x14ac:dyDescent="0.25">
      <c r="DT658" s="3"/>
    </row>
    <row r="659" spans="124:124" ht="15" customHeight="1" x14ac:dyDescent="0.25">
      <c r="DT659" s="3"/>
    </row>
    <row r="660" spans="124:124" ht="15" customHeight="1" x14ac:dyDescent="0.25">
      <c r="DT660" s="3"/>
    </row>
    <row r="661" spans="124:124" ht="15" customHeight="1" x14ac:dyDescent="0.25">
      <c r="DT661" s="3"/>
    </row>
    <row r="662" spans="124:124" ht="15" customHeight="1" x14ac:dyDescent="0.25">
      <c r="DT662" s="3"/>
    </row>
    <row r="663" spans="124:124" ht="15" customHeight="1" x14ac:dyDescent="0.25">
      <c r="DT663" s="3"/>
    </row>
    <row r="664" spans="124:124" ht="15" customHeight="1" x14ac:dyDescent="0.25">
      <c r="DT664" s="3"/>
    </row>
    <row r="665" spans="124:124" ht="15" customHeight="1" x14ac:dyDescent="0.25">
      <c r="DT665" s="3"/>
    </row>
    <row r="666" spans="124:124" ht="15" customHeight="1" x14ac:dyDescent="0.25">
      <c r="DT666" s="3"/>
    </row>
    <row r="667" spans="124:124" ht="15" customHeight="1" x14ac:dyDescent="0.25">
      <c r="DT667" s="3"/>
    </row>
    <row r="668" spans="124:124" ht="15" customHeight="1" x14ac:dyDescent="0.25">
      <c r="DT668" s="3"/>
    </row>
    <row r="669" spans="124:124" ht="15" customHeight="1" x14ac:dyDescent="0.25">
      <c r="DT669" s="3"/>
    </row>
    <row r="670" spans="124:124" ht="15" customHeight="1" x14ac:dyDescent="0.25">
      <c r="DT670" s="3"/>
    </row>
    <row r="671" spans="124:124" ht="15" customHeight="1" x14ac:dyDescent="0.25">
      <c r="DT671" s="3"/>
    </row>
    <row r="672" spans="124:124" ht="15" customHeight="1" x14ac:dyDescent="0.25">
      <c r="DT672" s="3"/>
    </row>
    <row r="673" spans="124:124" ht="15" customHeight="1" x14ac:dyDescent="0.25">
      <c r="DT673" s="3"/>
    </row>
    <row r="674" spans="124:124" ht="15" customHeight="1" x14ac:dyDescent="0.25">
      <c r="DT674" s="3"/>
    </row>
    <row r="675" spans="124:124" ht="15" customHeight="1" x14ac:dyDescent="0.25">
      <c r="DT675" s="3"/>
    </row>
    <row r="676" spans="124:124" ht="15" customHeight="1" x14ac:dyDescent="0.25">
      <c r="DT676" s="3"/>
    </row>
    <row r="677" spans="124:124" ht="15" customHeight="1" x14ac:dyDescent="0.25">
      <c r="DT677" s="3"/>
    </row>
    <row r="678" spans="124:124" ht="15" customHeight="1" x14ac:dyDescent="0.25">
      <c r="DT678" s="3"/>
    </row>
    <row r="679" spans="124:124" ht="15" customHeight="1" x14ac:dyDescent="0.25">
      <c r="DT679" s="3"/>
    </row>
    <row r="680" spans="124:124" ht="15" customHeight="1" x14ac:dyDescent="0.25">
      <c r="DT680" s="3"/>
    </row>
    <row r="681" spans="124:124" ht="15" customHeight="1" x14ac:dyDescent="0.25">
      <c r="DT681" s="3"/>
    </row>
    <row r="682" spans="124:124" ht="15" customHeight="1" x14ac:dyDescent="0.25">
      <c r="DT682" s="3"/>
    </row>
    <row r="683" spans="124:124" ht="15" customHeight="1" x14ac:dyDescent="0.25">
      <c r="DT683" s="3"/>
    </row>
    <row r="684" spans="124:124" ht="15" customHeight="1" x14ac:dyDescent="0.25">
      <c r="DT684" s="3"/>
    </row>
    <row r="685" spans="124:124" ht="15" customHeight="1" x14ac:dyDescent="0.25">
      <c r="DT685" s="3"/>
    </row>
    <row r="686" spans="124:124" ht="15" customHeight="1" x14ac:dyDescent="0.25">
      <c r="DT686" s="3"/>
    </row>
    <row r="687" spans="124:124" ht="15" customHeight="1" x14ac:dyDescent="0.25">
      <c r="DT687" s="3"/>
    </row>
    <row r="688" spans="124:124" ht="15" customHeight="1" x14ac:dyDescent="0.25">
      <c r="DT688" s="3"/>
    </row>
    <row r="689" spans="124:124" ht="15" customHeight="1" x14ac:dyDescent="0.25">
      <c r="DT689" s="3"/>
    </row>
    <row r="690" spans="124:124" ht="15" customHeight="1" x14ac:dyDescent="0.25">
      <c r="DT690" s="3"/>
    </row>
    <row r="691" spans="124:124" ht="15" customHeight="1" x14ac:dyDescent="0.25">
      <c r="DT691" s="3"/>
    </row>
    <row r="692" spans="124:124" ht="15" customHeight="1" x14ac:dyDescent="0.25">
      <c r="DT692" s="3"/>
    </row>
    <row r="693" spans="124:124" ht="15" customHeight="1" x14ac:dyDescent="0.25">
      <c r="DT693" s="3"/>
    </row>
    <row r="694" spans="124:124" ht="15" customHeight="1" x14ac:dyDescent="0.25">
      <c r="DT694" s="3"/>
    </row>
    <row r="695" spans="124:124" ht="15" customHeight="1" x14ac:dyDescent="0.25">
      <c r="DT695" s="3"/>
    </row>
    <row r="696" spans="124:124" ht="15" customHeight="1" x14ac:dyDescent="0.25">
      <c r="DT696" s="3"/>
    </row>
    <row r="697" spans="124:124" ht="15" customHeight="1" x14ac:dyDescent="0.25">
      <c r="DT697" s="3"/>
    </row>
    <row r="698" spans="124:124" ht="15" customHeight="1" x14ac:dyDescent="0.25">
      <c r="DT698" s="3"/>
    </row>
    <row r="699" spans="124:124" ht="15" customHeight="1" x14ac:dyDescent="0.25">
      <c r="DT699" s="3"/>
    </row>
    <row r="700" spans="124:124" ht="15" customHeight="1" x14ac:dyDescent="0.25">
      <c r="DT700" s="3"/>
    </row>
    <row r="701" spans="124:124" ht="15" customHeight="1" x14ac:dyDescent="0.25">
      <c r="DT701" s="3"/>
    </row>
    <row r="702" spans="124:124" ht="15" customHeight="1" x14ac:dyDescent="0.25">
      <c r="DT702" s="3"/>
    </row>
    <row r="703" spans="124:124" ht="15" customHeight="1" x14ac:dyDescent="0.25">
      <c r="DT703" s="3"/>
    </row>
    <row r="704" spans="124:124" ht="15" customHeight="1" x14ac:dyDescent="0.25">
      <c r="DT704" s="3"/>
    </row>
    <row r="705" spans="124:124" ht="15" customHeight="1" x14ac:dyDescent="0.25">
      <c r="DT705" s="3"/>
    </row>
    <row r="706" spans="124:124" ht="15" customHeight="1" x14ac:dyDescent="0.25">
      <c r="DT706" s="3"/>
    </row>
    <row r="707" spans="124:124" ht="15" customHeight="1" x14ac:dyDescent="0.25">
      <c r="DT707" s="3"/>
    </row>
    <row r="708" spans="124:124" ht="15" customHeight="1" x14ac:dyDescent="0.25">
      <c r="DT708" s="3"/>
    </row>
    <row r="709" spans="124:124" ht="15" customHeight="1" x14ac:dyDescent="0.25">
      <c r="DT709" s="3"/>
    </row>
    <row r="710" spans="124:124" ht="15" customHeight="1" x14ac:dyDescent="0.25">
      <c r="DT710" s="3"/>
    </row>
    <row r="711" spans="124:124" ht="15" customHeight="1" x14ac:dyDescent="0.25">
      <c r="DT711" s="3"/>
    </row>
    <row r="712" spans="124:124" ht="15" customHeight="1" x14ac:dyDescent="0.25">
      <c r="DT712" s="3"/>
    </row>
    <row r="713" spans="124:124" ht="15" customHeight="1" x14ac:dyDescent="0.25">
      <c r="DT713" s="3"/>
    </row>
    <row r="714" spans="124:124" ht="15" customHeight="1" x14ac:dyDescent="0.25">
      <c r="DT714" s="3"/>
    </row>
    <row r="715" spans="124:124" ht="15" customHeight="1" x14ac:dyDescent="0.25">
      <c r="DT715" s="3"/>
    </row>
    <row r="716" spans="124:124" ht="15" customHeight="1" x14ac:dyDescent="0.25">
      <c r="DT716" s="3"/>
    </row>
    <row r="717" spans="124:124" ht="15" customHeight="1" x14ac:dyDescent="0.25">
      <c r="DT717" s="3"/>
    </row>
    <row r="718" spans="124:124" ht="15" customHeight="1" x14ac:dyDescent="0.25">
      <c r="DT718" s="3"/>
    </row>
    <row r="719" spans="124:124" ht="15" customHeight="1" x14ac:dyDescent="0.25">
      <c r="DT719" s="3"/>
    </row>
    <row r="720" spans="124:124" ht="15" customHeight="1" x14ac:dyDescent="0.25">
      <c r="DT720" s="3"/>
    </row>
    <row r="721" spans="124:124" ht="15" customHeight="1" x14ac:dyDescent="0.25">
      <c r="DT721" s="3"/>
    </row>
    <row r="722" spans="124:124" ht="15" customHeight="1" x14ac:dyDescent="0.25">
      <c r="DT722" s="3"/>
    </row>
    <row r="723" spans="124:124" ht="15" customHeight="1" x14ac:dyDescent="0.25">
      <c r="DT723" s="3"/>
    </row>
    <row r="724" spans="124:124" ht="15" customHeight="1" x14ac:dyDescent="0.25">
      <c r="DT724" s="3"/>
    </row>
    <row r="725" spans="124:124" ht="15" customHeight="1" x14ac:dyDescent="0.25">
      <c r="DT725" s="3"/>
    </row>
    <row r="726" spans="124:124" ht="15" customHeight="1" x14ac:dyDescent="0.25">
      <c r="DT726" s="3"/>
    </row>
    <row r="727" spans="124:124" ht="15" customHeight="1" x14ac:dyDescent="0.25">
      <c r="DT727" s="3"/>
    </row>
    <row r="728" spans="124:124" ht="15" customHeight="1" x14ac:dyDescent="0.25">
      <c r="DT728" s="3"/>
    </row>
    <row r="729" spans="124:124" ht="15" customHeight="1" x14ac:dyDescent="0.25">
      <c r="DT729" s="3"/>
    </row>
    <row r="730" spans="124:124" ht="15" customHeight="1" x14ac:dyDescent="0.25">
      <c r="DT730" s="3"/>
    </row>
    <row r="731" spans="124:124" ht="15" customHeight="1" x14ac:dyDescent="0.25">
      <c r="DT731" s="3"/>
    </row>
    <row r="732" spans="124:124" ht="15" customHeight="1" x14ac:dyDescent="0.25">
      <c r="DT732" s="3"/>
    </row>
    <row r="733" spans="124:124" ht="15" customHeight="1" x14ac:dyDescent="0.25">
      <c r="DT733" s="3"/>
    </row>
    <row r="734" spans="124:124" ht="15" customHeight="1" x14ac:dyDescent="0.25">
      <c r="DT734" s="3"/>
    </row>
    <row r="735" spans="124:124" ht="15" customHeight="1" x14ac:dyDescent="0.25">
      <c r="DT735" s="3"/>
    </row>
    <row r="736" spans="124:124" ht="15" customHeight="1" x14ac:dyDescent="0.25">
      <c r="DT736" s="3"/>
    </row>
    <row r="737" spans="124:124" ht="15" customHeight="1" x14ac:dyDescent="0.25">
      <c r="DT737" s="3"/>
    </row>
    <row r="738" spans="124:124" ht="15" customHeight="1" x14ac:dyDescent="0.25">
      <c r="DT738" s="3"/>
    </row>
    <row r="739" spans="124:124" ht="15" customHeight="1" x14ac:dyDescent="0.25">
      <c r="DT739" s="3"/>
    </row>
    <row r="740" spans="124:124" ht="15" customHeight="1" x14ac:dyDescent="0.25">
      <c r="DT740" s="3"/>
    </row>
    <row r="741" spans="124:124" ht="15" customHeight="1" x14ac:dyDescent="0.25">
      <c r="DT741" s="3"/>
    </row>
    <row r="742" spans="124:124" ht="15" customHeight="1" x14ac:dyDescent="0.25">
      <c r="DT742" s="3"/>
    </row>
    <row r="743" spans="124:124" ht="15" customHeight="1" x14ac:dyDescent="0.25">
      <c r="DT743" s="3"/>
    </row>
    <row r="744" spans="124:124" ht="15" customHeight="1" x14ac:dyDescent="0.25">
      <c r="DT744" s="3"/>
    </row>
    <row r="745" spans="124:124" ht="15" customHeight="1" x14ac:dyDescent="0.25">
      <c r="DT745" s="3"/>
    </row>
    <row r="746" spans="124:124" ht="15" customHeight="1" x14ac:dyDescent="0.25">
      <c r="DT746" s="3"/>
    </row>
    <row r="747" spans="124:124" ht="15" customHeight="1" x14ac:dyDescent="0.25">
      <c r="DT747" s="3"/>
    </row>
    <row r="748" spans="124:124" ht="15" customHeight="1" x14ac:dyDescent="0.25">
      <c r="DT748" s="3"/>
    </row>
    <row r="749" spans="124:124" ht="15" customHeight="1" x14ac:dyDescent="0.25">
      <c r="DT749" s="3"/>
    </row>
    <row r="750" spans="124:124" ht="15" customHeight="1" x14ac:dyDescent="0.25">
      <c r="DT750" s="3"/>
    </row>
    <row r="751" spans="124:124" ht="15" customHeight="1" x14ac:dyDescent="0.25">
      <c r="DT751" s="3"/>
    </row>
    <row r="752" spans="124:124" ht="15" customHeight="1" x14ac:dyDescent="0.25">
      <c r="DT752" s="3"/>
    </row>
    <row r="753" spans="124:124" ht="15" customHeight="1" x14ac:dyDescent="0.25">
      <c r="DT753" s="3"/>
    </row>
    <row r="754" spans="124:124" ht="15" customHeight="1" x14ac:dyDescent="0.25">
      <c r="DT754" s="3"/>
    </row>
    <row r="755" spans="124:124" ht="15" customHeight="1" x14ac:dyDescent="0.25">
      <c r="DT755" s="3"/>
    </row>
    <row r="756" spans="124:124" ht="15" customHeight="1" x14ac:dyDescent="0.25">
      <c r="DT756" s="3"/>
    </row>
    <row r="757" spans="124:124" ht="15" customHeight="1" x14ac:dyDescent="0.25">
      <c r="DT757" s="3"/>
    </row>
    <row r="758" spans="124:124" ht="15" customHeight="1" x14ac:dyDescent="0.25">
      <c r="DT758" s="3"/>
    </row>
    <row r="759" spans="124:124" ht="15" customHeight="1" x14ac:dyDescent="0.25">
      <c r="DT759" s="3"/>
    </row>
    <row r="760" spans="124:124" ht="15" customHeight="1" x14ac:dyDescent="0.25">
      <c r="DT760" s="3"/>
    </row>
    <row r="761" spans="124:124" ht="15" customHeight="1" x14ac:dyDescent="0.25">
      <c r="DT761" s="3"/>
    </row>
    <row r="762" spans="124:124" ht="15" customHeight="1" x14ac:dyDescent="0.25">
      <c r="DT762" s="3"/>
    </row>
    <row r="763" spans="124:124" ht="15" customHeight="1" x14ac:dyDescent="0.25">
      <c r="DT763" s="3"/>
    </row>
    <row r="764" spans="124:124" ht="15" customHeight="1" x14ac:dyDescent="0.25">
      <c r="DT764" s="3"/>
    </row>
    <row r="765" spans="124:124" ht="15" customHeight="1" x14ac:dyDescent="0.25">
      <c r="DT765" s="3"/>
    </row>
    <row r="766" spans="124:124" ht="15" customHeight="1" x14ac:dyDescent="0.25">
      <c r="DT766" s="3"/>
    </row>
    <row r="767" spans="124:124" ht="15" customHeight="1" x14ac:dyDescent="0.25">
      <c r="DT767" s="3"/>
    </row>
    <row r="768" spans="124:124" ht="15" customHeight="1" x14ac:dyDescent="0.25">
      <c r="DT768" s="3"/>
    </row>
    <row r="769" spans="124:124" ht="15" customHeight="1" x14ac:dyDescent="0.25">
      <c r="DT769" s="3"/>
    </row>
    <row r="770" spans="124:124" ht="15" customHeight="1" x14ac:dyDescent="0.25">
      <c r="DT770" s="3"/>
    </row>
    <row r="771" spans="124:124" ht="15" customHeight="1" x14ac:dyDescent="0.25">
      <c r="DT771" s="3"/>
    </row>
    <row r="772" spans="124:124" ht="15" customHeight="1" x14ac:dyDescent="0.25">
      <c r="DT772" s="3"/>
    </row>
    <row r="773" spans="124:124" ht="15" customHeight="1" x14ac:dyDescent="0.25">
      <c r="DT773" s="3"/>
    </row>
    <row r="774" spans="124:124" ht="15" customHeight="1" x14ac:dyDescent="0.25">
      <c r="DT774" s="3"/>
    </row>
    <row r="775" spans="124:124" ht="15" customHeight="1" x14ac:dyDescent="0.25">
      <c r="DT775" s="3"/>
    </row>
    <row r="776" spans="124:124" ht="15" customHeight="1" x14ac:dyDescent="0.25">
      <c r="DT776" s="3"/>
    </row>
    <row r="777" spans="124:124" ht="15" customHeight="1" x14ac:dyDescent="0.25">
      <c r="DT777" s="3"/>
    </row>
    <row r="778" spans="124:124" ht="15" customHeight="1" x14ac:dyDescent="0.25">
      <c r="DT778" s="3"/>
    </row>
    <row r="779" spans="124:124" ht="15" customHeight="1" x14ac:dyDescent="0.25">
      <c r="DT779" s="3"/>
    </row>
    <row r="780" spans="124:124" ht="15" customHeight="1" x14ac:dyDescent="0.25">
      <c r="DT780" s="3"/>
    </row>
    <row r="781" spans="124:124" ht="15" customHeight="1" x14ac:dyDescent="0.25">
      <c r="DT781" s="3"/>
    </row>
    <row r="782" spans="124:124" ht="15" customHeight="1" x14ac:dyDescent="0.25">
      <c r="DT782" s="3"/>
    </row>
    <row r="783" spans="124:124" ht="15" customHeight="1" x14ac:dyDescent="0.25">
      <c r="DT783" s="3"/>
    </row>
    <row r="784" spans="124:124" ht="15" customHeight="1" x14ac:dyDescent="0.25">
      <c r="DT784" s="3"/>
    </row>
    <row r="785" spans="124:124" ht="15" customHeight="1" x14ac:dyDescent="0.25">
      <c r="DT785" s="3"/>
    </row>
    <row r="786" spans="124:124" ht="15" customHeight="1" x14ac:dyDescent="0.25">
      <c r="DT786" s="3"/>
    </row>
    <row r="787" spans="124:124" ht="15" customHeight="1" x14ac:dyDescent="0.25">
      <c r="DT787" s="3"/>
    </row>
    <row r="788" spans="124:124" ht="15" customHeight="1" x14ac:dyDescent="0.25">
      <c r="DT788" s="3"/>
    </row>
    <row r="789" spans="124:124" ht="15" customHeight="1" x14ac:dyDescent="0.25">
      <c r="DT789" s="3"/>
    </row>
    <row r="790" spans="124:124" ht="15" customHeight="1" x14ac:dyDescent="0.25">
      <c r="DT790" s="3"/>
    </row>
    <row r="791" spans="124:124" ht="15" customHeight="1" x14ac:dyDescent="0.25">
      <c r="DT791" s="3"/>
    </row>
    <row r="792" spans="124:124" ht="15" customHeight="1" x14ac:dyDescent="0.25">
      <c r="DT792" s="3"/>
    </row>
    <row r="793" spans="124:124" ht="15" customHeight="1" x14ac:dyDescent="0.25">
      <c r="DT793" s="3"/>
    </row>
    <row r="794" spans="124:124" ht="15" customHeight="1" x14ac:dyDescent="0.25">
      <c r="DT794" s="3"/>
    </row>
    <row r="795" spans="124:124" ht="15" customHeight="1" x14ac:dyDescent="0.25">
      <c r="DT795" s="3"/>
    </row>
    <row r="796" spans="124:124" ht="15" customHeight="1" x14ac:dyDescent="0.25">
      <c r="DT796" s="3"/>
    </row>
    <row r="797" spans="124:124" ht="15" customHeight="1" x14ac:dyDescent="0.25">
      <c r="DT797" s="3"/>
    </row>
    <row r="798" spans="124:124" ht="15" customHeight="1" x14ac:dyDescent="0.25">
      <c r="DT798" s="3"/>
    </row>
    <row r="799" spans="124:124" ht="15" customHeight="1" x14ac:dyDescent="0.25">
      <c r="DT799" s="3"/>
    </row>
    <row r="800" spans="124:124" ht="15" customHeight="1" x14ac:dyDescent="0.25">
      <c r="DT800" s="3"/>
    </row>
    <row r="801" spans="124:124" ht="15" customHeight="1" x14ac:dyDescent="0.25">
      <c r="DT801" s="3"/>
    </row>
    <row r="802" spans="124:124" ht="15" customHeight="1" x14ac:dyDescent="0.25">
      <c r="DT802" s="3"/>
    </row>
    <row r="803" spans="124:124" ht="15" customHeight="1" x14ac:dyDescent="0.25">
      <c r="DT803" s="3"/>
    </row>
    <row r="804" spans="124:124" ht="15" customHeight="1" x14ac:dyDescent="0.25">
      <c r="DT804" s="3"/>
    </row>
    <row r="805" spans="124:124" ht="15" customHeight="1" x14ac:dyDescent="0.25">
      <c r="DT805" s="3"/>
    </row>
    <row r="806" spans="124:124" ht="15" customHeight="1" x14ac:dyDescent="0.25">
      <c r="DT806" s="3"/>
    </row>
    <row r="807" spans="124:124" ht="15" customHeight="1" x14ac:dyDescent="0.25">
      <c r="DT807" s="3"/>
    </row>
    <row r="808" spans="124:124" ht="15" customHeight="1" x14ac:dyDescent="0.25">
      <c r="DT808" s="3"/>
    </row>
    <row r="809" spans="124:124" ht="15" customHeight="1" x14ac:dyDescent="0.25">
      <c r="DT809" s="3"/>
    </row>
    <row r="810" spans="124:124" ht="15" customHeight="1" x14ac:dyDescent="0.25">
      <c r="DT810" s="3"/>
    </row>
    <row r="811" spans="124:124" ht="15" customHeight="1" x14ac:dyDescent="0.25">
      <c r="DT811" s="3"/>
    </row>
    <row r="812" spans="124:124" ht="15" customHeight="1" x14ac:dyDescent="0.25">
      <c r="DT812" s="3"/>
    </row>
    <row r="813" spans="124:124" ht="15" customHeight="1" x14ac:dyDescent="0.25">
      <c r="DT813" s="3"/>
    </row>
    <row r="814" spans="124:124" ht="15" customHeight="1" x14ac:dyDescent="0.25">
      <c r="DT814" s="3"/>
    </row>
    <row r="815" spans="124:124" ht="15" customHeight="1" x14ac:dyDescent="0.25">
      <c r="DT815" s="3"/>
    </row>
    <row r="816" spans="124:124" ht="15" customHeight="1" x14ac:dyDescent="0.25">
      <c r="DT816" s="3"/>
    </row>
    <row r="817" spans="124:124" ht="15" customHeight="1" x14ac:dyDescent="0.25">
      <c r="DT817" s="3"/>
    </row>
    <row r="818" spans="124:124" ht="15" customHeight="1" x14ac:dyDescent="0.25">
      <c r="DT818" s="3"/>
    </row>
    <row r="819" spans="124:124" ht="15" customHeight="1" x14ac:dyDescent="0.25">
      <c r="DT819" s="3"/>
    </row>
    <row r="820" spans="124:124" ht="15" customHeight="1" x14ac:dyDescent="0.25">
      <c r="DT820" s="3"/>
    </row>
    <row r="821" spans="124:124" ht="15" customHeight="1" x14ac:dyDescent="0.25">
      <c r="DT821" s="3"/>
    </row>
    <row r="822" spans="124:124" ht="15" customHeight="1" x14ac:dyDescent="0.25">
      <c r="DT822" s="3"/>
    </row>
    <row r="823" spans="124:124" ht="15" customHeight="1" x14ac:dyDescent="0.25">
      <c r="DT823" s="3"/>
    </row>
    <row r="824" spans="124:124" ht="15" customHeight="1" x14ac:dyDescent="0.25">
      <c r="DT824" s="3"/>
    </row>
    <row r="825" spans="124:124" ht="15" customHeight="1" x14ac:dyDescent="0.25">
      <c r="DT825" s="3"/>
    </row>
    <row r="826" spans="124:124" ht="15" customHeight="1" x14ac:dyDescent="0.25">
      <c r="DT826" s="3"/>
    </row>
    <row r="827" spans="124:124" ht="15" customHeight="1" x14ac:dyDescent="0.25">
      <c r="DT827" s="3"/>
    </row>
    <row r="828" spans="124:124" ht="15" customHeight="1" x14ac:dyDescent="0.25">
      <c r="DT828" s="3"/>
    </row>
    <row r="829" spans="124:124" ht="15" customHeight="1" x14ac:dyDescent="0.25">
      <c r="DT829" s="3"/>
    </row>
    <row r="830" spans="124:124" ht="15" customHeight="1" x14ac:dyDescent="0.25">
      <c r="DT830" s="3"/>
    </row>
    <row r="831" spans="124:124" ht="15" customHeight="1" x14ac:dyDescent="0.25">
      <c r="DT831" s="3"/>
    </row>
    <row r="832" spans="124:124" ht="15" customHeight="1" x14ac:dyDescent="0.25">
      <c r="DT832" s="3"/>
    </row>
    <row r="833" spans="124:124" ht="15" customHeight="1" x14ac:dyDescent="0.25">
      <c r="DT833" s="3"/>
    </row>
    <row r="834" spans="124:124" ht="15" customHeight="1" x14ac:dyDescent="0.25">
      <c r="DT834" s="3"/>
    </row>
    <row r="835" spans="124:124" ht="15" customHeight="1" x14ac:dyDescent="0.25">
      <c r="DT835" s="3"/>
    </row>
    <row r="836" spans="124:124" ht="15" customHeight="1" x14ac:dyDescent="0.25">
      <c r="DT836" s="3"/>
    </row>
    <row r="837" spans="124:124" ht="15" customHeight="1" x14ac:dyDescent="0.25">
      <c r="DT837" s="3"/>
    </row>
    <row r="838" spans="124:124" ht="15" customHeight="1" x14ac:dyDescent="0.25">
      <c r="DT838" s="3"/>
    </row>
    <row r="839" spans="124:124" ht="15" customHeight="1" x14ac:dyDescent="0.25">
      <c r="DT839" s="3"/>
    </row>
    <row r="840" spans="124:124" ht="15" customHeight="1" x14ac:dyDescent="0.25">
      <c r="DT840" s="3"/>
    </row>
    <row r="841" spans="124:124" ht="15" customHeight="1" x14ac:dyDescent="0.25">
      <c r="DT841" s="3"/>
    </row>
    <row r="842" spans="124:124" ht="15" customHeight="1" x14ac:dyDescent="0.25">
      <c r="DT842" s="3"/>
    </row>
    <row r="843" spans="124:124" ht="15" customHeight="1" x14ac:dyDescent="0.25">
      <c r="DT843" s="3"/>
    </row>
    <row r="844" spans="124:124" ht="15" customHeight="1" x14ac:dyDescent="0.25">
      <c r="DT844" s="3"/>
    </row>
    <row r="845" spans="124:124" ht="15" customHeight="1" x14ac:dyDescent="0.25">
      <c r="DT845" s="3"/>
    </row>
    <row r="846" spans="124:124" ht="15" customHeight="1" x14ac:dyDescent="0.25">
      <c r="DT846" s="3"/>
    </row>
    <row r="847" spans="124:124" ht="15" customHeight="1" x14ac:dyDescent="0.25">
      <c r="DT847" s="3"/>
    </row>
    <row r="848" spans="124:124" ht="15" customHeight="1" x14ac:dyDescent="0.25">
      <c r="DT848" s="3"/>
    </row>
    <row r="849" spans="124:124" ht="15" customHeight="1" x14ac:dyDescent="0.25">
      <c r="DT849" s="3"/>
    </row>
    <row r="850" spans="124:124" ht="15" customHeight="1" x14ac:dyDescent="0.25">
      <c r="DT850" s="3"/>
    </row>
    <row r="851" spans="124:124" ht="15" customHeight="1" x14ac:dyDescent="0.25">
      <c r="DT851" s="3"/>
    </row>
    <row r="852" spans="124:124" ht="15" customHeight="1" x14ac:dyDescent="0.25">
      <c r="DT852" s="3"/>
    </row>
    <row r="853" spans="124:124" ht="15" customHeight="1" x14ac:dyDescent="0.25">
      <c r="DT853" s="3"/>
    </row>
    <row r="854" spans="124:124" ht="15" customHeight="1" x14ac:dyDescent="0.25">
      <c r="DT854" s="3"/>
    </row>
    <row r="855" spans="124:124" ht="15" customHeight="1" x14ac:dyDescent="0.25">
      <c r="DT855" s="3"/>
    </row>
    <row r="856" spans="124:124" ht="15" customHeight="1" x14ac:dyDescent="0.25">
      <c r="DT856" s="3"/>
    </row>
    <row r="857" spans="124:124" ht="15" customHeight="1" x14ac:dyDescent="0.25">
      <c r="DT857" s="3"/>
    </row>
    <row r="858" spans="124:124" ht="15" customHeight="1" x14ac:dyDescent="0.25">
      <c r="DT858" s="3"/>
    </row>
    <row r="859" spans="124:124" ht="15" customHeight="1" x14ac:dyDescent="0.25">
      <c r="DT859" s="3"/>
    </row>
    <row r="860" spans="124:124" ht="15" customHeight="1" x14ac:dyDescent="0.25">
      <c r="DT860" s="3"/>
    </row>
    <row r="861" spans="124:124" ht="15" customHeight="1" x14ac:dyDescent="0.25">
      <c r="DT861" s="3"/>
    </row>
    <row r="862" spans="124:124" ht="15" customHeight="1" x14ac:dyDescent="0.25">
      <c r="DT862" s="3"/>
    </row>
    <row r="863" spans="124:124" ht="15" customHeight="1" x14ac:dyDescent="0.25">
      <c r="DT863" s="3"/>
    </row>
    <row r="864" spans="124:124" ht="15" customHeight="1" x14ac:dyDescent="0.25">
      <c r="DT864" s="3"/>
    </row>
    <row r="865" spans="124:124" ht="15" customHeight="1" x14ac:dyDescent="0.25">
      <c r="DT865" s="3"/>
    </row>
    <row r="866" spans="124:124" ht="15" customHeight="1" x14ac:dyDescent="0.25">
      <c r="DT866" s="3"/>
    </row>
    <row r="867" spans="124:124" ht="15" customHeight="1" x14ac:dyDescent="0.25">
      <c r="DT867" s="3"/>
    </row>
    <row r="868" spans="124:124" ht="15" customHeight="1" x14ac:dyDescent="0.25">
      <c r="DT868" s="3"/>
    </row>
    <row r="869" spans="124:124" ht="15" customHeight="1" x14ac:dyDescent="0.25">
      <c r="DT869" s="3"/>
    </row>
    <row r="870" spans="124:124" ht="15" customHeight="1" x14ac:dyDescent="0.25">
      <c r="DT870" s="3"/>
    </row>
    <row r="871" spans="124:124" ht="15" customHeight="1" x14ac:dyDescent="0.25">
      <c r="DT871" s="3"/>
    </row>
    <row r="872" spans="124:124" ht="15" customHeight="1" x14ac:dyDescent="0.25">
      <c r="DT872" s="3"/>
    </row>
    <row r="873" spans="124:124" ht="15" customHeight="1" x14ac:dyDescent="0.25">
      <c r="DT873" s="3"/>
    </row>
    <row r="874" spans="124:124" ht="15" customHeight="1" x14ac:dyDescent="0.25">
      <c r="DT874" s="3"/>
    </row>
    <row r="875" spans="124:124" ht="15" customHeight="1" x14ac:dyDescent="0.25">
      <c r="DT875" s="3"/>
    </row>
    <row r="876" spans="124:124" ht="15" customHeight="1" x14ac:dyDescent="0.25">
      <c r="DT876" s="3"/>
    </row>
    <row r="877" spans="124:124" ht="15" customHeight="1" x14ac:dyDescent="0.25">
      <c r="DT877" s="3"/>
    </row>
    <row r="878" spans="124:124" ht="15" customHeight="1" x14ac:dyDescent="0.25">
      <c r="DT878" s="3"/>
    </row>
    <row r="879" spans="124:124" ht="15" customHeight="1" x14ac:dyDescent="0.25">
      <c r="DT879" s="3"/>
    </row>
    <row r="880" spans="124:124" ht="15" customHeight="1" x14ac:dyDescent="0.25">
      <c r="DT880" s="3"/>
    </row>
    <row r="881" spans="124:124" ht="15" customHeight="1" x14ac:dyDescent="0.25">
      <c r="DT881" s="3"/>
    </row>
    <row r="882" spans="124:124" ht="15" customHeight="1" x14ac:dyDescent="0.25">
      <c r="DT882" s="3"/>
    </row>
    <row r="883" spans="124:124" ht="15" customHeight="1" x14ac:dyDescent="0.25">
      <c r="DT883" s="3"/>
    </row>
    <row r="884" spans="124:124" ht="15" customHeight="1" x14ac:dyDescent="0.25">
      <c r="DT884" s="3"/>
    </row>
    <row r="885" spans="124:124" ht="15" customHeight="1" x14ac:dyDescent="0.25">
      <c r="DT885" s="3"/>
    </row>
    <row r="886" spans="124:124" ht="15" customHeight="1" x14ac:dyDescent="0.25">
      <c r="DT886" s="3"/>
    </row>
    <row r="887" spans="124:124" ht="15" customHeight="1" x14ac:dyDescent="0.25">
      <c r="DT887" s="3"/>
    </row>
    <row r="888" spans="124:124" ht="15" customHeight="1" x14ac:dyDescent="0.25">
      <c r="DT888" s="3"/>
    </row>
    <row r="889" spans="124:124" ht="15" customHeight="1" x14ac:dyDescent="0.25">
      <c r="DT889" s="3"/>
    </row>
    <row r="890" spans="124:124" ht="15" customHeight="1" x14ac:dyDescent="0.25">
      <c r="DT890" s="3"/>
    </row>
    <row r="891" spans="124:124" ht="15" customHeight="1" x14ac:dyDescent="0.25">
      <c r="DT891" s="3"/>
    </row>
    <row r="892" spans="124:124" ht="15" customHeight="1" x14ac:dyDescent="0.25">
      <c r="DT892" s="3"/>
    </row>
    <row r="893" spans="124:124" ht="15" customHeight="1" x14ac:dyDescent="0.25">
      <c r="DT893" s="3"/>
    </row>
    <row r="894" spans="124:124" ht="15" customHeight="1" x14ac:dyDescent="0.25">
      <c r="DT894" s="3"/>
    </row>
    <row r="895" spans="124:124" ht="15" customHeight="1" x14ac:dyDescent="0.25">
      <c r="DT895" s="3"/>
    </row>
    <row r="896" spans="124:124" ht="15" customHeight="1" x14ac:dyDescent="0.25">
      <c r="DT896" s="3"/>
    </row>
    <row r="897" spans="124:124" ht="15" customHeight="1" x14ac:dyDescent="0.25">
      <c r="DT897" s="3"/>
    </row>
    <row r="898" spans="124:124" ht="15" customHeight="1" x14ac:dyDescent="0.25">
      <c r="DT898" s="3"/>
    </row>
    <row r="899" spans="124:124" ht="15" customHeight="1" x14ac:dyDescent="0.25">
      <c r="DT899" s="3"/>
    </row>
    <row r="900" spans="124:124" ht="15" customHeight="1" x14ac:dyDescent="0.25">
      <c r="DT900" s="3"/>
    </row>
    <row r="901" spans="124:124" ht="15" customHeight="1" x14ac:dyDescent="0.25">
      <c r="DT901" s="3"/>
    </row>
    <row r="902" spans="124:124" ht="15" customHeight="1" x14ac:dyDescent="0.25">
      <c r="DT902" s="3"/>
    </row>
    <row r="903" spans="124:124" ht="15" customHeight="1" x14ac:dyDescent="0.25">
      <c r="DT903" s="3"/>
    </row>
    <row r="904" spans="124:124" ht="15" customHeight="1" x14ac:dyDescent="0.25">
      <c r="DT904" s="3"/>
    </row>
    <row r="905" spans="124:124" ht="15" customHeight="1" x14ac:dyDescent="0.25">
      <c r="DT905" s="3"/>
    </row>
    <row r="906" spans="124:124" ht="15" customHeight="1" x14ac:dyDescent="0.25">
      <c r="DT906" s="3"/>
    </row>
    <row r="907" spans="124:124" ht="15" customHeight="1" x14ac:dyDescent="0.25">
      <c r="DT907" s="3"/>
    </row>
    <row r="908" spans="124:124" ht="15" customHeight="1" x14ac:dyDescent="0.25">
      <c r="DT908" s="3"/>
    </row>
    <row r="909" spans="124:124" ht="15" customHeight="1" x14ac:dyDescent="0.25">
      <c r="DT909" s="3"/>
    </row>
    <row r="910" spans="124:124" ht="15" customHeight="1" x14ac:dyDescent="0.25">
      <c r="DT910" s="3"/>
    </row>
    <row r="911" spans="124:124" ht="15" customHeight="1" x14ac:dyDescent="0.25">
      <c r="DT911" s="3"/>
    </row>
    <row r="912" spans="124:124" ht="15" customHeight="1" x14ac:dyDescent="0.25">
      <c r="DT912" s="3"/>
    </row>
    <row r="913" spans="124:124" ht="15" customHeight="1" x14ac:dyDescent="0.25">
      <c r="DT913" s="3"/>
    </row>
    <row r="914" spans="124:124" ht="15" customHeight="1" x14ac:dyDescent="0.25">
      <c r="DT914" s="3"/>
    </row>
    <row r="915" spans="124:124" ht="15" customHeight="1" x14ac:dyDescent="0.25">
      <c r="DT915" s="3"/>
    </row>
    <row r="916" spans="124:124" ht="15" customHeight="1" x14ac:dyDescent="0.25">
      <c r="DT916" s="3"/>
    </row>
    <row r="917" spans="124:124" ht="15" customHeight="1" x14ac:dyDescent="0.25">
      <c r="DT917" s="3"/>
    </row>
    <row r="918" spans="124:124" ht="15" customHeight="1" x14ac:dyDescent="0.25">
      <c r="DT918" s="3"/>
    </row>
    <row r="919" spans="124:124" ht="15" customHeight="1" x14ac:dyDescent="0.25">
      <c r="DT919" s="3"/>
    </row>
    <row r="920" spans="124:124" ht="15" customHeight="1" x14ac:dyDescent="0.25">
      <c r="DT920" s="3"/>
    </row>
    <row r="921" spans="124:124" ht="15" customHeight="1" x14ac:dyDescent="0.25">
      <c r="DT921" s="3"/>
    </row>
    <row r="922" spans="124:124" ht="15" customHeight="1" x14ac:dyDescent="0.25">
      <c r="DT922" s="3"/>
    </row>
    <row r="923" spans="124:124" ht="15" customHeight="1" x14ac:dyDescent="0.25">
      <c r="DT923" s="3"/>
    </row>
    <row r="924" spans="124:124" ht="15" customHeight="1" x14ac:dyDescent="0.25">
      <c r="DT924" s="3"/>
    </row>
    <row r="925" spans="124:124" ht="15" customHeight="1" x14ac:dyDescent="0.25">
      <c r="DT925" s="3"/>
    </row>
    <row r="926" spans="124:124" ht="15" customHeight="1" x14ac:dyDescent="0.25">
      <c r="DT926" s="3"/>
    </row>
    <row r="927" spans="124:124" ht="15" customHeight="1" x14ac:dyDescent="0.25">
      <c r="DT927" s="3"/>
    </row>
    <row r="928" spans="124:124" ht="15" customHeight="1" x14ac:dyDescent="0.25">
      <c r="DT928" s="3"/>
    </row>
    <row r="929" spans="124:124" ht="15" customHeight="1" x14ac:dyDescent="0.25">
      <c r="DT929" s="3"/>
    </row>
    <row r="930" spans="124:124" ht="15" customHeight="1" x14ac:dyDescent="0.25">
      <c r="DT930" s="3"/>
    </row>
    <row r="931" spans="124:124" ht="15" customHeight="1" x14ac:dyDescent="0.25">
      <c r="DT931" s="3"/>
    </row>
    <row r="932" spans="124:124" ht="15" customHeight="1" x14ac:dyDescent="0.25">
      <c r="DT932" s="3"/>
    </row>
    <row r="933" spans="124:124" ht="15" customHeight="1" x14ac:dyDescent="0.25">
      <c r="DT933" s="3"/>
    </row>
    <row r="934" spans="124:124" ht="15" customHeight="1" x14ac:dyDescent="0.25">
      <c r="DT934" s="3"/>
    </row>
    <row r="935" spans="124:124" ht="15" customHeight="1" x14ac:dyDescent="0.25">
      <c r="DT935" s="3"/>
    </row>
    <row r="936" spans="124:124" ht="15" customHeight="1" x14ac:dyDescent="0.25">
      <c r="DT936" s="3"/>
    </row>
    <row r="937" spans="124:124" ht="15" customHeight="1" x14ac:dyDescent="0.25">
      <c r="DT937" s="3"/>
    </row>
    <row r="938" spans="124:124" ht="15" customHeight="1" x14ac:dyDescent="0.25">
      <c r="DT938" s="3"/>
    </row>
    <row r="939" spans="124:124" ht="15" customHeight="1" x14ac:dyDescent="0.25">
      <c r="DT939" s="3"/>
    </row>
    <row r="940" spans="124:124" ht="15" customHeight="1" x14ac:dyDescent="0.25">
      <c r="DT940" s="3"/>
    </row>
    <row r="941" spans="124:124" ht="15" customHeight="1" x14ac:dyDescent="0.25">
      <c r="DT941" s="3"/>
    </row>
    <row r="942" spans="124:124" ht="15" customHeight="1" x14ac:dyDescent="0.25">
      <c r="DT942" s="3"/>
    </row>
    <row r="943" spans="124:124" ht="15" customHeight="1" x14ac:dyDescent="0.25">
      <c r="DT943" s="3"/>
    </row>
    <row r="944" spans="124:124" ht="15" customHeight="1" x14ac:dyDescent="0.25">
      <c r="DT944" s="3"/>
    </row>
    <row r="945" spans="124:124" ht="15" customHeight="1" x14ac:dyDescent="0.25">
      <c r="DT945" s="3"/>
    </row>
    <row r="946" spans="124:124" ht="15" customHeight="1" x14ac:dyDescent="0.25">
      <c r="DT946" s="3"/>
    </row>
    <row r="947" spans="124:124" ht="15" customHeight="1" x14ac:dyDescent="0.25">
      <c r="DT947" s="3"/>
    </row>
    <row r="948" spans="124:124" ht="15" customHeight="1" x14ac:dyDescent="0.25">
      <c r="DT948" s="3"/>
    </row>
    <row r="949" spans="124:124" ht="15" customHeight="1" x14ac:dyDescent="0.25">
      <c r="DT949" s="3"/>
    </row>
    <row r="950" spans="124:124" ht="15" customHeight="1" x14ac:dyDescent="0.25">
      <c r="DT950" s="3"/>
    </row>
    <row r="951" spans="124:124" ht="15" customHeight="1" x14ac:dyDescent="0.25">
      <c r="DT951" s="3"/>
    </row>
    <row r="952" spans="124:124" ht="15" customHeight="1" x14ac:dyDescent="0.25">
      <c r="DT952" s="3"/>
    </row>
    <row r="953" spans="124:124" ht="15" customHeight="1" x14ac:dyDescent="0.25">
      <c r="DT953" s="3"/>
    </row>
    <row r="954" spans="124:124" ht="15" customHeight="1" x14ac:dyDescent="0.25">
      <c r="DT954" s="3"/>
    </row>
    <row r="955" spans="124:124" ht="15" customHeight="1" x14ac:dyDescent="0.25">
      <c r="DT955" s="3"/>
    </row>
    <row r="956" spans="124:124" ht="15" customHeight="1" x14ac:dyDescent="0.25">
      <c r="DT956" s="3"/>
    </row>
    <row r="957" spans="124:124" ht="15" customHeight="1" x14ac:dyDescent="0.25">
      <c r="DT957" s="3"/>
    </row>
    <row r="958" spans="124:124" ht="15" customHeight="1" x14ac:dyDescent="0.25">
      <c r="DT958" s="3"/>
    </row>
    <row r="959" spans="124:124" ht="15" customHeight="1" x14ac:dyDescent="0.25">
      <c r="DT959" s="3"/>
    </row>
    <row r="960" spans="124:124" ht="15" customHeight="1" x14ac:dyDescent="0.25">
      <c r="DT960" s="3"/>
    </row>
    <row r="961" spans="124:124" ht="15" customHeight="1" x14ac:dyDescent="0.25">
      <c r="DT961" s="3"/>
    </row>
    <row r="962" spans="124:124" ht="15" customHeight="1" x14ac:dyDescent="0.25">
      <c r="DT962" s="3"/>
    </row>
    <row r="963" spans="124:124" ht="15" customHeight="1" x14ac:dyDescent="0.25">
      <c r="DT963" s="3"/>
    </row>
    <row r="964" spans="124:124" ht="15" customHeight="1" x14ac:dyDescent="0.25">
      <c r="DT964" s="3"/>
    </row>
    <row r="965" spans="124:124" ht="15" customHeight="1" x14ac:dyDescent="0.25">
      <c r="DT965" s="3"/>
    </row>
    <row r="966" spans="124:124" ht="15" customHeight="1" x14ac:dyDescent="0.25">
      <c r="DT966" s="3"/>
    </row>
    <row r="967" spans="124:124" ht="15" customHeight="1" x14ac:dyDescent="0.25">
      <c r="DT967" s="3"/>
    </row>
    <row r="968" spans="124:124" ht="15" customHeight="1" x14ac:dyDescent="0.25">
      <c r="DT968" s="3"/>
    </row>
    <row r="969" spans="124:124" ht="15" customHeight="1" x14ac:dyDescent="0.25">
      <c r="DT969" s="3"/>
    </row>
    <row r="970" spans="124:124" ht="15" customHeight="1" x14ac:dyDescent="0.25">
      <c r="DT970" s="3"/>
    </row>
    <row r="971" spans="124:124" ht="15" customHeight="1" x14ac:dyDescent="0.25">
      <c r="DT971" s="3"/>
    </row>
    <row r="972" spans="124:124" ht="15" customHeight="1" x14ac:dyDescent="0.25">
      <c r="DT972" s="3"/>
    </row>
    <row r="973" spans="124:124" ht="15" customHeight="1" x14ac:dyDescent="0.25">
      <c r="DT973" s="3"/>
    </row>
    <row r="974" spans="124:124" ht="15" customHeight="1" x14ac:dyDescent="0.25">
      <c r="DT974" s="3"/>
    </row>
    <row r="975" spans="124:124" ht="15" customHeight="1" x14ac:dyDescent="0.25">
      <c r="DT975" s="3"/>
    </row>
    <row r="976" spans="124:124" ht="15" customHeight="1" x14ac:dyDescent="0.25">
      <c r="DT976" s="3"/>
    </row>
    <row r="977" spans="124:124" ht="15" customHeight="1" x14ac:dyDescent="0.25">
      <c r="DT977" s="3"/>
    </row>
    <row r="978" spans="124:124" ht="15" customHeight="1" x14ac:dyDescent="0.25">
      <c r="DT978" s="3"/>
    </row>
    <row r="979" spans="124:124" ht="15" customHeight="1" x14ac:dyDescent="0.25">
      <c r="DT979" s="3"/>
    </row>
    <row r="980" spans="124:124" ht="15" customHeight="1" x14ac:dyDescent="0.25">
      <c r="DT980" s="3"/>
    </row>
    <row r="981" spans="124:124" ht="15" customHeight="1" x14ac:dyDescent="0.25">
      <c r="DT981" s="3"/>
    </row>
    <row r="982" spans="124:124" ht="15" customHeight="1" x14ac:dyDescent="0.25">
      <c r="DT982" s="3"/>
    </row>
    <row r="983" spans="124:124" ht="15" customHeight="1" x14ac:dyDescent="0.25">
      <c r="DT983" s="3"/>
    </row>
    <row r="984" spans="124:124" ht="15" customHeight="1" x14ac:dyDescent="0.25">
      <c r="DT984" s="3"/>
    </row>
    <row r="985" spans="124:124" ht="15" customHeight="1" x14ac:dyDescent="0.25">
      <c r="DT985" s="3"/>
    </row>
    <row r="986" spans="124:124" ht="15" customHeight="1" x14ac:dyDescent="0.25">
      <c r="DT986" s="3"/>
    </row>
    <row r="987" spans="124:124" ht="15" customHeight="1" x14ac:dyDescent="0.25">
      <c r="DT987" s="3"/>
    </row>
    <row r="988" spans="124:124" ht="15" customHeight="1" x14ac:dyDescent="0.25">
      <c r="DT988" s="3"/>
    </row>
    <row r="989" spans="124:124" ht="15" customHeight="1" x14ac:dyDescent="0.25">
      <c r="DT989" s="3"/>
    </row>
    <row r="990" spans="124:124" ht="15" customHeight="1" x14ac:dyDescent="0.25">
      <c r="DT990" s="3"/>
    </row>
    <row r="991" spans="124:124" ht="15" customHeight="1" x14ac:dyDescent="0.25">
      <c r="DT991" s="3"/>
    </row>
    <row r="992" spans="124:124" ht="15" customHeight="1" x14ac:dyDescent="0.25">
      <c r="DT992" s="3"/>
    </row>
    <row r="993" spans="124:124" ht="15" customHeight="1" x14ac:dyDescent="0.25">
      <c r="DT993" s="3"/>
    </row>
    <row r="994" spans="124:124" ht="15" customHeight="1" x14ac:dyDescent="0.25">
      <c r="DT994" s="3"/>
    </row>
    <row r="995" spans="124:124" ht="15" customHeight="1" x14ac:dyDescent="0.25">
      <c r="DT995" s="3"/>
    </row>
    <row r="996" spans="124:124" ht="15" customHeight="1" x14ac:dyDescent="0.25">
      <c r="DT996" s="3"/>
    </row>
    <row r="997" spans="124:124" ht="15" customHeight="1" x14ac:dyDescent="0.25">
      <c r="DT997" s="3"/>
    </row>
    <row r="998" spans="124:124" ht="15" customHeight="1" x14ac:dyDescent="0.25">
      <c r="DT998" s="3"/>
    </row>
    <row r="999" spans="124:124" ht="15" customHeight="1" x14ac:dyDescent="0.25">
      <c r="DT999" s="3"/>
    </row>
    <row r="1000" spans="124:124" ht="15" customHeight="1" x14ac:dyDescent="0.25">
      <c r="DT1000" s="3"/>
    </row>
    <row r="1001" spans="124:124" ht="15" customHeight="1" x14ac:dyDescent="0.25">
      <c r="DT1001" s="3"/>
    </row>
    <row r="1002" spans="124:124" ht="15" customHeight="1" x14ac:dyDescent="0.25">
      <c r="DT1002" s="3"/>
    </row>
    <row r="1003" spans="124:124" ht="15" customHeight="1" x14ac:dyDescent="0.25">
      <c r="DT1003" s="3"/>
    </row>
    <row r="1004" spans="124:124" ht="15" customHeight="1" x14ac:dyDescent="0.25">
      <c r="DT1004" s="3"/>
    </row>
    <row r="1005" spans="124:124" ht="15" customHeight="1" x14ac:dyDescent="0.25">
      <c r="DT1005" s="3"/>
    </row>
    <row r="1006" spans="124:124" ht="15" customHeight="1" x14ac:dyDescent="0.25">
      <c r="DT1006" s="3"/>
    </row>
    <row r="1007" spans="124:124" ht="15" customHeight="1" x14ac:dyDescent="0.25">
      <c r="DT1007" s="3"/>
    </row>
    <row r="1008" spans="124:124" ht="15" customHeight="1" x14ac:dyDescent="0.25">
      <c r="DT1008" s="3"/>
    </row>
    <row r="1009" spans="124:124" ht="15" customHeight="1" x14ac:dyDescent="0.25">
      <c r="DT1009" s="3"/>
    </row>
    <row r="1010" spans="124:124" ht="15" customHeight="1" x14ac:dyDescent="0.25">
      <c r="DT1010" s="3"/>
    </row>
    <row r="1011" spans="124:124" ht="15" customHeight="1" x14ac:dyDescent="0.25">
      <c r="DT1011" s="3"/>
    </row>
    <row r="1012" spans="124:124" ht="15" customHeight="1" x14ac:dyDescent="0.25">
      <c r="DT1012" s="3"/>
    </row>
    <row r="1013" spans="124:124" ht="15" customHeight="1" x14ac:dyDescent="0.25">
      <c r="DT1013" s="3"/>
    </row>
    <row r="1014" spans="124:124" ht="15" customHeight="1" x14ac:dyDescent="0.25">
      <c r="DT1014" s="3"/>
    </row>
    <row r="1015" spans="124:124" ht="15" customHeight="1" x14ac:dyDescent="0.25">
      <c r="DT1015" s="3"/>
    </row>
    <row r="1016" spans="124:124" ht="15" customHeight="1" x14ac:dyDescent="0.25">
      <c r="DT1016" s="3"/>
    </row>
    <row r="1017" spans="124:124" ht="15" customHeight="1" x14ac:dyDescent="0.25">
      <c r="DT1017" s="3"/>
    </row>
    <row r="1018" spans="124:124" ht="15" customHeight="1" x14ac:dyDescent="0.25">
      <c r="DT1018" s="3"/>
    </row>
    <row r="1019" spans="124:124" ht="15" customHeight="1" x14ac:dyDescent="0.25">
      <c r="DT1019" s="3"/>
    </row>
    <row r="1020" spans="124:124" ht="15" customHeight="1" x14ac:dyDescent="0.25">
      <c r="DT1020" s="3"/>
    </row>
    <row r="1021" spans="124:124" ht="15" customHeight="1" x14ac:dyDescent="0.25">
      <c r="DT1021" s="3"/>
    </row>
    <row r="1022" spans="124:124" ht="15" customHeight="1" x14ac:dyDescent="0.25">
      <c r="DT1022" s="3"/>
    </row>
    <row r="1023" spans="124:124" ht="15" customHeight="1" x14ac:dyDescent="0.25">
      <c r="DT1023" s="3"/>
    </row>
    <row r="1024" spans="124:124" ht="15" customHeight="1" x14ac:dyDescent="0.25">
      <c r="DT1024" s="3"/>
    </row>
    <row r="1025" spans="124:124" ht="15" customHeight="1" x14ac:dyDescent="0.25">
      <c r="DT1025" s="3"/>
    </row>
    <row r="1026" spans="124:124" ht="15" customHeight="1" x14ac:dyDescent="0.25">
      <c r="DT1026" s="3"/>
    </row>
    <row r="1027" spans="124:124" ht="15" customHeight="1" x14ac:dyDescent="0.25">
      <c r="DT1027" s="3"/>
    </row>
    <row r="1028" spans="124:124" ht="15" customHeight="1" x14ac:dyDescent="0.25">
      <c r="DT1028" s="3"/>
    </row>
    <row r="1029" spans="124:124" ht="15" customHeight="1" x14ac:dyDescent="0.25">
      <c r="DT1029" s="3"/>
    </row>
    <row r="1030" spans="124:124" ht="15" customHeight="1" x14ac:dyDescent="0.25">
      <c r="DT1030" s="3"/>
    </row>
    <row r="1031" spans="124:124" ht="15" customHeight="1" x14ac:dyDescent="0.25">
      <c r="DT1031" s="3"/>
    </row>
    <row r="1032" spans="124:124" ht="15" customHeight="1" x14ac:dyDescent="0.25">
      <c r="DT1032" s="3"/>
    </row>
    <row r="1033" spans="124:124" ht="15" customHeight="1" x14ac:dyDescent="0.25">
      <c r="DT1033" s="3"/>
    </row>
    <row r="1034" spans="124:124" ht="15" customHeight="1" x14ac:dyDescent="0.25">
      <c r="DT1034" s="3"/>
    </row>
    <row r="1035" spans="124:124" ht="15" customHeight="1" x14ac:dyDescent="0.25">
      <c r="DT1035" s="3"/>
    </row>
    <row r="1036" spans="124:124" ht="15" customHeight="1" x14ac:dyDescent="0.25">
      <c r="DT1036" s="3"/>
    </row>
    <row r="1037" spans="124:124" ht="15" customHeight="1" x14ac:dyDescent="0.25">
      <c r="DT1037" s="3"/>
    </row>
    <row r="1038" spans="124:124" ht="15" customHeight="1" x14ac:dyDescent="0.25">
      <c r="DT1038" s="3"/>
    </row>
    <row r="1039" spans="124:124" ht="15" customHeight="1" x14ac:dyDescent="0.25">
      <c r="DT1039" s="3"/>
    </row>
    <row r="1040" spans="124:124" ht="15" customHeight="1" x14ac:dyDescent="0.25">
      <c r="DT1040" s="3"/>
    </row>
    <row r="1041" spans="124:124" ht="15" customHeight="1" x14ac:dyDescent="0.25">
      <c r="DT1041" s="3"/>
    </row>
    <row r="1042" spans="124:124" ht="15" customHeight="1" x14ac:dyDescent="0.25">
      <c r="DT1042" s="3"/>
    </row>
    <row r="1043" spans="124:124" ht="15" customHeight="1" x14ac:dyDescent="0.25">
      <c r="DT1043" s="3"/>
    </row>
    <row r="1044" spans="124:124" ht="15" customHeight="1" x14ac:dyDescent="0.25">
      <c r="DT1044" s="3"/>
    </row>
    <row r="1045" spans="124:124" ht="15" customHeight="1" x14ac:dyDescent="0.25">
      <c r="DT1045" s="3"/>
    </row>
    <row r="1046" spans="124:124" ht="15" customHeight="1" x14ac:dyDescent="0.25">
      <c r="DT1046" s="3"/>
    </row>
    <row r="1047" spans="124:124" ht="15" customHeight="1" x14ac:dyDescent="0.25">
      <c r="DT1047" s="3"/>
    </row>
    <row r="1048" spans="124:124" ht="15" customHeight="1" x14ac:dyDescent="0.25">
      <c r="DT1048" s="3"/>
    </row>
    <row r="1049" spans="124:124" ht="15" customHeight="1" x14ac:dyDescent="0.25">
      <c r="DT1049" s="3"/>
    </row>
    <row r="1050" spans="124:124" ht="15" customHeight="1" x14ac:dyDescent="0.25">
      <c r="DT1050" s="3"/>
    </row>
    <row r="1051" spans="124:124" ht="15" customHeight="1" x14ac:dyDescent="0.25">
      <c r="DT1051" s="3"/>
    </row>
    <row r="1052" spans="124:124" ht="15" customHeight="1" x14ac:dyDescent="0.25">
      <c r="DT1052" s="3"/>
    </row>
    <row r="1053" spans="124:124" ht="15" customHeight="1" x14ac:dyDescent="0.25">
      <c r="DT1053" s="3"/>
    </row>
    <row r="1054" spans="124:124" ht="15" customHeight="1" x14ac:dyDescent="0.25">
      <c r="DT1054" s="3"/>
    </row>
    <row r="1055" spans="124:124" ht="15" customHeight="1" x14ac:dyDescent="0.25">
      <c r="DT1055" s="3"/>
    </row>
    <row r="1056" spans="124:124" ht="15" customHeight="1" x14ac:dyDescent="0.25">
      <c r="DT1056" s="3"/>
    </row>
    <row r="1057" spans="124:124" ht="15" customHeight="1" x14ac:dyDescent="0.25">
      <c r="DT1057" s="3"/>
    </row>
    <row r="1058" spans="124:124" ht="15" customHeight="1" x14ac:dyDescent="0.25">
      <c r="DT1058" s="3"/>
    </row>
    <row r="1059" spans="124:124" ht="15" customHeight="1" x14ac:dyDescent="0.25">
      <c r="DT1059" s="3"/>
    </row>
    <row r="1060" spans="124:124" ht="15" customHeight="1" x14ac:dyDescent="0.25">
      <c r="DT1060" s="3"/>
    </row>
    <row r="1061" spans="124:124" ht="15" customHeight="1" x14ac:dyDescent="0.25">
      <c r="DT1061" s="3"/>
    </row>
    <row r="1062" spans="124:124" ht="15" customHeight="1" x14ac:dyDescent="0.25">
      <c r="DT1062" s="3"/>
    </row>
    <row r="1063" spans="124:124" ht="15" customHeight="1" x14ac:dyDescent="0.25">
      <c r="DT1063" s="3"/>
    </row>
    <row r="1064" spans="124:124" ht="15" customHeight="1" x14ac:dyDescent="0.25">
      <c r="DT1064" s="3"/>
    </row>
    <row r="1065" spans="124:124" ht="15" customHeight="1" x14ac:dyDescent="0.25">
      <c r="DT1065" s="3"/>
    </row>
    <row r="1066" spans="124:124" ht="15" customHeight="1" x14ac:dyDescent="0.25">
      <c r="DT1066" s="3"/>
    </row>
    <row r="1067" spans="124:124" ht="15" customHeight="1" x14ac:dyDescent="0.25">
      <c r="DT1067" s="3"/>
    </row>
    <row r="1068" spans="124:124" ht="15" customHeight="1" x14ac:dyDescent="0.25">
      <c r="DT1068" s="3"/>
    </row>
    <row r="1069" spans="124:124" ht="15" customHeight="1" x14ac:dyDescent="0.25">
      <c r="DT1069" s="3"/>
    </row>
    <row r="1070" spans="124:124" ht="15" customHeight="1" x14ac:dyDescent="0.25">
      <c r="DT1070" s="3"/>
    </row>
    <row r="1071" spans="124:124" ht="15" customHeight="1" x14ac:dyDescent="0.25">
      <c r="DT1071" s="3"/>
    </row>
    <row r="1072" spans="124:124" ht="15" customHeight="1" x14ac:dyDescent="0.25">
      <c r="DT1072" s="3"/>
    </row>
    <row r="1073" spans="124:124" ht="15" customHeight="1" x14ac:dyDescent="0.25">
      <c r="DT1073" s="3"/>
    </row>
    <row r="1074" spans="124:124" ht="15" customHeight="1" x14ac:dyDescent="0.25">
      <c r="DT1074" s="3"/>
    </row>
    <row r="1075" spans="124:124" ht="15" customHeight="1" x14ac:dyDescent="0.25">
      <c r="DT1075" s="3"/>
    </row>
    <row r="1076" spans="124:124" ht="15" customHeight="1" x14ac:dyDescent="0.25">
      <c r="DT1076" s="3"/>
    </row>
    <row r="1077" spans="124:124" ht="15" customHeight="1" x14ac:dyDescent="0.25">
      <c r="DT1077" s="3"/>
    </row>
    <row r="1078" spans="124:124" ht="15" customHeight="1" x14ac:dyDescent="0.25">
      <c r="DT1078" s="3"/>
    </row>
    <row r="1079" spans="124:124" ht="15" customHeight="1" x14ac:dyDescent="0.25">
      <c r="DT1079" s="3"/>
    </row>
    <row r="1080" spans="124:124" ht="15" customHeight="1" x14ac:dyDescent="0.25">
      <c r="DT1080" s="3"/>
    </row>
    <row r="1081" spans="124:124" ht="15" customHeight="1" x14ac:dyDescent="0.25">
      <c r="DT1081" s="3"/>
    </row>
    <row r="1082" spans="124:124" ht="15" customHeight="1" x14ac:dyDescent="0.25">
      <c r="DT1082" s="3"/>
    </row>
    <row r="1083" spans="124:124" ht="15" customHeight="1" x14ac:dyDescent="0.25">
      <c r="DT1083" s="3"/>
    </row>
    <row r="1084" spans="124:124" ht="15" customHeight="1" x14ac:dyDescent="0.25">
      <c r="DT1084" s="3"/>
    </row>
    <row r="1085" spans="124:124" ht="15" customHeight="1" x14ac:dyDescent="0.25">
      <c r="DT1085" s="3"/>
    </row>
    <row r="1086" spans="124:124" ht="15" customHeight="1" x14ac:dyDescent="0.25">
      <c r="DT1086" s="3"/>
    </row>
    <row r="1087" spans="124:124" ht="15" customHeight="1" x14ac:dyDescent="0.25">
      <c r="DT1087" s="3"/>
    </row>
    <row r="1088" spans="124:124" ht="15" customHeight="1" x14ac:dyDescent="0.25">
      <c r="DT1088" s="3"/>
    </row>
    <row r="1089" spans="124:124" ht="15" customHeight="1" x14ac:dyDescent="0.25">
      <c r="DT1089" s="3"/>
    </row>
    <row r="1090" spans="124:124" ht="15" customHeight="1" x14ac:dyDescent="0.25">
      <c r="DT1090" s="3"/>
    </row>
    <row r="1091" spans="124:124" ht="15" customHeight="1" x14ac:dyDescent="0.25">
      <c r="DT1091" s="3"/>
    </row>
    <row r="1092" spans="124:124" ht="15" customHeight="1" x14ac:dyDescent="0.25">
      <c r="DT1092" s="3"/>
    </row>
    <row r="1093" spans="124:124" ht="15" customHeight="1" x14ac:dyDescent="0.25">
      <c r="DT1093" s="3"/>
    </row>
    <row r="1094" spans="124:124" ht="15" customHeight="1" x14ac:dyDescent="0.25">
      <c r="DT1094" s="3"/>
    </row>
    <row r="1095" spans="124:124" ht="15" customHeight="1" x14ac:dyDescent="0.25">
      <c r="DT1095" s="3"/>
    </row>
    <row r="1096" spans="124:124" ht="15" customHeight="1" x14ac:dyDescent="0.25">
      <c r="DT1096" s="3"/>
    </row>
    <row r="1097" spans="124:124" ht="15" customHeight="1" x14ac:dyDescent="0.25">
      <c r="DT1097" s="3"/>
    </row>
    <row r="1098" spans="124:124" ht="15" customHeight="1" x14ac:dyDescent="0.25">
      <c r="DT1098" s="3"/>
    </row>
    <row r="1099" spans="124:124" ht="15" customHeight="1" x14ac:dyDescent="0.25">
      <c r="DT1099" s="3"/>
    </row>
    <row r="1100" spans="124:124" ht="15" customHeight="1" x14ac:dyDescent="0.25">
      <c r="DT1100" s="3"/>
    </row>
    <row r="1101" spans="124:124" ht="15" customHeight="1" x14ac:dyDescent="0.25">
      <c r="DT1101" s="3"/>
    </row>
    <row r="1102" spans="124:124" ht="15" customHeight="1" x14ac:dyDescent="0.25">
      <c r="DT1102" s="3"/>
    </row>
    <row r="1103" spans="124:124" ht="15" customHeight="1" x14ac:dyDescent="0.25">
      <c r="DT1103" s="3"/>
    </row>
    <row r="1104" spans="124:124" ht="15" customHeight="1" x14ac:dyDescent="0.25">
      <c r="DT1104" s="3"/>
    </row>
    <row r="1105" spans="124:124" ht="15" customHeight="1" x14ac:dyDescent="0.25">
      <c r="DT1105" s="3"/>
    </row>
    <row r="1106" spans="124:124" ht="15" customHeight="1" x14ac:dyDescent="0.25">
      <c r="DT1106" s="3"/>
    </row>
    <row r="1107" spans="124:124" ht="15" customHeight="1" x14ac:dyDescent="0.25">
      <c r="DT1107" s="3"/>
    </row>
    <row r="1108" spans="124:124" ht="15" customHeight="1" x14ac:dyDescent="0.25">
      <c r="DT1108" s="3"/>
    </row>
    <row r="1109" spans="124:124" ht="15" customHeight="1" x14ac:dyDescent="0.25">
      <c r="DT1109" s="3"/>
    </row>
    <row r="1110" spans="124:124" ht="15" customHeight="1" x14ac:dyDescent="0.25">
      <c r="DT1110" s="3"/>
    </row>
    <row r="1111" spans="124:124" ht="15" customHeight="1" x14ac:dyDescent="0.25">
      <c r="DT1111" s="3"/>
    </row>
    <row r="1112" spans="124:124" ht="15" customHeight="1" x14ac:dyDescent="0.25">
      <c r="DT1112" s="3"/>
    </row>
    <row r="1113" spans="124:124" ht="15" customHeight="1" x14ac:dyDescent="0.25">
      <c r="DT1113" s="3"/>
    </row>
    <row r="1114" spans="124:124" ht="15" customHeight="1" x14ac:dyDescent="0.25">
      <c r="DT1114" s="3"/>
    </row>
    <row r="1115" spans="124:124" ht="15" customHeight="1" x14ac:dyDescent="0.25">
      <c r="DT1115" s="3"/>
    </row>
    <row r="1116" spans="124:124" ht="15" customHeight="1" x14ac:dyDescent="0.25">
      <c r="DT1116" s="3"/>
    </row>
    <row r="1117" spans="124:124" ht="15" customHeight="1" x14ac:dyDescent="0.25">
      <c r="DT1117" s="3"/>
    </row>
    <row r="1118" spans="124:124" ht="15" customHeight="1" x14ac:dyDescent="0.25">
      <c r="DT1118" s="3"/>
    </row>
    <row r="1119" spans="124:124" ht="15" customHeight="1" x14ac:dyDescent="0.25">
      <c r="DT1119" s="3"/>
    </row>
    <row r="1120" spans="124:124" ht="15" customHeight="1" x14ac:dyDescent="0.25">
      <c r="DT1120" s="3"/>
    </row>
    <row r="1121" spans="124:124" ht="15" customHeight="1" x14ac:dyDescent="0.25">
      <c r="DT1121" s="3"/>
    </row>
    <row r="1122" spans="124:124" ht="15" customHeight="1" x14ac:dyDescent="0.25">
      <c r="DT1122" s="3"/>
    </row>
    <row r="1123" spans="124:124" ht="15" customHeight="1" x14ac:dyDescent="0.25">
      <c r="DT1123" s="3"/>
    </row>
    <row r="1124" spans="124:124" ht="15" customHeight="1" x14ac:dyDescent="0.25">
      <c r="DT1124" s="3"/>
    </row>
    <row r="1125" spans="124:124" ht="15" customHeight="1" x14ac:dyDescent="0.25">
      <c r="DT1125" s="3"/>
    </row>
    <row r="1126" spans="124:124" ht="15" customHeight="1" x14ac:dyDescent="0.25">
      <c r="DT1126" s="3"/>
    </row>
    <row r="1127" spans="124:124" ht="15" customHeight="1" x14ac:dyDescent="0.25">
      <c r="DT1127" s="3"/>
    </row>
    <row r="1128" spans="124:124" ht="15" customHeight="1" x14ac:dyDescent="0.25">
      <c r="DT1128" s="3"/>
    </row>
    <row r="1129" spans="124:124" ht="15" customHeight="1" x14ac:dyDescent="0.25">
      <c r="DT1129" s="3"/>
    </row>
    <row r="1130" spans="124:124" ht="15" customHeight="1" x14ac:dyDescent="0.25">
      <c r="DT1130" s="3"/>
    </row>
    <row r="1131" spans="124:124" ht="15" customHeight="1" x14ac:dyDescent="0.25">
      <c r="DT1131" s="3"/>
    </row>
    <row r="1132" spans="124:124" ht="15" customHeight="1" x14ac:dyDescent="0.25">
      <c r="DT1132" s="3"/>
    </row>
    <row r="1133" spans="124:124" ht="15" customHeight="1" x14ac:dyDescent="0.25">
      <c r="DT1133" s="3"/>
    </row>
    <row r="1134" spans="124:124" ht="15" customHeight="1" x14ac:dyDescent="0.25">
      <c r="DT1134" s="3"/>
    </row>
    <row r="1135" spans="124:124" ht="15" customHeight="1" x14ac:dyDescent="0.25">
      <c r="DT1135" s="3"/>
    </row>
    <row r="1136" spans="124:124" ht="15" customHeight="1" x14ac:dyDescent="0.25">
      <c r="DT1136" s="3"/>
    </row>
    <row r="1137" spans="124:124" ht="15" customHeight="1" x14ac:dyDescent="0.25">
      <c r="DT1137" s="3"/>
    </row>
    <row r="1138" spans="124:124" ht="15" customHeight="1" x14ac:dyDescent="0.25">
      <c r="DT1138" s="3"/>
    </row>
    <row r="1139" spans="124:124" ht="15" customHeight="1" x14ac:dyDescent="0.25">
      <c r="DT1139" s="3"/>
    </row>
    <row r="1140" spans="124:124" ht="15" customHeight="1" x14ac:dyDescent="0.25">
      <c r="DT1140" s="3"/>
    </row>
    <row r="1141" spans="124:124" ht="15" customHeight="1" x14ac:dyDescent="0.25">
      <c r="DT1141" s="3"/>
    </row>
    <row r="1142" spans="124:124" ht="15" customHeight="1" x14ac:dyDescent="0.25">
      <c r="DT1142" s="3"/>
    </row>
    <row r="1143" spans="124:124" ht="15" customHeight="1" x14ac:dyDescent="0.25">
      <c r="DT1143" s="3"/>
    </row>
    <row r="1144" spans="124:124" ht="15" customHeight="1" x14ac:dyDescent="0.25">
      <c r="DT1144" s="3"/>
    </row>
    <row r="1145" spans="124:124" ht="15" customHeight="1" x14ac:dyDescent="0.25">
      <c r="DT1145" s="3"/>
    </row>
    <row r="1146" spans="124:124" ht="15" customHeight="1" x14ac:dyDescent="0.25">
      <c r="DT1146" s="3"/>
    </row>
    <row r="1147" spans="124:124" ht="15" customHeight="1" x14ac:dyDescent="0.25">
      <c r="DT1147" s="3"/>
    </row>
    <row r="1148" spans="124:124" ht="15" customHeight="1" x14ac:dyDescent="0.25">
      <c r="DT1148" s="3"/>
    </row>
    <row r="1149" spans="124:124" ht="15" customHeight="1" x14ac:dyDescent="0.25">
      <c r="DT1149" s="3"/>
    </row>
    <row r="1150" spans="124:124" ht="15" customHeight="1" x14ac:dyDescent="0.25">
      <c r="DT1150" s="3"/>
    </row>
    <row r="1151" spans="124:124" ht="15" customHeight="1" x14ac:dyDescent="0.25">
      <c r="DT1151" s="3"/>
    </row>
    <row r="1152" spans="124:124" ht="15" customHeight="1" x14ac:dyDescent="0.25">
      <c r="DT1152" s="3"/>
    </row>
    <row r="1153" spans="124:124" ht="15" customHeight="1" x14ac:dyDescent="0.25">
      <c r="DT1153" s="3"/>
    </row>
    <row r="1154" spans="124:124" ht="15" customHeight="1" x14ac:dyDescent="0.25">
      <c r="DT1154" s="3"/>
    </row>
    <row r="1155" spans="124:124" ht="15" customHeight="1" x14ac:dyDescent="0.25">
      <c r="DT1155" s="3"/>
    </row>
    <row r="1156" spans="124:124" ht="15" customHeight="1" x14ac:dyDescent="0.25">
      <c r="DT1156" s="3"/>
    </row>
    <row r="1157" spans="124:124" ht="15" customHeight="1" x14ac:dyDescent="0.25">
      <c r="DT1157" s="3"/>
    </row>
    <row r="1158" spans="124:124" ht="15" customHeight="1" x14ac:dyDescent="0.25">
      <c r="DT1158" s="3"/>
    </row>
    <row r="1159" spans="124:124" ht="15" customHeight="1" x14ac:dyDescent="0.25">
      <c r="DT1159" s="3"/>
    </row>
    <row r="1160" spans="124:124" ht="15" customHeight="1" x14ac:dyDescent="0.25">
      <c r="DT1160" s="3"/>
    </row>
    <row r="1161" spans="124:124" ht="15" customHeight="1" x14ac:dyDescent="0.25">
      <c r="DT1161" s="3"/>
    </row>
    <row r="1162" spans="124:124" ht="15" customHeight="1" x14ac:dyDescent="0.25">
      <c r="DT1162" s="3"/>
    </row>
    <row r="1163" spans="124:124" ht="15" customHeight="1" x14ac:dyDescent="0.25">
      <c r="DT1163" s="3"/>
    </row>
    <row r="1164" spans="124:124" ht="15" customHeight="1" x14ac:dyDescent="0.25">
      <c r="DT1164" s="3"/>
    </row>
    <row r="1165" spans="124:124" ht="15" customHeight="1" x14ac:dyDescent="0.25">
      <c r="DT1165" s="3"/>
    </row>
    <row r="1166" spans="124:124" ht="15" customHeight="1" x14ac:dyDescent="0.25">
      <c r="DT1166" s="3"/>
    </row>
    <row r="1167" spans="124:124" ht="15" customHeight="1" x14ac:dyDescent="0.25">
      <c r="DT1167" s="3"/>
    </row>
    <row r="1168" spans="124:124" ht="15" customHeight="1" x14ac:dyDescent="0.25">
      <c r="DT1168" s="3"/>
    </row>
    <row r="1169" spans="124:124" ht="15" customHeight="1" x14ac:dyDescent="0.25">
      <c r="DT1169" s="3"/>
    </row>
    <row r="1170" spans="124:124" ht="15" customHeight="1" x14ac:dyDescent="0.25">
      <c r="DT1170" s="3"/>
    </row>
    <row r="1171" spans="124:124" ht="15" customHeight="1" x14ac:dyDescent="0.25">
      <c r="DT1171" s="3"/>
    </row>
    <row r="1172" spans="124:124" ht="15" customHeight="1" x14ac:dyDescent="0.25">
      <c r="DT1172" s="3"/>
    </row>
    <row r="1173" spans="124:124" ht="15" customHeight="1" x14ac:dyDescent="0.25">
      <c r="DT1173" s="3"/>
    </row>
    <row r="1174" spans="124:124" ht="15" customHeight="1" x14ac:dyDescent="0.25">
      <c r="DT1174" s="3"/>
    </row>
    <row r="1175" spans="124:124" ht="15" customHeight="1" x14ac:dyDescent="0.25">
      <c r="DT1175" s="3"/>
    </row>
    <row r="1176" spans="124:124" ht="15" customHeight="1" x14ac:dyDescent="0.25">
      <c r="DT1176" s="3"/>
    </row>
    <row r="1177" spans="124:124" ht="15" customHeight="1" x14ac:dyDescent="0.25">
      <c r="DT1177" s="3"/>
    </row>
    <row r="1178" spans="124:124" ht="15" customHeight="1" x14ac:dyDescent="0.25">
      <c r="DT1178" s="3"/>
    </row>
    <row r="1179" spans="124:124" ht="15" customHeight="1" x14ac:dyDescent="0.25">
      <c r="DT1179" s="3"/>
    </row>
    <row r="1180" spans="124:124" ht="15" customHeight="1" x14ac:dyDescent="0.25">
      <c r="DT1180" s="3"/>
    </row>
    <row r="1181" spans="124:124" ht="15" customHeight="1" x14ac:dyDescent="0.25">
      <c r="DT1181" s="3"/>
    </row>
    <row r="1182" spans="124:124" ht="15" customHeight="1" x14ac:dyDescent="0.25">
      <c r="DT1182" s="3"/>
    </row>
    <row r="1183" spans="124:124" ht="15" customHeight="1" x14ac:dyDescent="0.25">
      <c r="DT1183" s="3"/>
    </row>
    <row r="1184" spans="124:124" ht="15" customHeight="1" x14ac:dyDescent="0.25">
      <c r="DT1184" s="3"/>
    </row>
    <row r="1185" spans="124:124" ht="15" customHeight="1" x14ac:dyDescent="0.25">
      <c r="DT1185" s="3"/>
    </row>
    <row r="1186" spans="124:124" ht="15" customHeight="1" x14ac:dyDescent="0.25">
      <c r="DT1186" s="3"/>
    </row>
    <row r="1187" spans="124:124" ht="15" customHeight="1" x14ac:dyDescent="0.25">
      <c r="DT1187" s="3"/>
    </row>
    <row r="1188" spans="124:124" ht="15" customHeight="1" x14ac:dyDescent="0.25">
      <c r="DT1188" s="3"/>
    </row>
    <row r="1189" spans="124:124" ht="15" customHeight="1" x14ac:dyDescent="0.25">
      <c r="DT1189" s="3"/>
    </row>
    <row r="1190" spans="124:124" ht="15" customHeight="1" x14ac:dyDescent="0.25">
      <c r="DT1190" s="3"/>
    </row>
    <row r="1191" spans="124:124" ht="15" customHeight="1" x14ac:dyDescent="0.25">
      <c r="DT1191" s="3"/>
    </row>
    <row r="1192" spans="124:124" ht="15" customHeight="1" x14ac:dyDescent="0.25">
      <c r="DT1192" s="3"/>
    </row>
    <row r="1193" spans="124:124" ht="15" customHeight="1" x14ac:dyDescent="0.25">
      <c r="DT1193" s="3"/>
    </row>
    <row r="1194" spans="124:124" ht="15" customHeight="1" x14ac:dyDescent="0.25">
      <c r="DT1194" s="3"/>
    </row>
    <row r="1195" spans="124:124" ht="15" customHeight="1" x14ac:dyDescent="0.25">
      <c r="DT1195" s="3"/>
    </row>
    <row r="1196" spans="124:124" ht="15" customHeight="1" x14ac:dyDescent="0.25">
      <c r="DT1196" s="3"/>
    </row>
    <row r="1197" spans="124:124" ht="15" customHeight="1" x14ac:dyDescent="0.25">
      <c r="DT1197" s="3"/>
    </row>
    <row r="1198" spans="124:124" ht="15" customHeight="1" x14ac:dyDescent="0.25">
      <c r="DT1198" s="3"/>
    </row>
    <row r="1199" spans="124:124" ht="15" customHeight="1" x14ac:dyDescent="0.25">
      <c r="DT1199" s="3"/>
    </row>
    <row r="1200" spans="124:124" ht="15" customHeight="1" x14ac:dyDescent="0.25">
      <c r="DT1200" s="3"/>
    </row>
    <row r="1201" spans="124:124" ht="15" customHeight="1" x14ac:dyDescent="0.25">
      <c r="DT1201" s="3"/>
    </row>
    <row r="1202" spans="124:124" ht="15" customHeight="1" x14ac:dyDescent="0.25">
      <c r="DT1202" s="3"/>
    </row>
    <row r="1203" spans="124:124" ht="15" customHeight="1" x14ac:dyDescent="0.25">
      <c r="DT1203" s="3"/>
    </row>
    <row r="1204" spans="124:124" ht="15" customHeight="1" x14ac:dyDescent="0.25">
      <c r="DT1204" s="3"/>
    </row>
    <row r="1205" spans="124:124" ht="15" customHeight="1" x14ac:dyDescent="0.25">
      <c r="DT1205" s="3"/>
    </row>
    <row r="1206" spans="124:124" ht="15" customHeight="1" x14ac:dyDescent="0.25">
      <c r="DT1206" s="3"/>
    </row>
    <row r="1207" spans="124:124" ht="15" customHeight="1" x14ac:dyDescent="0.25">
      <c r="DT1207" s="3"/>
    </row>
    <row r="1208" spans="124:124" ht="15" customHeight="1" x14ac:dyDescent="0.25">
      <c r="DT1208" s="3"/>
    </row>
    <row r="1209" spans="124:124" ht="15" customHeight="1" x14ac:dyDescent="0.25">
      <c r="DT1209" s="3"/>
    </row>
    <row r="1210" spans="124:124" ht="15" customHeight="1" x14ac:dyDescent="0.25">
      <c r="DT1210" s="3"/>
    </row>
    <row r="1211" spans="124:124" ht="15" customHeight="1" x14ac:dyDescent="0.25">
      <c r="DT1211" s="3"/>
    </row>
    <row r="1212" spans="124:124" ht="15" customHeight="1" x14ac:dyDescent="0.25">
      <c r="DT1212" s="3"/>
    </row>
    <row r="1213" spans="124:124" ht="15" customHeight="1" x14ac:dyDescent="0.25">
      <c r="DT1213" s="3"/>
    </row>
    <row r="1214" spans="124:124" ht="15" customHeight="1" x14ac:dyDescent="0.25">
      <c r="DT1214" s="3"/>
    </row>
    <row r="1215" spans="124:124" ht="15" customHeight="1" x14ac:dyDescent="0.25">
      <c r="DT1215" s="3"/>
    </row>
    <row r="1216" spans="124:124" ht="15" customHeight="1" x14ac:dyDescent="0.25">
      <c r="DT1216" s="3"/>
    </row>
    <row r="1217" spans="124:124" ht="15" customHeight="1" x14ac:dyDescent="0.25">
      <c r="DT1217" s="3"/>
    </row>
    <row r="1218" spans="124:124" ht="15" customHeight="1" x14ac:dyDescent="0.25">
      <c r="DT1218" s="3"/>
    </row>
    <row r="1219" spans="124:124" ht="15" customHeight="1" x14ac:dyDescent="0.25">
      <c r="DT1219" s="3"/>
    </row>
    <row r="1220" spans="124:124" ht="15" customHeight="1" x14ac:dyDescent="0.25">
      <c r="DT1220" s="3"/>
    </row>
    <row r="1221" spans="124:124" ht="15" customHeight="1" x14ac:dyDescent="0.25">
      <c r="DT1221" s="3"/>
    </row>
    <row r="1222" spans="124:124" ht="15" customHeight="1" x14ac:dyDescent="0.25">
      <c r="DT1222" s="3"/>
    </row>
    <row r="1223" spans="124:124" ht="15" customHeight="1" x14ac:dyDescent="0.25">
      <c r="DT1223" s="3"/>
    </row>
    <row r="1224" spans="124:124" ht="15" customHeight="1" x14ac:dyDescent="0.25">
      <c r="DT1224" s="3"/>
    </row>
    <row r="1225" spans="124:124" ht="15" customHeight="1" x14ac:dyDescent="0.25">
      <c r="DT1225" s="3"/>
    </row>
    <row r="1226" spans="124:124" ht="15" customHeight="1" x14ac:dyDescent="0.25">
      <c r="DT1226" s="3"/>
    </row>
    <row r="1227" spans="124:124" ht="15" customHeight="1" x14ac:dyDescent="0.25">
      <c r="DT1227" s="3"/>
    </row>
    <row r="1228" spans="124:124" ht="15" customHeight="1" x14ac:dyDescent="0.25">
      <c r="DT1228" s="3"/>
    </row>
    <row r="1229" spans="124:124" ht="15" customHeight="1" x14ac:dyDescent="0.25">
      <c r="DT1229" s="3"/>
    </row>
    <row r="1230" spans="124:124" ht="15" customHeight="1" x14ac:dyDescent="0.25">
      <c r="DT1230" s="3"/>
    </row>
    <row r="1231" spans="124:124" ht="15" customHeight="1" x14ac:dyDescent="0.25">
      <c r="DT1231" s="3"/>
    </row>
    <row r="1232" spans="124:124" ht="15" customHeight="1" x14ac:dyDescent="0.25">
      <c r="DT1232" s="3"/>
    </row>
    <row r="1233" spans="124:124" ht="15" customHeight="1" x14ac:dyDescent="0.25">
      <c r="DT1233" s="3"/>
    </row>
    <row r="1234" spans="124:124" ht="15" customHeight="1" x14ac:dyDescent="0.25">
      <c r="DT1234" s="3"/>
    </row>
    <row r="1235" spans="124:124" ht="15" customHeight="1" x14ac:dyDescent="0.25">
      <c r="DT1235" s="3"/>
    </row>
    <row r="1236" spans="124:124" ht="15" customHeight="1" x14ac:dyDescent="0.25">
      <c r="DT1236" s="3"/>
    </row>
    <row r="1237" spans="124:124" ht="15" customHeight="1" x14ac:dyDescent="0.25">
      <c r="DT1237" s="3"/>
    </row>
    <row r="1238" spans="124:124" ht="15" customHeight="1" x14ac:dyDescent="0.25">
      <c r="DT1238" s="3"/>
    </row>
    <row r="1239" spans="124:124" ht="15" customHeight="1" x14ac:dyDescent="0.25">
      <c r="DT1239" s="3"/>
    </row>
    <row r="1240" spans="124:124" ht="15" customHeight="1" x14ac:dyDescent="0.25">
      <c r="DT1240" s="3"/>
    </row>
    <row r="1241" spans="124:124" ht="15" customHeight="1" x14ac:dyDescent="0.25">
      <c r="DT1241" s="3"/>
    </row>
    <row r="1242" spans="124:124" ht="15" customHeight="1" x14ac:dyDescent="0.25">
      <c r="DT1242" s="3"/>
    </row>
    <row r="1243" spans="124:124" ht="15" customHeight="1" x14ac:dyDescent="0.25">
      <c r="DT1243" s="3"/>
    </row>
    <row r="1244" spans="124:124" ht="15" customHeight="1" x14ac:dyDescent="0.25">
      <c r="DT1244" s="3"/>
    </row>
    <row r="1245" spans="124:124" ht="15" customHeight="1" x14ac:dyDescent="0.25">
      <c r="DT1245" s="3"/>
    </row>
    <row r="1246" spans="124:124" ht="15" customHeight="1" x14ac:dyDescent="0.25">
      <c r="DT1246" s="3"/>
    </row>
    <row r="1247" spans="124:124" ht="15" customHeight="1" x14ac:dyDescent="0.25">
      <c r="DT1247" s="3"/>
    </row>
    <row r="1248" spans="124:124" ht="15" customHeight="1" x14ac:dyDescent="0.25">
      <c r="DT1248" s="3"/>
    </row>
    <row r="1249" spans="124:124" ht="15" customHeight="1" x14ac:dyDescent="0.25">
      <c r="DT1249" s="3"/>
    </row>
    <row r="1250" spans="124:124" ht="15" customHeight="1" x14ac:dyDescent="0.25">
      <c r="DT1250" s="3"/>
    </row>
    <row r="1251" spans="124:124" ht="15" customHeight="1" x14ac:dyDescent="0.25">
      <c r="DT1251" s="3"/>
    </row>
    <row r="1252" spans="124:124" ht="15" customHeight="1" x14ac:dyDescent="0.25">
      <c r="DT1252" s="3"/>
    </row>
    <row r="1253" spans="124:124" ht="15" customHeight="1" x14ac:dyDescent="0.25">
      <c r="DT1253" s="3"/>
    </row>
    <row r="1254" spans="124:124" ht="15" customHeight="1" x14ac:dyDescent="0.25">
      <c r="DT1254" s="3"/>
    </row>
    <row r="1255" spans="124:124" ht="15" customHeight="1" x14ac:dyDescent="0.25">
      <c r="DT1255" s="3"/>
    </row>
    <row r="1256" spans="124:124" ht="15" customHeight="1" x14ac:dyDescent="0.25">
      <c r="DT1256" s="3"/>
    </row>
    <row r="1257" spans="124:124" ht="15" customHeight="1" x14ac:dyDescent="0.25">
      <c r="DT1257" s="3"/>
    </row>
    <row r="1258" spans="124:124" ht="15" customHeight="1" x14ac:dyDescent="0.25">
      <c r="DT1258" s="3"/>
    </row>
    <row r="1259" spans="124:124" ht="15" customHeight="1" x14ac:dyDescent="0.25">
      <c r="DT1259" s="3"/>
    </row>
    <row r="1260" spans="124:124" ht="15" customHeight="1" x14ac:dyDescent="0.25">
      <c r="DT1260" s="3"/>
    </row>
    <row r="1261" spans="124:124" ht="15" customHeight="1" x14ac:dyDescent="0.25">
      <c r="DT1261" s="3"/>
    </row>
    <row r="1262" spans="124:124" ht="15" customHeight="1" x14ac:dyDescent="0.25">
      <c r="DT1262" s="3"/>
    </row>
    <row r="1263" spans="124:124" ht="15" customHeight="1" x14ac:dyDescent="0.25">
      <c r="DT1263" s="3"/>
    </row>
    <row r="1264" spans="124:124" ht="15" customHeight="1" x14ac:dyDescent="0.25">
      <c r="DT1264" s="3"/>
    </row>
    <row r="1265" spans="124:124" ht="15" customHeight="1" x14ac:dyDescent="0.25">
      <c r="DT1265" s="3"/>
    </row>
    <row r="1266" spans="124:124" ht="15" customHeight="1" x14ac:dyDescent="0.25">
      <c r="DT1266" s="3"/>
    </row>
    <row r="1267" spans="124:124" ht="15" customHeight="1" x14ac:dyDescent="0.25">
      <c r="DT1267" s="3"/>
    </row>
    <row r="1268" spans="124:124" ht="15" customHeight="1" x14ac:dyDescent="0.25">
      <c r="DT1268" s="3"/>
    </row>
    <row r="1269" spans="124:124" ht="15" customHeight="1" x14ac:dyDescent="0.25">
      <c r="DT1269" s="3"/>
    </row>
    <row r="1270" spans="124:124" ht="15" customHeight="1" x14ac:dyDescent="0.25">
      <c r="DT1270" s="3"/>
    </row>
    <row r="1271" spans="124:124" ht="15" customHeight="1" x14ac:dyDescent="0.25">
      <c r="DT1271" s="3"/>
    </row>
    <row r="1272" spans="124:124" ht="15" customHeight="1" x14ac:dyDescent="0.25">
      <c r="DT1272" s="3"/>
    </row>
    <row r="1273" spans="124:124" ht="15" customHeight="1" x14ac:dyDescent="0.25">
      <c r="DT1273" s="3"/>
    </row>
    <row r="1274" spans="124:124" ht="15" customHeight="1" x14ac:dyDescent="0.25">
      <c r="DT1274" s="3"/>
    </row>
    <row r="1275" spans="124:124" ht="15" customHeight="1" x14ac:dyDescent="0.25">
      <c r="DT1275" s="3"/>
    </row>
    <row r="1276" spans="124:124" ht="15" customHeight="1" x14ac:dyDescent="0.25">
      <c r="DT1276" s="3"/>
    </row>
    <row r="1277" spans="124:124" ht="15" customHeight="1" x14ac:dyDescent="0.25">
      <c r="DT1277" s="3"/>
    </row>
    <row r="1278" spans="124:124" ht="15" customHeight="1" x14ac:dyDescent="0.25">
      <c r="DT1278" s="3"/>
    </row>
    <row r="1279" spans="124:124" ht="15" customHeight="1" x14ac:dyDescent="0.25">
      <c r="DT1279" s="3"/>
    </row>
    <row r="1280" spans="124:124" ht="15" customHeight="1" x14ac:dyDescent="0.25">
      <c r="DT1280" s="3"/>
    </row>
    <row r="1281" spans="124:124" ht="15" customHeight="1" x14ac:dyDescent="0.25">
      <c r="DT1281" s="3"/>
    </row>
    <row r="1282" spans="124:124" ht="15" customHeight="1" x14ac:dyDescent="0.25">
      <c r="DT1282" s="3"/>
    </row>
    <row r="1283" spans="124:124" ht="15" customHeight="1" x14ac:dyDescent="0.25">
      <c r="DT1283" s="3"/>
    </row>
    <row r="1284" spans="124:124" ht="15" customHeight="1" x14ac:dyDescent="0.25">
      <c r="DT1284" s="3"/>
    </row>
    <row r="1285" spans="124:124" ht="15" customHeight="1" x14ac:dyDescent="0.25">
      <c r="DT1285" s="3"/>
    </row>
    <row r="1286" spans="124:124" ht="15" customHeight="1" x14ac:dyDescent="0.25">
      <c r="DT1286" s="3"/>
    </row>
    <row r="1287" spans="124:124" ht="15" customHeight="1" x14ac:dyDescent="0.25">
      <c r="DT1287" s="3"/>
    </row>
    <row r="1288" spans="124:124" ht="15" customHeight="1" x14ac:dyDescent="0.25">
      <c r="DT1288" s="3"/>
    </row>
    <row r="1289" spans="124:124" ht="15" customHeight="1" x14ac:dyDescent="0.25">
      <c r="DT1289" s="3"/>
    </row>
    <row r="1290" spans="124:124" ht="15" customHeight="1" x14ac:dyDescent="0.25">
      <c r="DT1290" s="3"/>
    </row>
    <row r="1291" spans="124:124" ht="15" customHeight="1" x14ac:dyDescent="0.25">
      <c r="DT1291" s="3"/>
    </row>
    <row r="1292" spans="124:124" ht="15" customHeight="1" x14ac:dyDescent="0.25">
      <c r="DT1292" s="3"/>
    </row>
    <row r="1293" spans="124:124" ht="15" customHeight="1" x14ac:dyDescent="0.25">
      <c r="DT1293" s="3"/>
    </row>
    <row r="1294" spans="124:124" ht="15" customHeight="1" x14ac:dyDescent="0.25">
      <c r="DT1294" s="3"/>
    </row>
    <row r="1295" spans="124:124" ht="15" customHeight="1" x14ac:dyDescent="0.25">
      <c r="DT1295" s="3"/>
    </row>
    <row r="1296" spans="124:124" ht="15" customHeight="1" x14ac:dyDescent="0.25">
      <c r="DT1296" s="3"/>
    </row>
    <row r="1297" spans="124:124" ht="15" customHeight="1" x14ac:dyDescent="0.25">
      <c r="DT1297" s="3"/>
    </row>
    <row r="1298" spans="124:124" ht="15" customHeight="1" x14ac:dyDescent="0.25">
      <c r="DT1298" s="3"/>
    </row>
    <row r="1299" spans="124:124" ht="15" customHeight="1" x14ac:dyDescent="0.25">
      <c r="DT1299" s="3"/>
    </row>
    <row r="1300" spans="124:124" ht="15" customHeight="1" x14ac:dyDescent="0.25">
      <c r="DT1300" s="3"/>
    </row>
    <row r="1301" spans="124:124" ht="15" customHeight="1" x14ac:dyDescent="0.25">
      <c r="DT1301" s="3"/>
    </row>
    <row r="1302" spans="124:124" ht="15" customHeight="1" x14ac:dyDescent="0.25">
      <c r="DT1302" s="3"/>
    </row>
    <row r="1303" spans="124:124" ht="15" customHeight="1" x14ac:dyDescent="0.25">
      <c r="DT1303" s="3"/>
    </row>
    <row r="1304" spans="124:124" ht="15" customHeight="1" x14ac:dyDescent="0.25">
      <c r="DT1304" s="3"/>
    </row>
    <row r="1305" spans="124:124" ht="15" customHeight="1" x14ac:dyDescent="0.25">
      <c r="DT1305" s="3"/>
    </row>
    <row r="1306" spans="124:124" ht="15" customHeight="1" x14ac:dyDescent="0.25">
      <c r="DT1306" s="3"/>
    </row>
    <row r="1307" spans="124:124" ht="15" customHeight="1" x14ac:dyDescent="0.25">
      <c r="DT1307" s="3"/>
    </row>
    <row r="1308" spans="124:124" ht="15" customHeight="1" x14ac:dyDescent="0.25">
      <c r="DT1308" s="3"/>
    </row>
    <row r="1309" spans="124:124" ht="15" customHeight="1" x14ac:dyDescent="0.25">
      <c r="DT1309" s="3"/>
    </row>
    <row r="1310" spans="124:124" ht="15" customHeight="1" x14ac:dyDescent="0.25">
      <c r="DT1310" s="3"/>
    </row>
    <row r="1311" spans="124:124" ht="15" customHeight="1" x14ac:dyDescent="0.25">
      <c r="DT1311" s="3"/>
    </row>
    <row r="1312" spans="124:124" ht="15" customHeight="1" x14ac:dyDescent="0.25">
      <c r="DT1312" s="3"/>
    </row>
    <row r="1313" spans="124:124" ht="15" customHeight="1" x14ac:dyDescent="0.25">
      <c r="DT1313" s="3"/>
    </row>
    <row r="1314" spans="124:124" ht="15" customHeight="1" x14ac:dyDescent="0.25">
      <c r="DT1314" s="3"/>
    </row>
    <row r="1315" spans="124:124" ht="15" customHeight="1" x14ac:dyDescent="0.25">
      <c r="DT1315" s="3"/>
    </row>
    <row r="1316" spans="124:124" ht="15" customHeight="1" x14ac:dyDescent="0.25">
      <c r="DT1316" s="3"/>
    </row>
    <row r="1317" spans="124:124" ht="15" customHeight="1" x14ac:dyDescent="0.25">
      <c r="DT1317" s="3"/>
    </row>
    <row r="1318" spans="124:124" ht="15" customHeight="1" x14ac:dyDescent="0.25">
      <c r="DT1318" s="3"/>
    </row>
    <row r="1319" spans="124:124" ht="15" customHeight="1" x14ac:dyDescent="0.25">
      <c r="DT1319" s="3"/>
    </row>
    <row r="1320" spans="124:124" ht="15" customHeight="1" x14ac:dyDescent="0.25">
      <c r="DT1320" s="3"/>
    </row>
    <row r="1321" spans="124:124" ht="15" customHeight="1" x14ac:dyDescent="0.25">
      <c r="DT1321" s="3"/>
    </row>
    <row r="1322" spans="124:124" ht="15" customHeight="1" x14ac:dyDescent="0.25">
      <c r="DT1322" s="3"/>
    </row>
    <row r="1323" spans="124:124" ht="15" customHeight="1" x14ac:dyDescent="0.25">
      <c r="DT1323" s="3"/>
    </row>
    <row r="1324" spans="124:124" ht="15" customHeight="1" x14ac:dyDescent="0.25">
      <c r="DT1324" s="3"/>
    </row>
    <row r="1325" spans="124:124" ht="15" customHeight="1" x14ac:dyDescent="0.25">
      <c r="DT1325" s="3"/>
    </row>
    <row r="1326" spans="124:124" ht="15" customHeight="1" x14ac:dyDescent="0.25">
      <c r="DT1326" s="3"/>
    </row>
    <row r="1327" spans="124:124" ht="15" customHeight="1" x14ac:dyDescent="0.25">
      <c r="DT1327" s="3"/>
    </row>
    <row r="1328" spans="124:124" ht="15" customHeight="1" x14ac:dyDescent="0.25">
      <c r="DT1328" s="3"/>
    </row>
    <row r="1329" spans="124:124" ht="15" customHeight="1" x14ac:dyDescent="0.25">
      <c r="DT1329" s="3"/>
    </row>
    <row r="1330" spans="124:124" ht="15" customHeight="1" x14ac:dyDescent="0.25">
      <c r="DT1330" s="3"/>
    </row>
    <row r="1331" spans="124:124" ht="15" customHeight="1" x14ac:dyDescent="0.25">
      <c r="DT1331" s="3"/>
    </row>
    <row r="1332" spans="124:124" ht="15" customHeight="1" x14ac:dyDescent="0.25">
      <c r="DT1332" s="3"/>
    </row>
    <row r="1333" spans="124:124" ht="15" customHeight="1" x14ac:dyDescent="0.25">
      <c r="DT1333" s="3"/>
    </row>
    <row r="1334" spans="124:124" ht="15" customHeight="1" x14ac:dyDescent="0.25">
      <c r="DT1334" s="3"/>
    </row>
    <row r="1335" spans="124:124" ht="15" customHeight="1" x14ac:dyDescent="0.25">
      <c r="DT1335" s="3"/>
    </row>
    <row r="1336" spans="124:124" ht="15" customHeight="1" x14ac:dyDescent="0.25">
      <c r="DT1336" s="3"/>
    </row>
    <row r="1337" spans="124:124" ht="15" customHeight="1" x14ac:dyDescent="0.25">
      <c r="DT1337" s="3"/>
    </row>
    <row r="1338" spans="124:124" ht="15" customHeight="1" x14ac:dyDescent="0.25">
      <c r="DT1338" s="3"/>
    </row>
    <row r="1339" spans="124:124" ht="15" customHeight="1" x14ac:dyDescent="0.25">
      <c r="DT1339" s="3"/>
    </row>
    <row r="1340" spans="124:124" ht="15" customHeight="1" x14ac:dyDescent="0.25">
      <c r="DT1340" s="3"/>
    </row>
    <row r="1341" spans="124:124" ht="15" customHeight="1" x14ac:dyDescent="0.25">
      <c r="DT1341" s="3"/>
    </row>
    <row r="1342" spans="124:124" ht="15" customHeight="1" x14ac:dyDescent="0.25">
      <c r="DT1342" s="3"/>
    </row>
    <row r="1343" spans="124:124" ht="15" customHeight="1" x14ac:dyDescent="0.25">
      <c r="DT1343" s="3"/>
    </row>
    <row r="1344" spans="124:124" ht="15" customHeight="1" x14ac:dyDescent="0.25">
      <c r="DT1344" s="3"/>
    </row>
    <row r="1345" spans="124:124" ht="15" customHeight="1" x14ac:dyDescent="0.25">
      <c r="DT1345" s="3"/>
    </row>
    <row r="1346" spans="124:124" ht="15" customHeight="1" x14ac:dyDescent="0.25">
      <c r="DT1346" s="3"/>
    </row>
    <row r="1347" spans="124:124" ht="15" customHeight="1" x14ac:dyDescent="0.25">
      <c r="DT1347" s="3"/>
    </row>
    <row r="1348" spans="124:124" ht="15" customHeight="1" x14ac:dyDescent="0.25">
      <c r="DT1348" s="3"/>
    </row>
    <row r="1349" spans="124:124" ht="15" customHeight="1" x14ac:dyDescent="0.25">
      <c r="DT1349" s="3"/>
    </row>
    <row r="1350" spans="124:124" ht="15" customHeight="1" x14ac:dyDescent="0.25">
      <c r="DT1350" s="3"/>
    </row>
    <row r="1351" spans="124:124" ht="15" customHeight="1" x14ac:dyDescent="0.25">
      <c r="DT1351" s="3"/>
    </row>
    <row r="1352" spans="124:124" ht="15" customHeight="1" x14ac:dyDescent="0.25">
      <c r="DT1352" s="3"/>
    </row>
    <row r="1353" spans="124:124" ht="15" customHeight="1" x14ac:dyDescent="0.25">
      <c r="DT1353" s="3"/>
    </row>
    <row r="1354" spans="124:124" ht="15" customHeight="1" x14ac:dyDescent="0.25">
      <c r="DT1354" s="3"/>
    </row>
    <row r="1355" spans="124:124" ht="15" customHeight="1" x14ac:dyDescent="0.25">
      <c r="DT1355" s="3"/>
    </row>
    <row r="1356" spans="124:124" ht="15" customHeight="1" x14ac:dyDescent="0.25">
      <c r="DT1356" s="3"/>
    </row>
    <row r="1357" spans="124:124" ht="15" customHeight="1" x14ac:dyDescent="0.25">
      <c r="DT1357" s="3"/>
    </row>
    <row r="1358" spans="124:124" ht="15" customHeight="1" x14ac:dyDescent="0.25">
      <c r="DT1358" s="3"/>
    </row>
    <row r="1359" spans="124:124" ht="15" customHeight="1" x14ac:dyDescent="0.25">
      <c r="DT1359" s="3"/>
    </row>
    <row r="1360" spans="124:124" ht="15" customHeight="1" x14ac:dyDescent="0.25">
      <c r="DT1360" s="3"/>
    </row>
    <row r="1361" spans="124:124" ht="15" customHeight="1" x14ac:dyDescent="0.25">
      <c r="DT1361" s="3"/>
    </row>
    <row r="1362" spans="124:124" ht="15" customHeight="1" x14ac:dyDescent="0.25">
      <c r="DT1362" s="3"/>
    </row>
    <row r="1363" spans="124:124" ht="15" customHeight="1" x14ac:dyDescent="0.25">
      <c r="DT1363" s="3"/>
    </row>
    <row r="1364" spans="124:124" ht="15" customHeight="1" x14ac:dyDescent="0.25">
      <c r="DT1364" s="3"/>
    </row>
    <row r="1365" spans="124:124" ht="15" customHeight="1" x14ac:dyDescent="0.25">
      <c r="DT1365" s="3"/>
    </row>
    <row r="1366" spans="124:124" ht="15" customHeight="1" x14ac:dyDescent="0.25">
      <c r="DT1366" s="3"/>
    </row>
    <row r="1367" spans="124:124" ht="15" customHeight="1" x14ac:dyDescent="0.25">
      <c r="DT1367" s="3"/>
    </row>
    <row r="1368" spans="124:124" ht="15" customHeight="1" x14ac:dyDescent="0.25">
      <c r="DT1368" s="3"/>
    </row>
    <row r="1369" spans="124:124" ht="15" customHeight="1" x14ac:dyDescent="0.25">
      <c r="DT1369" s="3"/>
    </row>
    <row r="1370" spans="124:124" ht="15" customHeight="1" x14ac:dyDescent="0.25">
      <c r="DT1370" s="3"/>
    </row>
    <row r="1371" spans="124:124" ht="15" customHeight="1" x14ac:dyDescent="0.25">
      <c r="DT1371" s="3"/>
    </row>
    <row r="1372" spans="124:124" ht="15" customHeight="1" x14ac:dyDescent="0.25">
      <c r="DT1372" s="3"/>
    </row>
    <row r="1373" spans="124:124" ht="15" customHeight="1" x14ac:dyDescent="0.25">
      <c r="DT1373" s="3"/>
    </row>
    <row r="1374" spans="124:124" ht="15" customHeight="1" x14ac:dyDescent="0.25">
      <c r="DT1374" s="3"/>
    </row>
    <row r="1375" spans="124:124" ht="15" customHeight="1" x14ac:dyDescent="0.25">
      <c r="DT1375" s="3"/>
    </row>
    <row r="1376" spans="124:124" ht="15" customHeight="1" x14ac:dyDescent="0.25">
      <c r="DT1376" s="3"/>
    </row>
    <row r="1377" spans="124:124" ht="15" customHeight="1" x14ac:dyDescent="0.25">
      <c r="DT1377" s="3"/>
    </row>
    <row r="1378" spans="124:124" ht="15" customHeight="1" x14ac:dyDescent="0.25">
      <c r="DT1378" s="3"/>
    </row>
    <row r="1379" spans="124:124" ht="15" customHeight="1" x14ac:dyDescent="0.25">
      <c r="DT1379" s="3"/>
    </row>
    <row r="1380" spans="124:124" ht="15" customHeight="1" x14ac:dyDescent="0.25">
      <c r="DT1380" s="3"/>
    </row>
    <row r="1381" spans="124:124" ht="15" customHeight="1" x14ac:dyDescent="0.25">
      <c r="DT1381" s="3"/>
    </row>
    <row r="1382" spans="124:124" ht="15" customHeight="1" x14ac:dyDescent="0.25">
      <c r="DT1382" s="3"/>
    </row>
    <row r="1383" spans="124:124" ht="15" customHeight="1" x14ac:dyDescent="0.25">
      <c r="DT1383" s="3"/>
    </row>
    <row r="1384" spans="124:124" ht="15" customHeight="1" x14ac:dyDescent="0.25">
      <c r="DT1384" s="3"/>
    </row>
    <row r="1385" spans="124:124" ht="15" customHeight="1" x14ac:dyDescent="0.25">
      <c r="DT1385" s="3"/>
    </row>
    <row r="1386" spans="124:124" ht="15" customHeight="1" x14ac:dyDescent="0.25">
      <c r="DT1386" s="3"/>
    </row>
    <row r="1387" spans="124:124" ht="15" customHeight="1" x14ac:dyDescent="0.25">
      <c r="DT1387" s="3"/>
    </row>
    <row r="1388" spans="124:124" ht="15" customHeight="1" x14ac:dyDescent="0.25">
      <c r="DT1388" s="3"/>
    </row>
    <row r="1389" spans="124:124" ht="15" customHeight="1" x14ac:dyDescent="0.25">
      <c r="DT1389" s="3"/>
    </row>
    <row r="1390" spans="124:124" ht="15" customHeight="1" x14ac:dyDescent="0.25">
      <c r="DT1390" s="3"/>
    </row>
    <row r="1391" spans="124:124" ht="15" customHeight="1" x14ac:dyDescent="0.25">
      <c r="DT1391" s="3"/>
    </row>
    <row r="1392" spans="124:124" ht="15" customHeight="1" x14ac:dyDescent="0.25">
      <c r="DT1392" s="3"/>
    </row>
    <row r="1393" spans="124:124" ht="15" customHeight="1" x14ac:dyDescent="0.25">
      <c r="DT1393" s="3"/>
    </row>
    <row r="1394" spans="124:124" ht="15" customHeight="1" x14ac:dyDescent="0.25">
      <c r="DT1394" s="3"/>
    </row>
    <row r="1395" spans="124:124" ht="15" customHeight="1" x14ac:dyDescent="0.25">
      <c r="DT1395" s="3"/>
    </row>
    <row r="1396" spans="124:124" ht="15" customHeight="1" x14ac:dyDescent="0.25">
      <c r="DT1396" s="3"/>
    </row>
    <row r="1397" spans="124:124" ht="15" customHeight="1" x14ac:dyDescent="0.25">
      <c r="DT1397" s="3"/>
    </row>
    <row r="1398" spans="124:124" ht="15" customHeight="1" x14ac:dyDescent="0.25">
      <c r="DT1398" s="3"/>
    </row>
    <row r="1399" spans="124:124" ht="15" customHeight="1" x14ac:dyDescent="0.25">
      <c r="DT1399" s="3"/>
    </row>
    <row r="1400" spans="124:124" ht="15" customHeight="1" x14ac:dyDescent="0.25">
      <c r="DT1400" s="3"/>
    </row>
    <row r="1401" spans="124:124" ht="15" customHeight="1" x14ac:dyDescent="0.25">
      <c r="DT1401" s="3"/>
    </row>
    <row r="1402" spans="124:124" ht="15" customHeight="1" x14ac:dyDescent="0.25">
      <c r="DT1402" s="3"/>
    </row>
    <row r="1403" spans="124:124" ht="15" customHeight="1" x14ac:dyDescent="0.25">
      <c r="DT1403" s="3"/>
    </row>
    <row r="1404" spans="124:124" ht="15" customHeight="1" x14ac:dyDescent="0.25">
      <c r="DT1404" s="3"/>
    </row>
    <row r="1405" spans="124:124" ht="15" customHeight="1" x14ac:dyDescent="0.25">
      <c r="DT1405" s="3"/>
    </row>
    <row r="1406" spans="124:124" ht="15" customHeight="1" x14ac:dyDescent="0.25">
      <c r="DT1406" s="3"/>
    </row>
    <row r="1407" spans="124:124" ht="15" customHeight="1" x14ac:dyDescent="0.25">
      <c r="DT1407" s="3"/>
    </row>
    <row r="1408" spans="124:124" ht="15" customHeight="1" x14ac:dyDescent="0.25">
      <c r="DT1408" s="3"/>
    </row>
    <row r="1409" spans="124:124" ht="15" customHeight="1" x14ac:dyDescent="0.25">
      <c r="DT1409" s="3"/>
    </row>
    <row r="1410" spans="124:124" ht="15" customHeight="1" x14ac:dyDescent="0.25">
      <c r="DT1410" s="3"/>
    </row>
    <row r="1411" spans="124:124" ht="15" customHeight="1" x14ac:dyDescent="0.25">
      <c r="DT1411" s="3"/>
    </row>
    <row r="1412" spans="124:124" ht="15" customHeight="1" x14ac:dyDescent="0.25">
      <c r="DT1412" s="3"/>
    </row>
    <row r="1413" spans="124:124" ht="15" customHeight="1" x14ac:dyDescent="0.25">
      <c r="DT1413" s="3"/>
    </row>
    <row r="1414" spans="124:124" ht="15" customHeight="1" x14ac:dyDescent="0.25">
      <c r="DT1414" s="3"/>
    </row>
    <row r="1415" spans="124:124" ht="15" customHeight="1" x14ac:dyDescent="0.25">
      <c r="DT1415" s="3"/>
    </row>
    <row r="1416" spans="124:124" ht="15" customHeight="1" x14ac:dyDescent="0.25">
      <c r="DT1416" s="3"/>
    </row>
    <row r="1417" spans="124:124" ht="15" customHeight="1" x14ac:dyDescent="0.25">
      <c r="DT1417" s="3"/>
    </row>
    <row r="1418" spans="124:124" ht="15" customHeight="1" x14ac:dyDescent="0.25">
      <c r="DT1418" s="3"/>
    </row>
    <row r="1419" spans="124:124" ht="15" customHeight="1" x14ac:dyDescent="0.25">
      <c r="DT1419" s="3"/>
    </row>
    <row r="1420" spans="124:124" ht="15" customHeight="1" x14ac:dyDescent="0.25">
      <c r="DT1420" s="3"/>
    </row>
    <row r="1421" spans="124:124" ht="15" customHeight="1" x14ac:dyDescent="0.25">
      <c r="DT1421" s="3"/>
    </row>
    <row r="1422" spans="124:124" ht="15" customHeight="1" x14ac:dyDescent="0.25">
      <c r="DT1422" s="3"/>
    </row>
    <row r="1423" spans="124:124" ht="15" customHeight="1" x14ac:dyDescent="0.25">
      <c r="DT1423" s="3"/>
    </row>
    <row r="1424" spans="124:124" ht="15" customHeight="1" x14ac:dyDescent="0.25">
      <c r="DT1424" s="3"/>
    </row>
    <row r="1425" spans="124:124" ht="15" customHeight="1" x14ac:dyDescent="0.25">
      <c r="DT1425" s="3"/>
    </row>
    <row r="1426" spans="124:124" ht="15" customHeight="1" x14ac:dyDescent="0.25">
      <c r="DT1426" s="3"/>
    </row>
    <row r="1427" spans="124:124" ht="15" customHeight="1" x14ac:dyDescent="0.25">
      <c r="DT1427" s="3"/>
    </row>
    <row r="1428" spans="124:124" ht="15" customHeight="1" x14ac:dyDescent="0.25">
      <c r="DT1428" s="3"/>
    </row>
    <row r="1429" spans="124:124" ht="15" customHeight="1" x14ac:dyDescent="0.25">
      <c r="DT1429" s="3"/>
    </row>
    <row r="1430" spans="124:124" ht="15" customHeight="1" x14ac:dyDescent="0.25">
      <c r="DT1430" s="3"/>
    </row>
    <row r="1431" spans="124:124" ht="15" customHeight="1" x14ac:dyDescent="0.25">
      <c r="DT1431" s="3"/>
    </row>
    <row r="1432" spans="124:124" ht="15" customHeight="1" x14ac:dyDescent="0.25">
      <c r="DT1432" s="3"/>
    </row>
    <row r="1433" spans="124:124" ht="15" customHeight="1" x14ac:dyDescent="0.25">
      <c r="DT1433" s="3"/>
    </row>
    <row r="1434" spans="124:124" ht="15" customHeight="1" x14ac:dyDescent="0.25">
      <c r="DT1434" s="3"/>
    </row>
    <row r="1435" spans="124:124" ht="15" customHeight="1" x14ac:dyDescent="0.25">
      <c r="DT1435" s="3"/>
    </row>
    <row r="1436" spans="124:124" ht="15" customHeight="1" x14ac:dyDescent="0.25">
      <c r="DT1436" s="3"/>
    </row>
    <row r="1437" spans="124:124" ht="15" customHeight="1" x14ac:dyDescent="0.25">
      <c r="DT1437" s="3"/>
    </row>
    <row r="1438" spans="124:124" ht="15" customHeight="1" x14ac:dyDescent="0.25">
      <c r="DT1438" s="3"/>
    </row>
    <row r="1439" spans="124:124" ht="15" customHeight="1" x14ac:dyDescent="0.25">
      <c r="DT1439" s="3"/>
    </row>
    <row r="1440" spans="124:124" ht="15" customHeight="1" x14ac:dyDescent="0.25">
      <c r="DT1440" s="3"/>
    </row>
    <row r="1441" spans="124:124" ht="15" customHeight="1" x14ac:dyDescent="0.25">
      <c r="DT1441" s="3"/>
    </row>
    <row r="1442" spans="124:124" ht="15" customHeight="1" x14ac:dyDescent="0.25">
      <c r="DT1442" s="3"/>
    </row>
    <row r="1443" spans="124:124" ht="15" customHeight="1" x14ac:dyDescent="0.25">
      <c r="DT1443" s="3"/>
    </row>
    <row r="1444" spans="124:124" ht="15" customHeight="1" x14ac:dyDescent="0.25">
      <c r="DT1444" s="3"/>
    </row>
    <row r="1445" spans="124:124" ht="15" customHeight="1" x14ac:dyDescent="0.25">
      <c r="DT1445" s="3"/>
    </row>
    <row r="1446" spans="124:124" ht="15" customHeight="1" x14ac:dyDescent="0.25">
      <c r="DT1446" s="3"/>
    </row>
    <row r="1447" spans="124:124" ht="15" customHeight="1" x14ac:dyDescent="0.25">
      <c r="DT1447" s="3"/>
    </row>
    <row r="1448" spans="124:124" ht="15" customHeight="1" x14ac:dyDescent="0.25">
      <c r="DT1448" s="3"/>
    </row>
    <row r="1449" spans="124:124" ht="15" customHeight="1" x14ac:dyDescent="0.25">
      <c r="DT1449" s="3"/>
    </row>
    <row r="1450" spans="124:124" ht="15" customHeight="1" x14ac:dyDescent="0.25">
      <c r="DT1450" s="3"/>
    </row>
    <row r="1451" spans="124:124" ht="15" customHeight="1" x14ac:dyDescent="0.25">
      <c r="DT1451" s="3"/>
    </row>
    <row r="1452" spans="124:124" ht="15" customHeight="1" x14ac:dyDescent="0.25">
      <c r="DT1452" s="3"/>
    </row>
    <row r="1453" spans="124:124" ht="15" customHeight="1" x14ac:dyDescent="0.25">
      <c r="DT1453" s="3"/>
    </row>
    <row r="1454" spans="124:124" ht="15" customHeight="1" x14ac:dyDescent="0.25">
      <c r="DT1454" s="3"/>
    </row>
    <row r="1455" spans="124:124" ht="15" customHeight="1" x14ac:dyDescent="0.25">
      <c r="DT1455" s="3"/>
    </row>
    <row r="1456" spans="124:124" ht="15" customHeight="1" x14ac:dyDescent="0.25">
      <c r="DT1456" s="3"/>
    </row>
    <row r="1457" spans="124:124" ht="15" customHeight="1" x14ac:dyDescent="0.25">
      <c r="DT1457" s="3"/>
    </row>
    <row r="1458" spans="124:124" ht="15" customHeight="1" x14ac:dyDescent="0.25">
      <c r="DT1458" s="3"/>
    </row>
    <row r="1459" spans="124:124" ht="15" customHeight="1" x14ac:dyDescent="0.25">
      <c r="DT1459" s="3"/>
    </row>
    <row r="1460" spans="124:124" ht="15" customHeight="1" x14ac:dyDescent="0.25">
      <c r="DT1460" s="3"/>
    </row>
    <row r="1461" spans="124:124" ht="15" customHeight="1" x14ac:dyDescent="0.25">
      <c r="DT1461" s="3"/>
    </row>
    <row r="1462" spans="124:124" ht="15" customHeight="1" x14ac:dyDescent="0.25">
      <c r="DT1462" s="3"/>
    </row>
    <row r="1463" spans="124:124" ht="15" customHeight="1" x14ac:dyDescent="0.25">
      <c r="DT1463" s="3"/>
    </row>
    <row r="1464" spans="124:124" ht="15" customHeight="1" x14ac:dyDescent="0.25">
      <c r="DT1464" s="3"/>
    </row>
    <row r="1465" spans="124:124" ht="15" customHeight="1" x14ac:dyDescent="0.25">
      <c r="DT1465" s="3"/>
    </row>
    <row r="1466" spans="124:124" ht="15" customHeight="1" x14ac:dyDescent="0.25">
      <c r="DT1466" s="3"/>
    </row>
    <row r="1467" spans="124:124" ht="15" customHeight="1" x14ac:dyDescent="0.25">
      <c r="DT1467" s="3"/>
    </row>
    <row r="1468" spans="124:124" ht="15" customHeight="1" x14ac:dyDescent="0.25">
      <c r="DT1468" s="3"/>
    </row>
    <row r="1469" spans="124:124" ht="15" customHeight="1" x14ac:dyDescent="0.25">
      <c r="DT1469" s="3"/>
    </row>
    <row r="1470" spans="124:124" ht="15" customHeight="1" x14ac:dyDescent="0.25">
      <c r="DT1470" s="3"/>
    </row>
    <row r="1471" spans="124:124" ht="15" customHeight="1" x14ac:dyDescent="0.25">
      <c r="DT1471" s="3"/>
    </row>
    <row r="1472" spans="124:124" ht="15" customHeight="1" x14ac:dyDescent="0.25">
      <c r="DT1472" s="3"/>
    </row>
    <row r="1473" spans="124:124" ht="15" customHeight="1" x14ac:dyDescent="0.25">
      <c r="DT1473" s="3"/>
    </row>
    <row r="1474" spans="124:124" ht="15" customHeight="1" x14ac:dyDescent="0.25">
      <c r="DT1474" s="3"/>
    </row>
    <row r="1475" spans="124:124" ht="15" customHeight="1" x14ac:dyDescent="0.25">
      <c r="DT1475" s="3"/>
    </row>
    <row r="1476" spans="124:124" ht="15" customHeight="1" x14ac:dyDescent="0.25">
      <c r="DT1476" s="3"/>
    </row>
    <row r="1477" spans="124:124" ht="15" customHeight="1" x14ac:dyDescent="0.25">
      <c r="DT1477" s="3"/>
    </row>
    <row r="1478" spans="124:124" ht="15" customHeight="1" x14ac:dyDescent="0.25">
      <c r="DT1478" s="3"/>
    </row>
    <row r="1479" spans="124:124" ht="15" customHeight="1" x14ac:dyDescent="0.25">
      <c r="DT1479" s="3"/>
    </row>
    <row r="1480" spans="124:124" ht="15" customHeight="1" x14ac:dyDescent="0.25">
      <c r="DT1480" s="3"/>
    </row>
    <row r="1481" spans="124:124" ht="15" customHeight="1" x14ac:dyDescent="0.25">
      <c r="DT1481" s="3"/>
    </row>
    <row r="1482" spans="124:124" ht="15" customHeight="1" x14ac:dyDescent="0.25">
      <c r="DT1482" s="3"/>
    </row>
    <row r="1483" spans="124:124" ht="15" customHeight="1" x14ac:dyDescent="0.25">
      <c r="DT1483" s="3"/>
    </row>
    <row r="1484" spans="124:124" ht="15" customHeight="1" x14ac:dyDescent="0.25">
      <c r="DT1484" s="3"/>
    </row>
    <row r="1485" spans="124:124" ht="15" customHeight="1" x14ac:dyDescent="0.25">
      <c r="DT1485" s="3"/>
    </row>
    <row r="1486" spans="124:124" ht="15" customHeight="1" x14ac:dyDescent="0.25">
      <c r="DT1486" s="3"/>
    </row>
    <row r="1487" spans="124:124" ht="15" customHeight="1" x14ac:dyDescent="0.25">
      <c r="DT1487" s="3"/>
    </row>
    <row r="1488" spans="124:124" ht="15" customHeight="1" x14ac:dyDescent="0.25">
      <c r="DT1488" s="3"/>
    </row>
    <row r="1489" spans="124:124" ht="15" customHeight="1" x14ac:dyDescent="0.25">
      <c r="DT1489" s="3"/>
    </row>
    <row r="1490" spans="124:124" ht="15" customHeight="1" x14ac:dyDescent="0.25">
      <c r="DT1490" s="3"/>
    </row>
    <row r="1491" spans="124:124" ht="15" customHeight="1" x14ac:dyDescent="0.25">
      <c r="DT1491" s="3"/>
    </row>
    <row r="1492" spans="124:124" ht="15" customHeight="1" x14ac:dyDescent="0.25">
      <c r="DT1492" s="3"/>
    </row>
    <row r="1493" spans="124:124" ht="15" customHeight="1" x14ac:dyDescent="0.25">
      <c r="DT1493" s="3"/>
    </row>
    <row r="1494" spans="124:124" ht="15" customHeight="1" x14ac:dyDescent="0.25">
      <c r="DT1494" s="3"/>
    </row>
    <row r="1495" spans="124:124" ht="15" customHeight="1" x14ac:dyDescent="0.25">
      <c r="DT1495" s="3"/>
    </row>
    <row r="1496" spans="124:124" ht="15" customHeight="1" x14ac:dyDescent="0.25">
      <c r="DT1496" s="3"/>
    </row>
    <row r="1497" spans="124:124" ht="15" customHeight="1" x14ac:dyDescent="0.25">
      <c r="DT1497" s="3"/>
    </row>
    <row r="1498" spans="124:124" ht="15" customHeight="1" x14ac:dyDescent="0.25">
      <c r="DT1498" s="3"/>
    </row>
    <row r="1499" spans="124:124" ht="15" customHeight="1" x14ac:dyDescent="0.25">
      <c r="DT1499" s="3"/>
    </row>
    <row r="1500" spans="124:124" ht="15" customHeight="1" x14ac:dyDescent="0.25">
      <c r="DT1500" s="3"/>
    </row>
    <row r="1501" spans="124:124" ht="15" customHeight="1" x14ac:dyDescent="0.25">
      <c r="DT1501" s="3"/>
    </row>
    <row r="1502" spans="124:124" ht="15" customHeight="1" x14ac:dyDescent="0.25">
      <c r="DT1502" s="3"/>
    </row>
    <row r="1503" spans="124:124" ht="15" customHeight="1" x14ac:dyDescent="0.25">
      <c r="DT1503" s="3"/>
    </row>
    <row r="1504" spans="124:124" ht="15" customHeight="1" x14ac:dyDescent="0.25">
      <c r="DT1504" s="3"/>
    </row>
    <row r="1505" spans="124:124" ht="15" customHeight="1" x14ac:dyDescent="0.25">
      <c r="DT1505" s="3"/>
    </row>
    <row r="1506" spans="124:124" ht="15" customHeight="1" x14ac:dyDescent="0.25">
      <c r="DT1506" s="3"/>
    </row>
    <row r="1507" spans="124:124" ht="15" customHeight="1" x14ac:dyDescent="0.25">
      <c r="DT1507" s="3"/>
    </row>
    <row r="1508" spans="124:124" ht="15" customHeight="1" x14ac:dyDescent="0.25">
      <c r="DT1508" s="3"/>
    </row>
    <row r="1509" spans="124:124" ht="15" customHeight="1" x14ac:dyDescent="0.25">
      <c r="DT1509" s="3"/>
    </row>
    <row r="1510" spans="124:124" ht="15" customHeight="1" x14ac:dyDescent="0.25">
      <c r="DT1510" s="3"/>
    </row>
    <row r="1511" spans="124:124" ht="15" customHeight="1" x14ac:dyDescent="0.25">
      <c r="DT1511" s="3"/>
    </row>
    <row r="1512" spans="124:124" ht="15" customHeight="1" x14ac:dyDescent="0.25">
      <c r="DT1512" s="3"/>
    </row>
    <row r="1513" spans="124:124" ht="15" customHeight="1" x14ac:dyDescent="0.25">
      <c r="DT1513" s="3"/>
    </row>
    <row r="1514" spans="124:124" ht="15" customHeight="1" x14ac:dyDescent="0.25">
      <c r="DT1514" s="3"/>
    </row>
    <row r="1515" spans="124:124" ht="15" customHeight="1" x14ac:dyDescent="0.25">
      <c r="DT1515" s="3"/>
    </row>
    <row r="1516" spans="124:124" ht="15" customHeight="1" x14ac:dyDescent="0.25">
      <c r="DT1516" s="3"/>
    </row>
    <row r="1517" spans="124:124" ht="15" customHeight="1" x14ac:dyDescent="0.25">
      <c r="DT1517" s="3"/>
    </row>
    <row r="1518" spans="124:124" ht="15" customHeight="1" x14ac:dyDescent="0.25">
      <c r="DT1518" s="3"/>
    </row>
    <row r="1519" spans="124:124" ht="15" customHeight="1" x14ac:dyDescent="0.25">
      <c r="DT1519" s="3"/>
    </row>
    <row r="1520" spans="124:124" ht="15" customHeight="1" x14ac:dyDescent="0.25">
      <c r="DT1520" s="3"/>
    </row>
    <row r="1521" spans="124:124" ht="15" customHeight="1" x14ac:dyDescent="0.25">
      <c r="DT1521" s="3"/>
    </row>
    <row r="1522" spans="124:124" ht="15" customHeight="1" x14ac:dyDescent="0.25">
      <c r="DT1522" s="3"/>
    </row>
    <row r="1523" spans="124:124" ht="15" customHeight="1" x14ac:dyDescent="0.25">
      <c r="DT1523" s="3"/>
    </row>
    <row r="1524" spans="124:124" ht="15" customHeight="1" x14ac:dyDescent="0.25">
      <c r="DT1524" s="3"/>
    </row>
    <row r="1525" spans="124:124" ht="15" customHeight="1" x14ac:dyDescent="0.25">
      <c r="DT1525" s="3"/>
    </row>
    <row r="1526" spans="124:124" ht="15" customHeight="1" x14ac:dyDescent="0.25">
      <c r="DT1526" s="3"/>
    </row>
    <row r="1527" spans="124:124" ht="15" customHeight="1" x14ac:dyDescent="0.25">
      <c r="DT1527" s="3"/>
    </row>
    <row r="1528" spans="124:124" ht="15" customHeight="1" x14ac:dyDescent="0.25">
      <c r="DT1528" s="3"/>
    </row>
    <row r="1529" spans="124:124" ht="15" customHeight="1" x14ac:dyDescent="0.25">
      <c r="DT1529" s="3"/>
    </row>
    <row r="1530" spans="124:124" ht="15" customHeight="1" x14ac:dyDescent="0.25">
      <c r="DT1530" s="3"/>
    </row>
    <row r="1531" spans="124:124" ht="15" customHeight="1" x14ac:dyDescent="0.25">
      <c r="DT1531" s="3"/>
    </row>
    <row r="1532" spans="124:124" ht="15" customHeight="1" x14ac:dyDescent="0.25">
      <c r="DT1532" s="3"/>
    </row>
    <row r="1533" spans="124:124" ht="15" customHeight="1" x14ac:dyDescent="0.25">
      <c r="DT1533" s="3"/>
    </row>
    <row r="1534" spans="124:124" ht="15" customHeight="1" x14ac:dyDescent="0.25">
      <c r="DT1534" s="3"/>
    </row>
    <row r="1535" spans="124:124" ht="15" customHeight="1" x14ac:dyDescent="0.25">
      <c r="DT1535" s="3"/>
    </row>
    <row r="1536" spans="124:124" ht="15" customHeight="1" x14ac:dyDescent="0.25">
      <c r="DT1536" s="3"/>
    </row>
    <row r="1537" spans="124:124" ht="15" customHeight="1" x14ac:dyDescent="0.25">
      <c r="DT1537" s="3"/>
    </row>
    <row r="1538" spans="124:124" ht="15" customHeight="1" x14ac:dyDescent="0.25">
      <c r="DT1538" s="3"/>
    </row>
    <row r="1539" spans="124:124" ht="15" customHeight="1" x14ac:dyDescent="0.25">
      <c r="DT1539" s="3"/>
    </row>
    <row r="1540" spans="124:124" ht="15" customHeight="1" x14ac:dyDescent="0.25">
      <c r="DT1540" s="3"/>
    </row>
    <row r="1541" spans="124:124" ht="15" customHeight="1" x14ac:dyDescent="0.25">
      <c r="DT1541" s="3"/>
    </row>
    <row r="1542" spans="124:124" ht="15" customHeight="1" x14ac:dyDescent="0.25">
      <c r="DT1542" s="3"/>
    </row>
    <row r="1543" spans="124:124" ht="15" customHeight="1" x14ac:dyDescent="0.25">
      <c r="DT1543" s="3"/>
    </row>
    <row r="1544" spans="124:124" ht="15" customHeight="1" x14ac:dyDescent="0.25">
      <c r="DT1544" s="3"/>
    </row>
    <row r="1545" spans="124:124" ht="15" customHeight="1" x14ac:dyDescent="0.25">
      <c r="DT1545" s="3"/>
    </row>
    <row r="1546" spans="124:124" ht="15" customHeight="1" x14ac:dyDescent="0.25">
      <c r="DT1546" s="3"/>
    </row>
    <row r="1547" spans="124:124" ht="15" customHeight="1" x14ac:dyDescent="0.25">
      <c r="DT1547" s="3"/>
    </row>
    <row r="1548" spans="124:124" ht="15" customHeight="1" x14ac:dyDescent="0.25">
      <c r="DT1548" s="3"/>
    </row>
    <row r="1549" spans="124:124" ht="15" customHeight="1" x14ac:dyDescent="0.25">
      <c r="DT1549" s="3"/>
    </row>
    <row r="1550" spans="124:124" ht="15" customHeight="1" x14ac:dyDescent="0.25">
      <c r="DT1550" s="3"/>
    </row>
    <row r="1551" spans="124:124" ht="15" customHeight="1" x14ac:dyDescent="0.25">
      <c r="DT1551" s="3"/>
    </row>
    <row r="1552" spans="124:124" ht="15" customHeight="1" x14ac:dyDescent="0.25">
      <c r="DT1552" s="3"/>
    </row>
    <row r="1553" spans="124:124" ht="15" customHeight="1" x14ac:dyDescent="0.25">
      <c r="DT1553" s="3"/>
    </row>
    <row r="1554" spans="124:124" ht="15" customHeight="1" x14ac:dyDescent="0.25">
      <c r="DT1554" s="3"/>
    </row>
    <row r="1555" spans="124:124" ht="15" customHeight="1" x14ac:dyDescent="0.25">
      <c r="DT1555" s="3"/>
    </row>
    <row r="1556" spans="124:124" ht="15" customHeight="1" x14ac:dyDescent="0.25">
      <c r="DT1556" s="3"/>
    </row>
    <row r="1557" spans="124:124" ht="15" customHeight="1" x14ac:dyDescent="0.25">
      <c r="DT1557" s="3"/>
    </row>
    <row r="1558" spans="124:124" ht="15" customHeight="1" x14ac:dyDescent="0.25">
      <c r="DT1558" s="3"/>
    </row>
    <row r="1559" spans="124:124" ht="15" customHeight="1" x14ac:dyDescent="0.25">
      <c r="DT1559" s="3"/>
    </row>
    <row r="1560" spans="124:124" ht="15" customHeight="1" x14ac:dyDescent="0.25">
      <c r="DT1560" s="3"/>
    </row>
    <row r="1561" spans="124:124" ht="15" customHeight="1" x14ac:dyDescent="0.25">
      <c r="DT1561" s="3"/>
    </row>
    <row r="1562" spans="124:124" ht="15" customHeight="1" x14ac:dyDescent="0.25">
      <c r="DT1562" s="3"/>
    </row>
    <row r="1563" spans="124:124" ht="15" customHeight="1" x14ac:dyDescent="0.25">
      <c r="DT1563" s="3"/>
    </row>
    <row r="1564" spans="124:124" ht="15" customHeight="1" x14ac:dyDescent="0.25">
      <c r="DT1564" s="3"/>
    </row>
    <row r="1565" spans="124:124" ht="15" customHeight="1" x14ac:dyDescent="0.25">
      <c r="DT1565" s="3"/>
    </row>
    <row r="1566" spans="124:124" ht="15" customHeight="1" x14ac:dyDescent="0.25">
      <c r="DT1566" s="3"/>
    </row>
    <row r="1567" spans="124:124" ht="15" customHeight="1" x14ac:dyDescent="0.25">
      <c r="DT1567" s="3"/>
    </row>
    <row r="1568" spans="124:124" ht="15" customHeight="1" x14ac:dyDescent="0.25">
      <c r="DT1568" s="3"/>
    </row>
    <row r="1569" spans="124:124" ht="15" customHeight="1" x14ac:dyDescent="0.25">
      <c r="DT1569" s="3"/>
    </row>
    <row r="1570" spans="124:124" ht="15" customHeight="1" x14ac:dyDescent="0.25">
      <c r="DT1570" s="3"/>
    </row>
    <row r="1571" spans="124:124" ht="15" customHeight="1" x14ac:dyDescent="0.25">
      <c r="DT1571" s="3"/>
    </row>
    <row r="1572" spans="124:124" ht="15" customHeight="1" x14ac:dyDescent="0.25">
      <c r="DT1572" s="3"/>
    </row>
    <row r="1573" spans="124:124" ht="15" customHeight="1" x14ac:dyDescent="0.25">
      <c r="DT1573" s="3"/>
    </row>
    <row r="1574" spans="124:124" ht="15" customHeight="1" x14ac:dyDescent="0.25">
      <c r="DT1574" s="3"/>
    </row>
    <row r="1575" spans="124:124" ht="15" customHeight="1" x14ac:dyDescent="0.25">
      <c r="DT1575" s="3"/>
    </row>
    <row r="1576" spans="124:124" ht="15" customHeight="1" x14ac:dyDescent="0.25">
      <c r="DT1576" s="3"/>
    </row>
    <row r="1577" spans="124:124" ht="15" customHeight="1" x14ac:dyDescent="0.25">
      <c r="DT1577" s="3"/>
    </row>
    <row r="1578" spans="124:124" ht="15" customHeight="1" x14ac:dyDescent="0.25">
      <c r="DT1578" s="3"/>
    </row>
    <row r="1579" spans="124:124" ht="15" customHeight="1" x14ac:dyDescent="0.25">
      <c r="DT1579" s="3"/>
    </row>
    <row r="1580" spans="124:124" ht="15" customHeight="1" x14ac:dyDescent="0.25">
      <c r="DT1580" s="3"/>
    </row>
    <row r="1581" spans="124:124" ht="15" customHeight="1" x14ac:dyDescent="0.25">
      <c r="DT1581" s="3"/>
    </row>
    <row r="1582" spans="124:124" ht="15" customHeight="1" x14ac:dyDescent="0.25">
      <c r="DT1582" s="3"/>
    </row>
    <row r="1583" spans="124:124" ht="15" customHeight="1" x14ac:dyDescent="0.25">
      <c r="DT1583" s="3"/>
    </row>
    <row r="1584" spans="124:124" ht="15" customHeight="1" x14ac:dyDescent="0.25">
      <c r="DT1584" s="3"/>
    </row>
    <row r="1585" spans="124:124" ht="15" customHeight="1" x14ac:dyDescent="0.25">
      <c r="DT1585" s="3"/>
    </row>
    <row r="1586" spans="124:124" ht="15" customHeight="1" x14ac:dyDescent="0.25">
      <c r="DT1586" s="3"/>
    </row>
    <row r="1587" spans="124:124" ht="15" customHeight="1" x14ac:dyDescent="0.25">
      <c r="DT1587" s="3"/>
    </row>
    <row r="1588" spans="124:124" ht="15" customHeight="1" x14ac:dyDescent="0.25">
      <c r="DT1588" s="3"/>
    </row>
    <row r="1589" spans="124:124" ht="15" customHeight="1" x14ac:dyDescent="0.25">
      <c r="DT1589" s="3"/>
    </row>
    <row r="1590" spans="124:124" ht="15" customHeight="1" x14ac:dyDescent="0.25">
      <c r="DT1590" s="3"/>
    </row>
    <row r="1591" spans="124:124" ht="15" customHeight="1" x14ac:dyDescent="0.25">
      <c r="DT1591" s="3"/>
    </row>
    <row r="1592" spans="124:124" ht="15" customHeight="1" x14ac:dyDescent="0.25">
      <c r="DT1592" s="3"/>
    </row>
    <row r="1593" spans="124:124" ht="15" customHeight="1" x14ac:dyDescent="0.25">
      <c r="DT1593" s="3"/>
    </row>
    <row r="1594" spans="124:124" ht="15" customHeight="1" x14ac:dyDescent="0.25">
      <c r="DT1594" s="3"/>
    </row>
    <row r="1595" spans="124:124" ht="15" customHeight="1" x14ac:dyDescent="0.25">
      <c r="DT1595" s="3"/>
    </row>
    <row r="1596" spans="124:124" ht="15" customHeight="1" x14ac:dyDescent="0.25">
      <c r="DT1596" s="3"/>
    </row>
    <row r="1597" spans="124:124" ht="15" customHeight="1" x14ac:dyDescent="0.25">
      <c r="DT1597" s="3"/>
    </row>
    <row r="1598" spans="124:124" ht="15" customHeight="1" x14ac:dyDescent="0.25">
      <c r="DT1598" s="3"/>
    </row>
    <row r="1599" spans="124:124" ht="15" customHeight="1" x14ac:dyDescent="0.25">
      <c r="DT1599" s="3"/>
    </row>
    <row r="1600" spans="124:124" ht="15" customHeight="1" x14ac:dyDescent="0.25">
      <c r="DT1600" s="3"/>
    </row>
    <row r="1601" spans="124:124" ht="15" customHeight="1" x14ac:dyDescent="0.25">
      <c r="DT1601" s="3"/>
    </row>
    <row r="1602" spans="124:124" ht="15" customHeight="1" x14ac:dyDescent="0.25">
      <c r="DT1602" s="3"/>
    </row>
    <row r="1603" spans="124:124" ht="15" customHeight="1" x14ac:dyDescent="0.25">
      <c r="DT1603" s="3"/>
    </row>
    <row r="1604" spans="124:124" ht="15" customHeight="1" x14ac:dyDescent="0.25">
      <c r="DT1604" s="3"/>
    </row>
    <row r="1605" spans="124:124" ht="15" customHeight="1" x14ac:dyDescent="0.25">
      <c r="DT1605" s="3"/>
    </row>
    <row r="1606" spans="124:124" ht="15" customHeight="1" x14ac:dyDescent="0.25">
      <c r="DT1606" s="3"/>
    </row>
    <row r="1607" spans="124:124" ht="15" customHeight="1" x14ac:dyDescent="0.25">
      <c r="DT1607" s="3"/>
    </row>
    <row r="1608" spans="124:124" ht="15" customHeight="1" x14ac:dyDescent="0.25">
      <c r="DT1608" s="3"/>
    </row>
    <row r="1609" spans="124:124" ht="15" customHeight="1" x14ac:dyDescent="0.25">
      <c r="DT1609" s="3"/>
    </row>
    <row r="1610" spans="124:124" ht="15" customHeight="1" x14ac:dyDescent="0.25">
      <c r="DT1610" s="3"/>
    </row>
    <row r="1611" spans="124:124" ht="15" customHeight="1" x14ac:dyDescent="0.25">
      <c r="DT1611" s="3"/>
    </row>
    <row r="1612" spans="124:124" ht="15" customHeight="1" x14ac:dyDescent="0.25">
      <c r="DT1612" s="3"/>
    </row>
    <row r="1613" spans="124:124" ht="15" customHeight="1" x14ac:dyDescent="0.25">
      <c r="DT1613" s="3"/>
    </row>
    <row r="1614" spans="124:124" ht="15" customHeight="1" x14ac:dyDescent="0.25">
      <c r="DT1614" s="3"/>
    </row>
    <row r="1615" spans="124:124" ht="15" customHeight="1" x14ac:dyDescent="0.25">
      <c r="DT1615" s="3"/>
    </row>
    <row r="1616" spans="124:124" ht="15" customHeight="1" x14ac:dyDescent="0.25">
      <c r="DT1616" s="3"/>
    </row>
    <row r="1617" spans="124:124" ht="15" customHeight="1" x14ac:dyDescent="0.25">
      <c r="DT1617" s="3"/>
    </row>
    <row r="1618" spans="124:124" ht="15" customHeight="1" x14ac:dyDescent="0.25">
      <c r="DT1618" s="3"/>
    </row>
    <row r="1619" spans="124:124" ht="15" customHeight="1" x14ac:dyDescent="0.25">
      <c r="DT1619" s="3"/>
    </row>
    <row r="1620" spans="124:124" ht="15" customHeight="1" x14ac:dyDescent="0.25">
      <c r="DT1620" s="3"/>
    </row>
    <row r="1621" spans="124:124" ht="15" customHeight="1" x14ac:dyDescent="0.25">
      <c r="DT1621" s="3"/>
    </row>
    <row r="1622" spans="124:124" ht="15" customHeight="1" x14ac:dyDescent="0.25">
      <c r="DT1622" s="3"/>
    </row>
    <row r="1623" spans="124:124" ht="15" customHeight="1" x14ac:dyDescent="0.25">
      <c r="DT1623" s="3"/>
    </row>
    <row r="1624" spans="124:124" ht="15" customHeight="1" x14ac:dyDescent="0.25">
      <c r="DT1624" s="3"/>
    </row>
    <row r="1625" spans="124:124" ht="15" customHeight="1" x14ac:dyDescent="0.25">
      <c r="DT1625" s="3"/>
    </row>
    <row r="1626" spans="124:124" ht="15" customHeight="1" x14ac:dyDescent="0.25">
      <c r="DT1626" s="3"/>
    </row>
    <row r="1627" spans="124:124" ht="15" customHeight="1" x14ac:dyDescent="0.25">
      <c r="DT1627" s="3"/>
    </row>
    <row r="1628" spans="124:124" ht="15" customHeight="1" x14ac:dyDescent="0.25">
      <c r="DT1628" s="3"/>
    </row>
    <row r="1629" spans="124:124" ht="15" customHeight="1" x14ac:dyDescent="0.25">
      <c r="DT1629" s="3"/>
    </row>
    <row r="1630" spans="124:124" ht="15" customHeight="1" x14ac:dyDescent="0.25">
      <c r="DT1630" s="3"/>
    </row>
    <row r="1631" spans="124:124" ht="15" customHeight="1" x14ac:dyDescent="0.25">
      <c r="DT1631" s="3"/>
    </row>
    <row r="1632" spans="124:124" ht="15" customHeight="1" x14ac:dyDescent="0.25">
      <c r="DT1632" s="3"/>
    </row>
    <row r="1633" spans="124:124" ht="15" customHeight="1" x14ac:dyDescent="0.25">
      <c r="DT1633" s="3"/>
    </row>
    <row r="1634" spans="124:124" ht="15" customHeight="1" x14ac:dyDescent="0.25">
      <c r="DT1634" s="3"/>
    </row>
    <row r="1635" spans="124:124" ht="15" customHeight="1" x14ac:dyDescent="0.25">
      <c r="DT1635" s="3"/>
    </row>
    <row r="1636" spans="124:124" ht="15" customHeight="1" x14ac:dyDescent="0.25">
      <c r="DT1636" s="3"/>
    </row>
    <row r="1637" spans="124:124" ht="15" customHeight="1" x14ac:dyDescent="0.25">
      <c r="DT1637" s="3"/>
    </row>
    <row r="1638" spans="124:124" ht="15" customHeight="1" x14ac:dyDescent="0.25">
      <c r="DT1638" s="3"/>
    </row>
    <row r="1639" spans="124:124" ht="15" customHeight="1" x14ac:dyDescent="0.25">
      <c r="DT1639" s="3"/>
    </row>
    <row r="1640" spans="124:124" ht="15" customHeight="1" x14ac:dyDescent="0.25">
      <c r="DT1640" s="3"/>
    </row>
    <row r="1641" spans="124:124" ht="15" customHeight="1" x14ac:dyDescent="0.25">
      <c r="DT1641" s="3"/>
    </row>
    <row r="1642" spans="124:124" ht="15" customHeight="1" x14ac:dyDescent="0.25">
      <c r="DT1642" s="3"/>
    </row>
    <row r="1643" spans="124:124" ht="15" customHeight="1" x14ac:dyDescent="0.25">
      <c r="DT1643" s="3"/>
    </row>
    <row r="1644" spans="124:124" ht="15" customHeight="1" x14ac:dyDescent="0.25">
      <c r="DT1644" s="3"/>
    </row>
    <row r="1645" spans="124:124" ht="15" customHeight="1" x14ac:dyDescent="0.25">
      <c r="DT1645" s="3"/>
    </row>
    <row r="1646" spans="124:124" ht="15" customHeight="1" x14ac:dyDescent="0.25">
      <c r="DT1646" s="3"/>
    </row>
    <row r="1647" spans="124:124" ht="15" customHeight="1" x14ac:dyDescent="0.25">
      <c r="DT1647" s="3"/>
    </row>
    <row r="1648" spans="124:124" ht="15" customHeight="1" x14ac:dyDescent="0.25">
      <c r="DT1648" s="3"/>
    </row>
    <row r="1649" spans="124:124" ht="15" customHeight="1" x14ac:dyDescent="0.25">
      <c r="DT1649" s="3"/>
    </row>
    <row r="1650" spans="124:124" ht="15" customHeight="1" x14ac:dyDescent="0.25">
      <c r="DT1650" s="3"/>
    </row>
    <row r="1651" spans="124:124" ht="15" customHeight="1" x14ac:dyDescent="0.25">
      <c r="DT1651" s="3"/>
    </row>
    <row r="1652" spans="124:124" ht="15" customHeight="1" x14ac:dyDescent="0.25">
      <c r="DT1652" s="3"/>
    </row>
    <row r="1653" spans="124:124" ht="15" customHeight="1" x14ac:dyDescent="0.25">
      <c r="DT1653" s="3"/>
    </row>
    <row r="1654" spans="124:124" ht="15" customHeight="1" x14ac:dyDescent="0.25">
      <c r="DT1654" s="3"/>
    </row>
    <row r="1655" spans="124:124" ht="15" customHeight="1" x14ac:dyDescent="0.25">
      <c r="DT1655" s="3"/>
    </row>
    <row r="1656" spans="124:124" ht="15" customHeight="1" x14ac:dyDescent="0.25">
      <c r="DT1656" s="3"/>
    </row>
    <row r="1657" spans="124:124" ht="15" customHeight="1" x14ac:dyDescent="0.25">
      <c r="DT1657" s="3"/>
    </row>
    <row r="1658" spans="124:124" ht="15" customHeight="1" x14ac:dyDescent="0.25">
      <c r="DT1658" s="3"/>
    </row>
    <row r="1659" spans="124:124" ht="15" customHeight="1" x14ac:dyDescent="0.25">
      <c r="DT1659" s="3"/>
    </row>
    <row r="1660" spans="124:124" ht="15" customHeight="1" x14ac:dyDescent="0.25">
      <c r="DT1660" s="3"/>
    </row>
    <row r="1661" spans="124:124" ht="15" customHeight="1" x14ac:dyDescent="0.25">
      <c r="DT1661" s="3"/>
    </row>
    <row r="1662" spans="124:124" ht="15" customHeight="1" x14ac:dyDescent="0.25">
      <c r="DT1662" s="3"/>
    </row>
    <row r="1663" spans="124:124" ht="15" customHeight="1" x14ac:dyDescent="0.25">
      <c r="DT1663" s="3"/>
    </row>
    <row r="1664" spans="124:124" ht="15" customHeight="1" x14ac:dyDescent="0.25">
      <c r="DT1664" s="3"/>
    </row>
    <row r="1665" spans="124:124" ht="15" customHeight="1" x14ac:dyDescent="0.25">
      <c r="DT1665" s="3"/>
    </row>
    <row r="1666" spans="124:124" ht="15" customHeight="1" x14ac:dyDescent="0.25">
      <c r="DT1666" s="3"/>
    </row>
    <row r="1667" spans="124:124" ht="15" customHeight="1" x14ac:dyDescent="0.25">
      <c r="DT1667" s="3"/>
    </row>
    <row r="1668" spans="124:124" ht="15" customHeight="1" x14ac:dyDescent="0.25">
      <c r="DT1668" s="3"/>
    </row>
    <row r="1669" spans="124:124" ht="15" customHeight="1" x14ac:dyDescent="0.25">
      <c r="DT1669" s="3"/>
    </row>
    <row r="1670" spans="124:124" ht="15" customHeight="1" x14ac:dyDescent="0.25">
      <c r="DT1670" s="3"/>
    </row>
    <row r="1671" spans="124:124" ht="15" customHeight="1" x14ac:dyDescent="0.25">
      <c r="DT1671" s="3"/>
    </row>
    <row r="1672" spans="124:124" ht="15" customHeight="1" x14ac:dyDescent="0.25">
      <c r="DT1672" s="3"/>
    </row>
    <row r="1673" spans="124:124" ht="15" customHeight="1" x14ac:dyDescent="0.25">
      <c r="DT1673" s="3"/>
    </row>
    <row r="1674" spans="124:124" ht="15" customHeight="1" x14ac:dyDescent="0.25">
      <c r="DT1674" s="3"/>
    </row>
    <row r="1675" spans="124:124" ht="15" customHeight="1" x14ac:dyDescent="0.25">
      <c r="DT1675" s="3"/>
    </row>
    <row r="1676" spans="124:124" ht="15" customHeight="1" x14ac:dyDescent="0.25">
      <c r="DT1676" s="3"/>
    </row>
    <row r="1677" spans="124:124" ht="15" customHeight="1" x14ac:dyDescent="0.25">
      <c r="DT1677" s="3"/>
    </row>
    <row r="1678" spans="124:124" ht="15" customHeight="1" x14ac:dyDescent="0.25">
      <c r="DT1678" s="3"/>
    </row>
    <row r="1679" spans="124:124" ht="15" customHeight="1" x14ac:dyDescent="0.25">
      <c r="DT1679" s="3"/>
    </row>
    <row r="1680" spans="124:124" ht="15" customHeight="1" x14ac:dyDescent="0.25">
      <c r="DT1680" s="3"/>
    </row>
    <row r="1681" spans="124:124" ht="15" customHeight="1" x14ac:dyDescent="0.25">
      <c r="DT1681" s="3"/>
    </row>
    <row r="1682" spans="124:124" ht="15" customHeight="1" x14ac:dyDescent="0.25">
      <c r="DT1682" s="3"/>
    </row>
    <row r="1683" spans="124:124" ht="15" customHeight="1" x14ac:dyDescent="0.25">
      <c r="DT1683" s="3"/>
    </row>
    <row r="1684" spans="124:124" ht="15" customHeight="1" x14ac:dyDescent="0.25">
      <c r="DT1684" s="3"/>
    </row>
    <row r="1685" spans="124:124" ht="15" customHeight="1" x14ac:dyDescent="0.25">
      <c r="DT1685" s="3"/>
    </row>
    <row r="1686" spans="124:124" ht="15" customHeight="1" x14ac:dyDescent="0.25">
      <c r="DT1686" s="3"/>
    </row>
    <row r="1687" spans="124:124" ht="15" customHeight="1" x14ac:dyDescent="0.25">
      <c r="DT1687" s="3"/>
    </row>
    <row r="1688" spans="124:124" ht="15" customHeight="1" x14ac:dyDescent="0.25">
      <c r="DT1688" s="3"/>
    </row>
    <row r="1689" spans="124:124" ht="15" customHeight="1" x14ac:dyDescent="0.25">
      <c r="DT1689" s="3"/>
    </row>
    <row r="1690" spans="124:124" ht="15" customHeight="1" x14ac:dyDescent="0.25">
      <c r="DT1690" s="3"/>
    </row>
    <row r="1691" spans="124:124" ht="15" customHeight="1" x14ac:dyDescent="0.25">
      <c r="DT1691" s="3"/>
    </row>
    <row r="1692" spans="124:124" ht="15" customHeight="1" x14ac:dyDescent="0.25">
      <c r="DT1692" s="3"/>
    </row>
    <row r="1693" spans="124:124" ht="15" customHeight="1" x14ac:dyDescent="0.25">
      <c r="DT1693" s="3"/>
    </row>
    <row r="1694" spans="124:124" ht="15" customHeight="1" x14ac:dyDescent="0.25">
      <c r="DT1694" s="3"/>
    </row>
    <row r="1695" spans="124:124" ht="15" customHeight="1" x14ac:dyDescent="0.25">
      <c r="DT1695" s="3"/>
    </row>
    <row r="1696" spans="124:124" ht="15" customHeight="1" x14ac:dyDescent="0.25">
      <c r="DT1696" s="3"/>
    </row>
    <row r="1697" spans="124:124" ht="15" customHeight="1" x14ac:dyDescent="0.25">
      <c r="DT1697" s="3"/>
    </row>
    <row r="1698" spans="124:124" ht="15" customHeight="1" x14ac:dyDescent="0.25">
      <c r="DT1698" s="3"/>
    </row>
    <row r="1699" spans="124:124" ht="15" customHeight="1" x14ac:dyDescent="0.25">
      <c r="DT1699" s="3"/>
    </row>
    <row r="1700" spans="124:124" ht="15" customHeight="1" x14ac:dyDescent="0.25">
      <c r="DT1700" s="3"/>
    </row>
    <row r="1701" spans="124:124" ht="15" customHeight="1" x14ac:dyDescent="0.25">
      <c r="DT1701" s="3"/>
    </row>
    <row r="1702" spans="124:124" ht="15" customHeight="1" x14ac:dyDescent="0.25">
      <c r="DT1702" s="3"/>
    </row>
    <row r="1703" spans="124:124" ht="15" customHeight="1" x14ac:dyDescent="0.25">
      <c r="DT1703" s="3"/>
    </row>
    <row r="1704" spans="124:124" ht="15" customHeight="1" x14ac:dyDescent="0.25">
      <c r="DT1704" s="3"/>
    </row>
    <row r="1705" spans="124:124" ht="15" customHeight="1" x14ac:dyDescent="0.25">
      <c r="DT1705" s="3"/>
    </row>
    <row r="1706" spans="124:124" ht="15" customHeight="1" x14ac:dyDescent="0.25">
      <c r="DT1706" s="3"/>
    </row>
    <row r="1707" spans="124:124" ht="15" customHeight="1" x14ac:dyDescent="0.25">
      <c r="DT1707" s="3"/>
    </row>
    <row r="1708" spans="124:124" ht="15" customHeight="1" x14ac:dyDescent="0.25">
      <c r="DT1708" s="3"/>
    </row>
    <row r="1709" spans="124:124" ht="15" customHeight="1" x14ac:dyDescent="0.25">
      <c r="DT1709" s="3"/>
    </row>
    <row r="1710" spans="124:124" ht="15" customHeight="1" x14ac:dyDescent="0.25">
      <c r="DT1710" s="3"/>
    </row>
    <row r="1711" spans="124:124" ht="15" customHeight="1" x14ac:dyDescent="0.25">
      <c r="DT1711" s="3"/>
    </row>
    <row r="1712" spans="124:124" ht="15" customHeight="1" x14ac:dyDescent="0.25">
      <c r="DT1712" s="3"/>
    </row>
    <row r="1713" spans="124:124" ht="15" customHeight="1" x14ac:dyDescent="0.25">
      <c r="DT1713" s="3"/>
    </row>
    <row r="1714" spans="124:124" ht="15" customHeight="1" x14ac:dyDescent="0.25">
      <c r="DT1714" s="3"/>
    </row>
    <row r="1715" spans="124:124" ht="15" customHeight="1" x14ac:dyDescent="0.25">
      <c r="DT1715" s="3"/>
    </row>
    <row r="1716" spans="124:124" ht="15" customHeight="1" x14ac:dyDescent="0.25">
      <c r="DT1716" s="3"/>
    </row>
    <row r="1717" spans="124:124" ht="15" customHeight="1" x14ac:dyDescent="0.25">
      <c r="DT1717" s="3"/>
    </row>
    <row r="1718" spans="124:124" ht="15" customHeight="1" x14ac:dyDescent="0.25">
      <c r="DT1718" s="3"/>
    </row>
    <row r="1719" spans="124:124" ht="15" customHeight="1" x14ac:dyDescent="0.25">
      <c r="DT1719" s="3"/>
    </row>
    <row r="1720" spans="124:124" ht="15" customHeight="1" x14ac:dyDescent="0.25">
      <c r="DT1720" s="3"/>
    </row>
    <row r="1721" spans="124:124" ht="15" customHeight="1" x14ac:dyDescent="0.25">
      <c r="DT1721" s="3"/>
    </row>
    <row r="1722" spans="124:124" ht="15" customHeight="1" x14ac:dyDescent="0.25">
      <c r="DT1722" s="3"/>
    </row>
    <row r="1723" spans="124:124" ht="15" customHeight="1" x14ac:dyDescent="0.25">
      <c r="DT1723" s="3"/>
    </row>
    <row r="1724" spans="124:124" ht="15" customHeight="1" x14ac:dyDescent="0.25">
      <c r="DT1724" s="3"/>
    </row>
    <row r="1725" spans="124:124" ht="15" customHeight="1" x14ac:dyDescent="0.25">
      <c r="DT1725" s="3"/>
    </row>
    <row r="1726" spans="124:124" ht="15" customHeight="1" x14ac:dyDescent="0.25">
      <c r="DT1726" s="3"/>
    </row>
    <row r="1727" spans="124:124" ht="15" customHeight="1" x14ac:dyDescent="0.25">
      <c r="DT1727" s="3"/>
    </row>
    <row r="1728" spans="124:124" ht="15" customHeight="1" x14ac:dyDescent="0.25">
      <c r="DT1728" s="3"/>
    </row>
    <row r="1729" spans="124:124" ht="15" customHeight="1" x14ac:dyDescent="0.25">
      <c r="DT1729" s="3"/>
    </row>
    <row r="1730" spans="124:124" ht="15" customHeight="1" x14ac:dyDescent="0.25">
      <c r="DT1730" s="3"/>
    </row>
    <row r="1731" spans="124:124" ht="15" customHeight="1" x14ac:dyDescent="0.25">
      <c r="DT1731" s="3"/>
    </row>
    <row r="1732" spans="124:124" ht="15" customHeight="1" x14ac:dyDescent="0.25">
      <c r="DT1732" s="3"/>
    </row>
    <row r="1733" spans="124:124" ht="15" customHeight="1" x14ac:dyDescent="0.25">
      <c r="DT1733" s="3"/>
    </row>
    <row r="1734" spans="124:124" ht="15" customHeight="1" x14ac:dyDescent="0.25">
      <c r="DT1734" s="3"/>
    </row>
    <row r="1735" spans="124:124" ht="15" customHeight="1" x14ac:dyDescent="0.25">
      <c r="DT1735" s="3"/>
    </row>
    <row r="1736" spans="124:124" ht="15" customHeight="1" x14ac:dyDescent="0.25">
      <c r="DT1736" s="3"/>
    </row>
    <row r="1737" spans="124:124" ht="15" customHeight="1" x14ac:dyDescent="0.25">
      <c r="DT1737" s="3"/>
    </row>
    <row r="1738" spans="124:124" ht="15" customHeight="1" x14ac:dyDescent="0.25">
      <c r="DT1738" s="3"/>
    </row>
    <row r="1739" spans="124:124" ht="15" customHeight="1" x14ac:dyDescent="0.25">
      <c r="DT1739" s="3"/>
    </row>
    <row r="1740" spans="124:124" ht="15" customHeight="1" x14ac:dyDescent="0.25">
      <c r="DT1740" s="3"/>
    </row>
    <row r="1741" spans="124:124" ht="15" customHeight="1" x14ac:dyDescent="0.25">
      <c r="DT1741" s="3"/>
    </row>
    <row r="1742" spans="124:124" ht="15" customHeight="1" x14ac:dyDescent="0.25">
      <c r="DT1742" s="3"/>
    </row>
    <row r="1743" spans="124:124" ht="15" customHeight="1" x14ac:dyDescent="0.25">
      <c r="DT1743" s="3"/>
    </row>
    <row r="1744" spans="124:124" ht="15" customHeight="1" x14ac:dyDescent="0.25">
      <c r="DT1744" s="3"/>
    </row>
    <row r="1745" spans="124:124" ht="15" customHeight="1" x14ac:dyDescent="0.25">
      <c r="DT1745" s="3"/>
    </row>
    <row r="1746" spans="124:124" ht="15" customHeight="1" x14ac:dyDescent="0.25">
      <c r="DT1746" s="3"/>
    </row>
    <row r="1747" spans="124:124" ht="15" customHeight="1" x14ac:dyDescent="0.25">
      <c r="DT1747" s="3"/>
    </row>
    <row r="1748" spans="124:124" ht="15" customHeight="1" x14ac:dyDescent="0.25">
      <c r="DT1748" s="3"/>
    </row>
    <row r="1749" spans="124:124" ht="15" customHeight="1" x14ac:dyDescent="0.25">
      <c r="DT1749" s="3"/>
    </row>
    <row r="1750" spans="124:124" ht="15" customHeight="1" x14ac:dyDescent="0.25">
      <c r="DT1750" s="3"/>
    </row>
    <row r="1751" spans="124:124" ht="15" customHeight="1" x14ac:dyDescent="0.25">
      <c r="DT1751" s="3"/>
    </row>
    <row r="1752" spans="124:124" ht="15" customHeight="1" x14ac:dyDescent="0.25">
      <c r="DT1752" s="3"/>
    </row>
    <row r="1753" spans="124:124" ht="15" customHeight="1" x14ac:dyDescent="0.25">
      <c r="DT1753" s="3"/>
    </row>
    <row r="1754" spans="124:124" ht="15" customHeight="1" x14ac:dyDescent="0.25">
      <c r="DT1754" s="3"/>
    </row>
    <row r="1755" spans="124:124" ht="15" customHeight="1" x14ac:dyDescent="0.25">
      <c r="DT1755" s="3"/>
    </row>
    <row r="1756" spans="124:124" ht="15" customHeight="1" x14ac:dyDescent="0.25">
      <c r="DT1756" s="3"/>
    </row>
    <row r="1757" spans="124:124" ht="15" customHeight="1" x14ac:dyDescent="0.25">
      <c r="DT1757" s="3"/>
    </row>
    <row r="1758" spans="124:124" ht="15" customHeight="1" x14ac:dyDescent="0.25">
      <c r="DT1758" s="3"/>
    </row>
    <row r="1759" spans="124:124" ht="15" customHeight="1" x14ac:dyDescent="0.25">
      <c r="DT1759" s="3"/>
    </row>
    <row r="1760" spans="124:124" ht="15" customHeight="1" x14ac:dyDescent="0.25">
      <c r="DT1760" s="3"/>
    </row>
    <row r="1761" spans="124:124" ht="15" customHeight="1" x14ac:dyDescent="0.25">
      <c r="DT1761" s="3"/>
    </row>
    <row r="1762" spans="124:124" ht="15" customHeight="1" x14ac:dyDescent="0.25">
      <c r="DT1762" s="3"/>
    </row>
    <row r="1763" spans="124:124" ht="15" customHeight="1" x14ac:dyDescent="0.25">
      <c r="DT1763" s="3"/>
    </row>
    <row r="1764" spans="124:124" ht="15" customHeight="1" x14ac:dyDescent="0.25">
      <c r="DT1764" s="3"/>
    </row>
    <row r="1765" spans="124:124" ht="15" customHeight="1" x14ac:dyDescent="0.25">
      <c r="DT1765" s="3"/>
    </row>
    <row r="1766" spans="124:124" ht="15" customHeight="1" x14ac:dyDescent="0.25">
      <c r="DT1766" s="3"/>
    </row>
    <row r="1767" spans="124:124" ht="15" customHeight="1" x14ac:dyDescent="0.25">
      <c r="DT1767" s="3"/>
    </row>
    <row r="1768" spans="124:124" ht="15" customHeight="1" x14ac:dyDescent="0.25">
      <c r="DT1768" s="3"/>
    </row>
    <row r="1769" spans="124:124" ht="15" customHeight="1" x14ac:dyDescent="0.25">
      <c r="DT1769" s="3"/>
    </row>
    <row r="1770" spans="124:124" ht="15" customHeight="1" x14ac:dyDescent="0.25">
      <c r="DT1770" s="3"/>
    </row>
    <row r="1771" spans="124:124" ht="15" customHeight="1" x14ac:dyDescent="0.25">
      <c r="DT1771" s="3"/>
    </row>
    <row r="1772" spans="124:124" ht="15" customHeight="1" x14ac:dyDescent="0.25">
      <c r="DT1772" s="3"/>
    </row>
    <row r="1773" spans="124:124" ht="15" customHeight="1" x14ac:dyDescent="0.25">
      <c r="DT1773" s="3"/>
    </row>
    <row r="1774" spans="124:124" ht="15" customHeight="1" x14ac:dyDescent="0.25">
      <c r="DT1774" s="3"/>
    </row>
    <row r="1775" spans="124:124" ht="15" customHeight="1" x14ac:dyDescent="0.25">
      <c r="DT1775" s="3"/>
    </row>
    <row r="1776" spans="124:124" ht="15" customHeight="1" x14ac:dyDescent="0.25">
      <c r="DT1776" s="3"/>
    </row>
    <row r="1777" spans="124:124" ht="15" customHeight="1" x14ac:dyDescent="0.25">
      <c r="DT1777" s="3"/>
    </row>
    <row r="1778" spans="124:124" ht="15" customHeight="1" x14ac:dyDescent="0.25">
      <c r="DT1778" s="3"/>
    </row>
    <row r="1779" spans="124:124" ht="15" customHeight="1" x14ac:dyDescent="0.25">
      <c r="DT1779" s="3"/>
    </row>
    <row r="1780" spans="124:124" ht="15" customHeight="1" x14ac:dyDescent="0.25">
      <c r="DT1780" s="3"/>
    </row>
    <row r="1781" spans="124:124" ht="15" customHeight="1" x14ac:dyDescent="0.25">
      <c r="DT1781" s="3"/>
    </row>
    <row r="1782" spans="124:124" ht="15" customHeight="1" x14ac:dyDescent="0.25">
      <c r="DT1782" s="3"/>
    </row>
    <row r="1783" spans="124:124" ht="15" customHeight="1" x14ac:dyDescent="0.25">
      <c r="DT1783" s="3"/>
    </row>
    <row r="1784" spans="124:124" ht="15" customHeight="1" x14ac:dyDescent="0.25">
      <c r="DT1784" s="3"/>
    </row>
    <row r="1785" spans="124:124" ht="15" customHeight="1" x14ac:dyDescent="0.25">
      <c r="DT1785" s="3"/>
    </row>
    <row r="1786" spans="124:124" ht="15" customHeight="1" x14ac:dyDescent="0.25">
      <c r="DT1786" s="3"/>
    </row>
    <row r="1787" spans="124:124" ht="15" customHeight="1" x14ac:dyDescent="0.25">
      <c r="DT1787" s="3"/>
    </row>
    <row r="1788" spans="124:124" ht="15" customHeight="1" x14ac:dyDescent="0.25">
      <c r="DT1788" s="3"/>
    </row>
    <row r="1789" spans="124:124" ht="15" customHeight="1" x14ac:dyDescent="0.25">
      <c r="DT1789" s="3"/>
    </row>
    <row r="1790" spans="124:124" ht="15" customHeight="1" x14ac:dyDescent="0.25">
      <c r="DT1790" s="3"/>
    </row>
    <row r="1791" spans="124:124" ht="15" customHeight="1" x14ac:dyDescent="0.25">
      <c r="DT1791" s="3"/>
    </row>
    <row r="1792" spans="124:124" ht="15" customHeight="1" x14ac:dyDescent="0.25">
      <c r="DT1792" s="3"/>
    </row>
    <row r="1793" spans="124:124" ht="15" customHeight="1" x14ac:dyDescent="0.25">
      <c r="DT1793" s="3"/>
    </row>
    <row r="1794" spans="124:124" ht="15" customHeight="1" x14ac:dyDescent="0.25">
      <c r="DT1794" s="3"/>
    </row>
    <row r="1795" spans="124:124" ht="15" customHeight="1" x14ac:dyDescent="0.25">
      <c r="DT1795" s="3"/>
    </row>
    <row r="1796" spans="124:124" ht="15" customHeight="1" x14ac:dyDescent="0.25">
      <c r="DT1796" s="3"/>
    </row>
    <row r="1797" spans="124:124" ht="15" customHeight="1" x14ac:dyDescent="0.25">
      <c r="DT1797" s="3"/>
    </row>
    <row r="1798" spans="124:124" ht="15" customHeight="1" x14ac:dyDescent="0.25">
      <c r="DT1798" s="3"/>
    </row>
    <row r="1799" spans="124:124" ht="15" customHeight="1" x14ac:dyDescent="0.25">
      <c r="DT1799" s="3"/>
    </row>
    <row r="1800" spans="124:124" ht="15" customHeight="1" x14ac:dyDescent="0.25">
      <c r="DT1800" s="3"/>
    </row>
    <row r="1801" spans="124:124" ht="15" customHeight="1" x14ac:dyDescent="0.25">
      <c r="DT1801" s="3"/>
    </row>
    <row r="1802" spans="124:124" ht="15" customHeight="1" x14ac:dyDescent="0.25">
      <c r="DT1802" s="3"/>
    </row>
    <row r="1803" spans="124:124" ht="15" customHeight="1" x14ac:dyDescent="0.25">
      <c r="DT1803" s="3"/>
    </row>
    <row r="1804" spans="124:124" ht="15" customHeight="1" x14ac:dyDescent="0.25">
      <c r="DT1804" s="3"/>
    </row>
    <row r="1805" spans="124:124" ht="15" customHeight="1" x14ac:dyDescent="0.25">
      <c r="DT1805" s="3"/>
    </row>
    <row r="1806" spans="124:124" ht="15" customHeight="1" x14ac:dyDescent="0.25">
      <c r="DT1806" s="3"/>
    </row>
    <row r="1807" spans="124:124" ht="15" customHeight="1" x14ac:dyDescent="0.25">
      <c r="DT1807" s="3"/>
    </row>
    <row r="1808" spans="124:124" ht="15" customHeight="1" x14ac:dyDescent="0.25">
      <c r="DT1808" s="3"/>
    </row>
    <row r="1809" spans="124:124" ht="15" customHeight="1" x14ac:dyDescent="0.25">
      <c r="DT1809" s="3"/>
    </row>
    <row r="1810" spans="124:124" ht="15" customHeight="1" x14ac:dyDescent="0.25">
      <c r="DT1810" s="3"/>
    </row>
    <row r="1811" spans="124:124" ht="15" customHeight="1" x14ac:dyDescent="0.25">
      <c r="DT1811" s="3"/>
    </row>
    <row r="1812" spans="124:124" ht="15" customHeight="1" x14ac:dyDescent="0.25">
      <c r="DT1812" s="3"/>
    </row>
    <row r="1813" spans="124:124" ht="15" customHeight="1" x14ac:dyDescent="0.25">
      <c r="DT1813" s="3"/>
    </row>
    <row r="1814" spans="124:124" ht="15" customHeight="1" x14ac:dyDescent="0.25">
      <c r="DT1814" s="3"/>
    </row>
    <row r="1815" spans="124:124" ht="15" customHeight="1" x14ac:dyDescent="0.25">
      <c r="DT1815" s="3"/>
    </row>
    <row r="1816" spans="124:124" ht="15" customHeight="1" x14ac:dyDescent="0.25">
      <c r="DT1816" s="3"/>
    </row>
    <row r="1817" spans="124:124" ht="15" customHeight="1" x14ac:dyDescent="0.25">
      <c r="DT1817" s="3"/>
    </row>
    <row r="1818" spans="124:124" ht="15" customHeight="1" x14ac:dyDescent="0.25">
      <c r="DT1818" s="3"/>
    </row>
    <row r="1819" spans="124:124" ht="15" customHeight="1" x14ac:dyDescent="0.25">
      <c r="DT1819" s="3"/>
    </row>
    <row r="1820" spans="124:124" ht="15" customHeight="1" x14ac:dyDescent="0.25">
      <c r="DT1820" s="3"/>
    </row>
    <row r="1821" spans="124:124" ht="15" customHeight="1" x14ac:dyDescent="0.25">
      <c r="DT1821" s="3"/>
    </row>
    <row r="1822" spans="124:124" ht="15" customHeight="1" x14ac:dyDescent="0.25">
      <c r="DT1822" s="3"/>
    </row>
    <row r="1823" spans="124:124" ht="15" customHeight="1" x14ac:dyDescent="0.25">
      <c r="DT1823" s="3"/>
    </row>
    <row r="1824" spans="124:124" ht="15" customHeight="1" x14ac:dyDescent="0.25">
      <c r="DT1824" s="3"/>
    </row>
    <row r="1825" spans="124:124" ht="15" customHeight="1" x14ac:dyDescent="0.25">
      <c r="DT1825" s="3"/>
    </row>
    <row r="1826" spans="124:124" ht="15" customHeight="1" x14ac:dyDescent="0.25">
      <c r="DT1826" s="3"/>
    </row>
    <row r="1827" spans="124:124" ht="15" customHeight="1" x14ac:dyDescent="0.25">
      <c r="DT1827" s="3"/>
    </row>
    <row r="1828" spans="124:124" ht="15" customHeight="1" x14ac:dyDescent="0.25">
      <c r="DT1828" s="3"/>
    </row>
    <row r="1829" spans="124:124" ht="15" customHeight="1" x14ac:dyDescent="0.25">
      <c r="DT1829" s="3"/>
    </row>
    <row r="1830" spans="124:124" ht="15" customHeight="1" x14ac:dyDescent="0.25">
      <c r="DT1830" s="3"/>
    </row>
    <row r="1831" spans="124:124" ht="15" customHeight="1" x14ac:dyDescent="0.25">
      <c r="DT1831" s="3"/>
    </row>
    <row r="1832" spans="124:124" ht="15" customHeight="1" x14ac:dyDescent="0.25">
      <c r="DT1832" s="3"/>
    </row>
    <row r="1833" spans="124:124" ht="15" customHeight="1" x14ac:dyDescent="0.25">
      <c r="DT1833" s="3"/>
    </row>
    <row r="1834" spans="124:124" ht="15" customHeight="1" x14ac:dyDescent="0.25">
      <c r="DT1834" s="3"/>
    </row>
    <row r="1835" spans="124:124" ht="15" customHeight="1" x14ac:dyDescent="0.25">
      <c r="DT1835" s="3"/>
    </row>
    <row r="1836" spans="124:124" ht="15" customHeight="1" x14ac:dyDescent="0.25">
      <c r="DT1836" s="3"/>
    </row>
    <row r="1837" spans="124:124" ht="15" customHeight="1" x14ac:dyDescent="0.25">
      <c r="DT1837" s="3"/>
    </row>
    <row r="1838" spans="124:124" ht="15" customHeight="1" x14ac:dyDescent="0.25">
      <c r="DT1838" s="3"/>
    </row>
    <row r="1839" spans="124:124" ht="15" customHeight="1" x14ac:dyDescent="0.25">
      <c r="DT1839" s="3"/>
    </row>
    <row r="1840" spans="124:124" ht="15" customHeight="1" x14ac:dyDescent="0.25">
      <c r="DT1840" s="3"/>
    </row>
    <row r="1841" spans="124:124" ht="15" customHeight="1" x14ac:dyDescent="0.25">
      <c r="DT1841" s="3"/>
    </row>
    <row r="1842" spans="124:124" ht="15" customHeight="1" x14ac:dyDescent="0.25">
      <c r="DT1842" s="3"/>
    </row>
    <row r="1843" spans="124:124" ht="15" customHeight="1" x14ac:dyDescent="0.25">
      <c r="DT1843" s="3"/>
    </row>
    <row r="1844" spans="124:124" ht="15" customHeight="1" x14ac:dyDescent="0.25">
      <c r="DT1844" s="3"/>
    </row>
    <row r="1845" spans="124:124" ht="15" customHeight="1" x14ac:dyDescent="0.25">
      <c r="DT1845" s="3"/>
    </row>
    <row r="1846" spans="124:124" ht="15" customHeight="1" x14ac:dyDescent="0.25">
      <c r="DT1846" s="3"/>
    </row>
    <row r="1847" spans="124:124" ht="15" customHeight="1" x14ac:dyDescent="0.25">
      <c r="DT1847" s="3"/>
    </row>
    <row r="1848" spans="124:124" ht="15" customHeight="1" x14ac:dyDescent="0.25">
      <c r="DT1848" s="3"/>
    </row>
    <row r="1849" spans="124:124" ht="15" customHeight="1" x14ac:dyDescent="0.25">
      <c r="DT1849" s="3"/>
    </row>
    <row r="1850" spans="124:124" ht="15" customHeight="1" x14ac:dyDescent="0.25">
      <c r="DT1850" s="3"/>
    </row>
    <row r="1851" spans="124:124" ht="15" customHeight="1" x14ac:dyDescent="0.25">
      <c r="DT1851" s="3"/>
    </row>
    <row r="1852" spans="124:124" ht="15" customHeight="1" x14ac:dyDescent="0.25">
      <c r="DT1852" s="3"/>
    </row>
    <row r="1853" spans="124:124" ht="15" customHeight="1" x14ac:dyDescent="0.25">
      <c r="DT1853" s="3"/>
    </row>
    <row r="1854" spans="124:124" ht="15" customHeight="1" x14ac:dyDescent="0.25">
      <c r="DT1854" s="3"/>
    </row>
    <row r="1855" spans="124:124" ht="15" customHeight="1" x14ac:dyDescent="0.25">
      <c r="DT1855" s="3"/>
    </row>
    <row r="1856" spans="124:124" ht="15" customHeight="1" x14ac:dyDescent="0.25">
      <c r="DT1856" s="3"/>
    </row>
    <row r="1857" spans="124:124" ht="15" customHeight="1" x14ac:dyDescent="0.25">
      <c r="DT1857" s="3"/>
    </row>
    <row r="1858" spans="124:124" ht="15" customHeight="1" x14ac:dyDescent="0.25">
      <c r="DT1858" s="3"/>
    </row>
    <row r="1859" spans="124:124" ht="15" customHeight="1" x14ac:dyDescent="0.25">
      <c r="DT1859" s="3"/>
    </row>
    <row r="1860" spans="124:124" ht="15" customHeight="1" x14ac:dyDescent="0.25">
      <c r="DT1860" s="3"/>
    </row>
    <row r="1861" spans="124:124" ht="15" customHeight="1" x14ac:dyDescent="0.25">
      <c r="DT1861" s="3"/>
    </row>
    <row r="1862" spans="124:124" ht="15" customHeight="1" x14ac:dyDescent="0.25">
      <c r="DT1862" s="3"/>
    </row>
    <row r="1863" spans="124:124" ht="15" customHeight="1" x14ac:dyDescent="0.25">
      <c r="DT1863" s="3"/>
    </row>
    <row r="1864" spans="124:124" ht="15" customHeight="1" x14ac:dyDescent="0.25">
      <c r="DT1864" s="3"/>
    </row>
    <row r="1865" spans="124:124" ht="15" customHeight="1" x14ac:dyDescent="0.25">
      <c r="DT1865" s="3"/>
    </row>
    <row r="1866" spans="124:124" ht="15" customHeight="1" x14ac:dyDescent="0.25">
      <c r="DT1866" s="3"/>
    </row>
    <row r="1867" spans="124:124" ht="15" customHeight="1" x14ac:dyDescent="0.25">
      <c r="DT1867" s="3"/>
    </row>
    <row r="1868" spans="124:124" ht="15" customHeight="1" x14ac:dyDescent="0.25">
      <c r="DT1868" s="3"/>
    </row>
    <row r="1869" spans="124:124" ht="15" customHeight="1" x14ac:dyDescent="0.25">
      <c r="DT1869" s="3"/>
    </row>
    <row r="1870" spans="124:124" ht="15" customHeight="1" x14ac:dyDescent="0.25">
      <c r="DT1870" s="3"/>
    </row>
    <row r="1871" spans="124:124" ht="15" customHeight="1" x14ac:dyDescent="0.25">
      <c r="DT1871" s="3"/>
    </row>
    <row r="1872" spans="124:124" ht="15" customHeight="1" x14ac:dyDescent="0.25">
      <c r="DT1872" s="3"/>
    </row>
    <row r="1873" spans="124:124" ht="15" customHeight="1" x14ac:dyDescent="0.25">
      <c r="DT1873" s="3"/>
    </row>
    <row r="1874" spans="124:124" ht="15" customHeight="1" x14ac:dyDescent="0.25">
      <c r="DT1874" s="3"/>
    </row>
    <row r="1875" spans="124:124" ht="15" customHeight="1" x14ac:dyDescent="0.25">
      <c r="DT1875" s="3"/>
    </row>
    <row r="1876" spans="124:124" ht="15" customHeight="1" x14ac:dyDescent="0.25">
      <c r="DT1876" s="3"/>
    </row>
    <row r="1877" spans="124:124" ht="15" customHeight="1" x14ac:dyDescent="0.25">
      <c r="DT1877" s="3"/>
    </row>
    <row r="1878" spans="124:124" ht="15" customHeight="1" x14ac:dyDescent="0.25">
      <c r="DT1878" s="3"/>
    </row>
    <row r="1879" spans="124:124" ht="15" customHeight="1" x14ac:dyDescent="0.25">
      <c r="DT1879" s="3"/>
    </row>
    <row r="1880" spans="124:124" ht="15" customHeight="1" x14ac:dyDescent="0.25">
      <c r="DT1880" s="3"/>
    </row>
    <row r="1881" spans="124:124" ht="15" customHeight="1" x14ac:dyDescent="0.25">
      <c r="DT1881" s="3"/>
    </row>
    <row r="1882" spans="124:124" ht="15" customHeight="1" x14ac:dyDescent="0.25">
      <c r="DT1882" s="3"/>
    </row>
    <row r="1883" spans="124:124" ht="15" customHeight="1" x14ac:dyDescent="0.25">
      <c r="DT1883" s="3"/>
    </row>
    <row r="1884" spans="124:124" ht="15" customHeight="1" x14ac:dyDescent="0.25">
      <c r="DT1884" s="3"/>
    </row>
    <row r="1885" spans="124:124" ht="15" customHeight="1" x14ac:dyDescent="0.25">
      <c r="DT1885" s="3"/>
    </row>
    <row r="1886" spans="124:124" ht="15" customHeight="1" x14ac:dyDescent="0.25">
      <c r="DT1886" s="3"/>
    </row>
    <row r="1887" spans="124:124" ht="15" customHeight="1" x14ac:dyDescent="0.25">
      <c r="DT1887" s="3"/>
    </row>
    <row r="1888" spans="124:124" ht="15" customHeight="1" x14ac:dyDescent="0.25">
      <c r="DT1888" s="3"/>
    </row>
    <row r="1889" spans="124:124" ht="15" customHeight="1" x14ac:dyDescent="0.25">
      <c r="DT1889" s="3"/>
    </row>
    <row r="1890" spans="124:124" ht="15" customHeight="1" x14ac:dyDescent="0.25">
      <c r="DT1890" s="3"/>
    </row>
    <row r="1891" spans="124:124" ht="15" customHeight="1" x14ac:dyDescent="0.25">
      <c r="DT1891" s="3"/>
    </row>
    <row r="1892" spans="124:124" ht="15" customHeight="1" x14ac:dyDescent="0.25">
      <c r="DT1892" s="3"/>
    </row>
    <row r="1893" spans="124:124" ht="15" customHeight="1" x14ac:dyDescent="0.25">
      <c r="DT1893" s="3"/>
    </row>
    <row r="1894" spans="124:124" ht="15" customHeight="1" x14ac:dyDescent="0.25">
      <c r="DT1894" s="3"/>
    </row>
    <row r="1895" spans="124:124" ht="15" customHeight="1" x14ac:dyDescent="0.25">
      <c r="DT1895" s="3"/>
    </row>
    <row r="1896" spans="124:124" ht="15" customHeight="1" x14ac:dyDescent="0.25">
      <c r="DT1896" s="3"/>
    </row>
    <row r="1897" spans="124:124" ht="15" customHeight="1" x14ac:dyDescent="0.25">
      <c r="DT1897" s="3"/>
    </row>
    <row r="1898" spans="124:124" ht="15" customHeight="1" x14ac:dyDescent="0.25">
      <c r="DT1898" s="3"/>
    </row>
    <row r="1899" spans="124:124" ht="15" customHeight="1" x14ac:dyDescent="0.25">
      <c r="DT1899" s="3"/>
    </row>
    <row r="1900" spans="124:124" ht="15" customHeight="1" x14ac:dyDescent="0.25">
      <c r="DT1900" s="3"/>
    </row>
    <row r="1901" spans="124:124" ht="15" customHeight="1" x14ac:dyDescent="0.25">
      <c r="DT1901" s="3"/>
    </row>
    <row r="1902" spans="124:124" ht="15" customHeight="1" x14ac:dyDescent="0.25">
      <c r="DT1902" s="3"/>
    </row>
    <row r="1903" spans="124:124" ht="15" customHeight="1" x14ac:dyDescent="0.25">
      <c r="DT1903" s="3"/>
    </row>
    <row r="1904" spans="124:124" ht="15" customHeight="1" x14ac:dyDescent="0.25">
      <c r="DT1904" s="3"/>
    </row>
    <row r="1905" spans="124:124" ht="15" customHeight="1" x14ac:dyDescent="0.25">
      <c r="DT1905" s="3"/>
    </row>
    <row r="1906" spans="124:124" ht="15" customHeight="1" x14ac:dyDescent="0.25">
      <c r="DT1906" s="3"/>
    </row>
    <row r="1907" spans="124:124" ht="15" customHeight="1" x14ac:dyDescent="0.25">
      <c r="DT1907" s="3"/>
    </row>
    <row r="1908" spans="124:124" ht="15" customHeight="1" x14ac:dyDescent="0.25">
      <c r="DT1908" s="3"/>
    </row>
    <row r="1909" spans="124:124" ht="15" customHeight="1" x14ac:dyDescent="0.25">
      <c r="DT1909" s="3"/>
    </row>
    <row r="1910" spans="124:124" ht="15" customHeight="1" x14ac:dyDescent="0.25">
      <c r="DT1910" s="3"/>
    </row>
    <row r="1911" spans="124:124" ht="15" customHeight="1" x14ac:dyDescent="0.25">
      <c r="DT1911" s="3"/>
    </row>
    <row r="1912" spans="124:124" ht="15" customHeight="1" x14ac:dyDescent="0.25">
      <c r="DT1912" s="3"/>
    </row>
    <row r="1913" spans="124:124" ht="15" customHeight="1" x14ac:dyDescent="0.25">
      <c r="DT1913" s="3"/>
    </row>
    <row r="1914" spans="124:124" ht="15" customHeight="1" x14ac:dyDescent="0.25">
      <c r="DT1914" s="3"/>
    </row>
    <row r="1915" spans="124:124" ht="15" customHeight="1" x14ac:dyDescent="0.25">
      <c r="DT1915" s="3"/>
    </row>
    <row r="1916" spans="124:124" ht="15" customHeight="1" x14ac:dyDescent="0.25">
      <c r="DT1916" s="3"/>
    </row>
    <row r="1917" spans="124:124" ht="15" customHeight="1" x14ac:dyDescent="0.25">
      <c r="DT1917" s="3"/>
    </row>
    <row r="1918" spans="124:124" ht="15" customHeight="1" x14ac:dyDescent="0.25">
      <c r="DT1918" s="3"/>
    </row>
    <row r="1919" spans="124:124" ht="15" customHeight="1" x14ac:dyDescent="0.25">
      <c r="DT1919" s="3"/>
    </row>
    <row r="1920" spans="124:124" ht="15" customHeight="1" x14ac:dyDescent="0.25">
      <c r="DT1920" s="3"/>
    </row>
    <row r="1921" spans="124:124" ht="15" customHeight="1" x14ac:dyDescent="0.25">
      <c r="DT1921" s="3"/>
    </row>
    <row r="1922" spans="124:124" ht="15" customHeight="1" x14ac:dyDescent="0.25">
      <c r="DT1922" s="3"/>
    </row>
    <row r="1923" spans="124:124" ht="15" customHeight="1" x14ac:dyDescent="0.25">
      <c r="DT1923" s="3"/>
    </row>
    <row r="1924" spans="124:124" ht="15" customHeight="1" x14ac:dyDescent="0.25">
      <c r="DT1924" s="3"/>
    </row>
    <row r="1925" spans="124:124" ht="15" customHeight="1" x14ac:dyDescent="0.25">
      <c r="DT1925" s="3"/>
    </row>
    <row r="1926" spans="124:124" ht="15" customHeight="1" x14ac:dyDescent="0.25">
      <c r="DT1926" s="3"/>
    </row>
    <row r="1927" spans="124:124" ht="15" customHeight="1" x14ac:dyDescent="0.25">
      <c r="DT1927" s="3"/>
    </row>
    <row r="1928" spans="124:124" ht="15" customHeight="1" x14ac:dyDescent="0.25">
      <c r="DT1928" s="3"/>
    </row>
    <row r="1929" spans="124:124" ht="15" customHeight="1" x14ac:dyDescent="0.25">
      <c r="DT1929" s="3"/>
    </row>
    <row r="1930" spans="124:124" ht="15" customHeight="1" x14ac:dyDescent="0.25">
      <c r="DT1930" s="3"/>
    </row>
    <row r="1931" spans="124:124" ht="15" customHeight="1" x14ac:dyDescent="0.25">
      <c r="DT1931" s="3"/>
    </row>
    <row r="1932" spans="124:124" ht="15" customHeight="1" x14ac:dyDescent="0.25">
      <c r="DT1932" s="3"/>
    </row>
    <row r="1933" spans="124:124" ht="15" customHeight="1" x14ac:dyDescent="0.25">
      <c r="DT1933" s="3"/>
    </row>
    <row r="1934" spans="124:124" ht="15" customHeight="1" x14ac:dyDescent="0.25">
      <c r="DT1934" s="3"/>
    </row>
    <row r="1935" spans="124:124" ht="15" customHeight="1" x14ac:dyDescent="0.25">
      <c r="DT1935" s="3"/>
    </row>
    <row r="1936" spans="124:124" ht="15" customHeight="1" x14ac:dyDescent="0.25">
      <c r="DT1936" s="3"/>
    </row>
    <row r="1937" spans="124:124" ht="15" customHeight="1" x14ac:dyDescent="0.25">
      <c r="DT1937" s="3"/>
    </row>
    <row r="1938" spans="124:124" ht="15" customHeight="1" x14ac:dyDescent="0.25">
      <c r="DT1938" s="3"/>
    </row>
    <row r="1939" spans="124:124" ht="15" customHeight="1" x14ac:dyDescent="0.25">
      <c r="DT1939" s="3"/>
    </row>
    <row r="1940" spans="124:124" ht="15" customHeight="1" x14ac:dyDescent="0.25">
      <c r="DT1940" s="3"/>
    </row>
    <row r="1941" spans="124:124" ht="15" customHeight="1" x14ac:dyDescent="0.25">
      <c r="DT1941" s="3"/>
    </row>
    <row r="1942" spans="124:124" ht="15" customHeight="1" x14ac:dyDescent="0.25">
      <c r="DT1942" s="3"/>
    </row>
    <row r="1943" spans="124:124" ht="15" customHeight="1" x14ac:dyDescent="0.25">
      <c r="DT1943" s="3"/>
    </row>
    <row r="1944" spans="124:124" ht="15" customHeight="1" x14ac:dyDescent="0.25">
      <c r="DT1944" s="3"/>
    </row>
    <row r="1945" spans="124:124" ht="15" customHeight="1" x14ac:dyDescent="0.25">
      <c r="DT1945" s="3"/>
    </row>
    <row r="1946" spans="124:124" ht="15" customHeight="1" x14ac:dyDescent="0.25">
      <c r="DT1946" s="3"/>
    </row>
    <row r="1947" spans="124:124" ht="15" customHeight="1" x14ac:dyDescent="0.25">
      <c r="DT1947" s="3"/>
    </row>
    <row r="1948" spans="124:124" ht="15" customHeight="1" x14ac:dyDescent="0.25">
      <c r="DT1948" s="3"/>
    </row>
    <row r="1949" spans="124:124" ht="15" customHeight="1" x14ac:dyDescent="0.25">
      <c r="DT1949" s="3"/>
    </row>
    <row r="1950" spans="124:124" ht="15" customHeight="1" x14ac:dyDescent="0.25">
      <c r="DT1950" s="3"/>
    </row>
    <row r="1951" spans="124:124" ht="15" customHeight="1" x14ac:dyDescent="0.25">
      <c r="DT1951" s="3"/>
    </row>
    <row r="1952" spans="124:124" ht="15" customHeight="1" x14ac:dyDescent="0.25">
      <c r="DT1952" s="3"/>
    </row>
    <row r="1953" spans="124:124" ht="15" customHeight="1" x14ac:dyDescent="0.25">
      <c r="DT1953" s="3"/>
    </row>
    <row r="1954" spans="124:124" ht="15" customHeight="1" x14ac:dyDescent="0.25">
      <c r="DT1954" s="3"/>
    </row>
    <row r="1955" spans="124:124" ht="15" customHeight="1" x14ac:dyDescent="0.25">
      <c r="DT1955" s="3"/>
    </row>
    <row r="1956" spans="124:124" ht="15" customHeight="1" x14ac:dyDescent="0.25">
      <c r="DT1956" s="3"/>
    </row>
    <row r="1957" spans="124:124" ht="15" customHeight="1" x14ac:dyDescent="0.25">
      <c r="DT1957" s="3"/>
    </row>
    <row r="1958" spans="124:124" ht="15" customHeight="1" x14ac:dyDescent="0.25">
      <c r="DT1958" s="3"/>
    </row>
    <row r="1959" spans="124:124" ht="15" customHeight="1" x14ac:dyDescent="0.25">
      <c r="DT1959" s="3"/>
    </row>
    <row r="1960" spans="124:124" ht="15" customHeight="1" x14ac:dyDescent="0.25">
      <c r="DT1960" s="3"/>
    </row>
    <row r="1961" spans="124:124" ht="15" customHeight="1" x14ac:dyDescent="0.25">
      <c r="DT1961" s="3"/>
    </row>
    <row r="1962" spans="124:124" ht="15" customHeight="1" x14ac:dyDescent="0.25">
      <c r="DT1962" s="3"/>
    </row>
    <row r="1963" spans="124:124" ht="15" customHeight="1" x14ac:dyDescent="0.25">
      <c r="DT1963" s="3"/>
    </row>
    <row r="1964" spans="124:124" ht="15" customHeight="1" x14ac:dyDescent="0.25">
      <c r="DT1964" s="3"/>
    </row>
    <row r="1965" spans="124:124" ht="15" customHeight="1" x14ac:dyDescent="0.25">
      <c r="DT1965" s="3"/>
    </row>
    <row r="1966" spans="124:124" ht="15" customHeight="1" x14ac:dyDescent="0.25">
      <c r="DT1966" s="3"/>
    </row>
    <row r="1967" spans="124:124" ht="15" customHeight="1" x14ac:dyDescent="0.25">
      <c r="DT1967" s="3"/>
    </row>
    <row r="1968" spans="124:124" ht="15" customHeight="1" x14ac:dyDescent="0.25">
      <c r="DT1968" s="3"/>
    </row>
    <row r="1969" spans="124:124" ht="15" customHeight="1" x14ac:dyDescent="0.25">
      <c r="DT1969" s="3"/>
    </row>
    <row r="1970" spans="124:124" ht="15" customHeight="1" x14ac:dyDescent="0.25">
      <c r="DT1970" s="3"/>
    </row>
    <row r="1971" spans="124:124" ht="15" customHeight="1" x14ac:dyDescent="0.25">
      <c r="DT1971" s="3"/>
    </row>
    <row r="1972" spans="124:124" ht="15" customHeight="1" x14ac:dyDescent="0.25">
      <c r="DT1972" s="3"/>
    </row>
    <row r="1973" spans="124:124" ht="15" customHeight="1" x14ac:dyDescent="0.25">
      <c r="DT1973" s="3"/>
    </row>
    <row r="1974" spans="124:124" ht="15" customHeight="1" x14ac:dyDescent="0.25">
      <c r="DT1974" s="3"/>
    </row>
    <row r="1975" spans="124:124" ht="15" customHeight="1" x14ac:dyDescent="0.25">
      <c r="DT1975" s="3"/>
    </row>
    <row r="1976" spans="124:124" ht="15" customHeight="1" x14ac:dyDescent="0.25">
      <c r="DT1976" s="3"/>
    </row>
    <row r="1977" spans="124:124" ht="15" customHeight="1" x14ac:dyDescent="0.25">
      <c r="DT1977" s="3"/>
    </row>
    <row r="1978" spans="124:124" ht="15" customHeight="1" x14ac:dyDescent="0.25">
      <c r="DT1978" s="3"/>
    </row>
    <row r="1979" spans="124:124" ht="15" customHeight="1" x14ac:dyDescent="0.25">
      <c r="DT1979" s="3"/>
    </row>
    <row r="1980" spans="124:124" ht="15" customHeight="1" x14ac:dyDescent="0.25">
      <c r="DT1980" s="3"/>
    </row>
    <row r="1981" spans="124:124" ht="15" customHeight="1" x14ac:dyDescent="0.25">
      <c r="DT1981" s="3"/>
    </row>
    <row r="1982" spans="124:124" ht="15" customHeight="1" x14ac:dyDescent="0.25">
      <c r="DT1982" s="3"/>
    </row>
    <row r="1983" spans="124:124" ht="15" customHeight="1" x14ac:dyDescent="0.25">
      <c r="DT1983" s="3"/>
    </row>
    <row r="1984" spans="124:124" ht="15" customHeight="1" x14ac:dyDescent="0.25">
      <c r="DT1984" s="3"/>
    </row>
    <row r="1985" spans="124:124" ht="15" customHeight="1" x14ac:dyDescent="0.25">
      <c r="DT1985" s="3"/>
    </row>
    <row r="1986" spans="124:124" ht="15" customHeight="1" x14ac:dyDescent="0.25">
      <c r="DT1986" s="3"/>
    </row>
    <row r="1987" spans="124:124" ht="15" customHeight="1" x14ac:dyDescent="0.25">
      <c r="DT1987" s="3"/>
    </row>
    <row r="1988" spans="124:124" ht="15" customHeight="1" x14ac:dyDescent="0.25">
      <c r="DT1988" s="3"/>
    </row>
    <row r="1989" spans="124:124" ht="15" customHeight="1" x14ac:dyDescent="0.25">
      <c r="DT1989" s="3"/>
    </row>
    <row r="1990" spans="124:124" ht="15" customHeight="1" x14ac:dyDescent="0.25">
      <c r="DT1990" s="3"/>
    </row>
    <row r="1991" spans="124:124" ht="15" customHeight="1" x14ac:dyDescent="0.25">
      <c r="DT1991" s="3"/>
    </row>
    <row r="1992" spans="124:124" ht="15" customHeight="1" x14ac:dyDescent="0.25">
      <c r="DT1992" s="3"/>
    </row>
    <row r="1993" spans="124:124" ht="15" customHeight="1" x14ac:dyDescent="0.25">
      <c r="DT1993" s="3"/>
    </row>
    <row r="1994" spans="124:124" ht="15" customHeight="1" x14ac:dyDescent="0.25">
      <c r="DT1994" s="3"/>
    </row>
    <row r="1995" spans="124:124" ht="15" customHeight="1" x14ac:dyDescent="0.25">
      <c r="DT1995" s="3"/>
    </row>
    <row r="1996" spans="124:124" ht="15" customHeight="1" x14ac:dyDescent="0.25">
      <c r="DT1996" s="3"/>
    </row>
    <row r="1997" spans="124:124" ht="15" customHeight="1" x14ac:dyDescent="0.25">
      <c r="DT1997" s="3"/>
    </row>
    <row r="1998" spans="124:124" ht="15" customHeight="1" x14ac:dyDescent="0.25">
      <c r="DT1998" s="3"/>
    </row>
    <row r="1999" spans="124:124" ht="15" customHeight="1" x14ac:dyDescent="0.25">
      <c r="DT1999" s="3"/>
    </row>
    <row r="2000" spans="124:124" ht="15" customHeight="1" x14ac:dyDescent="0.25">
      <c r="DT2000" s="3"/>
    </row>
    <row r="2001" spans="124:124" ht="15" customHeight="1" x14ac:dyDescent="0.25">
      <c r="DT2001" s="3"/>
    </row>
    <row r="2002" spans="124:124" ht="15" customHeight="1" x14ac:dyDescent="0.25">
      <c r="DT2002" s="3"/>
    </row>
    <row r="2003" spans="124:124" ht="15" customHeight="1" x14ac:dyDescent="0.25">
      <c r="DT2003" s="3"/>
    </row>
    <row r="2004" spans="124:124" ht="15" customHeight="1" x14ac:dyDescent="0.25">
      <c r="DT2004" s="3"/>
    </row>
    <row r="2005" spans="124:124" ht="15" customHeight="1" x14ac:dyDescent="0.25">
      <c r="DT2005" s="3"/>
    </row>
    <row r="2006" spans="124:124" ht="15" customHeight="1" x14ac:dyDescent="0.25">
      <c r="DT2006" s="3"/>
    </row>
    <row r="2007" spans="124:124" ht="15" customHeight="1" x14ac:dyDescent="0.25">
      <c r="DT2007" s="3"/>
    </row>
    <row r="2008" spans="124:124" ht="15" customHeight="1" x14ac:dyDescent="0.25">
      <c r="DT2008" s="3"/>
    </row>
    <row r="2009" spans="124:124" ht="15" customHeight="1" x14ac:dyDescent="0.25">
      <c r="DT2009" s="3"/>
    </row>
    <row r="2010" spans="124:124" ht="15" customHeight="1" x14ac:dyDescent="0.25">
      <c r="DT2010" s="3"/>
    </row>
    <row r="2011" spans="124:124" ht="15" customHeight="1" x14ac:dyDescent="0.25">
      <c r="DT2011" s="3"/>
    </row>
    <row r="2012" spans="124:124" ht="15" customHeight="1" x14ac:dyDescent="0.25">
      <c r="DT2012" s="3"/>
    </row>
    <row r="2013" spans="124:124" ht="15" customHeight="1" x14ac:dyDescent="0.25">
      <c r="DT2013" s="3"/>
    </row>
    <row r="2014" spans="124:124" ht="15" customHeight="1" x14ac:dyDescent="0.25">
      <c r="DT2014" s="3"/>
    </row>
    <row r="2015" spans="124:124" ht="15" customHeight="1" x14ac:dyDescent="0.25">
      <c r="DT2015" s="3"/>
    </row>
    <row r="2016" spans="124:124" ht="15" customHeight="1" x14ac:dyDescent="0.25">
      <c r="DT2016" s="3"/>
    </row>
    <row r="2017" spans="124:124" ht="15" customHeight="1" x14ac:dyDescent="0.25">
      <c r="DT2017" s="3"/>
    </row>
    <row r="2018" spans="124:124" ht="15" customHeight="1" x14ac:dyDescent="0.25">
      <c r="DT2018" s="3"/>
    </row>
    <row r="2019" spans="124:124" ht="15" customHeight="1" x14ac:dyDescent="0.25">
      <c r="DT2019" s="3"/>
    </row>
    <row r="2020" spans="124:124" ht="15" customHeight="1" x14ac:dyDescent="0.25">
      <c r="DT2020" s="3"/>
    </row>
    <row r="2021" spans="124:124" ht="15" customHeight="1" x14ac:dyDescent="0.25">
      <c r="DT2021" s="3"/>
    </row>
    <row r="2022" spans="124:124" ht="15" customHeight="1" x14ac:dyDescent="0.25">
      <c r="DT2022" s="3"/>
    </row>
    <row r="2023" spans="124:124" ht="15" customHeight="1" x14ac:dyDescent="0.25">
      <c r="DT2023" s="3"/>
    </row>
    <row r="2024" spans="124:124" ht="15" customHeight="1" x14ac:dyDescent="0.25">
      <c r="DT2024" s="3"/>
    </row>
    <row r="2025" spans="124:124" ht="15" customHeight="1" x14ac:dyDescent="0.25">
      <c r="DT2025" s="3"/>
    </row>
    <row r="2026" spans="124:124" ht="15" customHeight="1" x14ac:dyDescent="0.25">
      <c r="DT2026" s="3"/>
    </row>
    <row r="2027" spans="124:124" ht="15" customHeight="1" x14ac:dyDescent="0.25">
      <c r="DT2027" s="3"/>
    </row>
    <row r="2028" spans="124:124" ht="15" customHeight="1" x14ac:dyDescent="0.25">
      <c r="DT2028" s="3"/>
    </row>
    <row r="2029" spans="124:124" ht="15" customHeight="1" x14ac:dyDescent="0.25">
      <c r="DT2029" s="3"/>
    </row>
    <row r="2030" spans="124:124" ht="15" customHeight="1" x14ac:dyDescent="0.25">
      <c r="DT2030" s="3"/>
    </row>
    <row r="2031" spans="124:124" ht="15" customHeight="1" x14ac:dyDescent="0.25">
      <c r="DT2031" s="3"/>
    </row>
    <row r="2032" spans="124:124" ht="15" customHeight="1" x14ac:dyDescent="0.25">
      <c r="DT2032" s="3"/>
    </row>
    <row r="2033" spans="124:124" ht="15" customHeight="1" x14ac:dyDescent="0.25">
      <c r="DT2033" s="3"/>
    </row>
    <row r="2034" spans="124:124" ht="15" customHeight="1" x14ac:dyDescent="0.25">
      <c r="DT2034" s="3"/>
    </row>
    <row r="2035" spans="124:124" ht="15" customHeight="1" x14ac:dyDescent="0.25">
      <c r="DT2035" s="3"/>
    </row>
    <row r="2036" spans="124:124" ht="15" customHeight="1" x14ac:dyDescent="0.25">
      <c r="DT2036" s="3"/>
    </row>
    <row r="2037" spans="124:124" ht="15" customHeight="1" x14ac:dyDescent="0.25">
      <c r="DT2037" s="3"/>
    </row>
    <row r="2038" spans="124:124" ht="15" customHeight="1" x14ac:dyDescent="0.25">
      <c r="DT2038" s="3"/>
    </row>
    <row r="2039" spans="124:124" ht="15" customHeight="1" x14ac:dyDescent="0.25">
      <c r="DT2039" s="3"/>
    </row>
    <row r="2040" spans="124:124" ht="15" customHeight="1" x14ac:dyDescent="0.25">
      <c r="DT2040" s="3"/>
    </row>
    <row r="2041" spans="124:124" ht="15" customHeight="1" x14ac:dyDescent="0.25">
      <c r="DT2041" s="3"/>
    </row>
    <row r="2042" spans="124:124" ht="15" customHeight="1" x14ac:dyDescent="0.25">
      <c r="DT2042" s="3"/>
    </row>
    <row r="2043" spans="124:124" ht="15" customHeight="1" x14ac:dyDescent="0.25">
      <c r="DT2043" s="3"/>
    </row>
    <row r="2044" spans="124:124" ht="15" customHeight="1" x14ac:dyDescent="0.25">
      <c r="DT2044" s="3"/>
    </row>
    <row r="2045" spans="124:124" ht="15" customHeight="1" x14ac:dyDescent="0.25">
      <c r="DT2045" s="3"/>
    </row>
    <row r="2046" spans="124:124" ht="15" customHeight="1" x14ac:dyDescent="0.25">
      <c r="DT2046" s="3"/>
    </row>
    <row r="2047" spans="124:124" ht="15" customHeight="1" x14ac:dyDescent="0.25">
      <c r="DT2047" s="3"/>
    </row>
    <row r="2048" spans="124:124" ht="15" customHeight="1" x14ac:dyDescent="0.25">
      <c r="DT2048" s="3"/>
    </row>
    <row r="2049" spans="124:124" ht="15" customHeight="1" x14ac:dyDescent="0.25">
      <c r="DT2049" s="3"/>
    </row>
    <row r="2050" spans="124:124" ht="15" customHeight="1" x14ac:dyDescent="0.25">
      <c r="DT2050" s="3"/>
    </row>
    <row r="2051" spans="124:124" ht="15" customHeight="1" x14ac:dyDescent="0.25">
      <c r="DT2051" s="3"/>
    </row>
    <row r="2052" spans="124:124" ht="15" customHeight="1" x14ac:dyDescent="0.25">
      <c r="DT2052" s="3"/>
    </row>
    <row r="2053" spans="124:124" ht="15" customHeight="1" x14ac:dyDescent="0.25">
      <c r="DT2053" s="3"/>
    </row>
    <row r="2054" spans="124:124" ht="15" customHeight="1" x14ac:dyDescent="0.25">
      <c r="DT2054" s="3"/>
    </row>
    <row r="2055" spans="124:124" ht="15" customHeight="1" x14ac:dyDescent="0.25">
      <c r="DT2055" s="3"/>
    </row>
    <row r="2056" spans="124:124" ht="15" customHeight="1" x14ac:dyDescent="0.25">
      <c r="DT2056" s="3"/>
    </row>
    <row r="2057" spans="124:124" ht="15" customHeight="1" x14ac:dyDescent="0.25">
      <c r="DT2057" s="3"/>
    </row>
    <row r="2058" spans="124:124" ht="15" customHeight="1" x14ac:dyDescent="0.25">
      <c r="DT2058" s="3"/>
    </row>
    <row r="2059" spans="124:124" ht="15" customHeight="1" x14ac:dyDescent="0.25">
      <c r="DT2059" s="3"/>
    </row>
    <row r="2060" spans="124:124" ht="15" customHeight="1" x14ac:dyDescent="0.25">
      <c r="DT2060" s="3"/>
    </row>
    <row r="2061" spans="124:124" ht="15" customHeight="1" x14ac:dyDescent="0.25">
      <c r="DT2061" s="3"/>
    </row>
    <row r="2062" spans="124:124" ht="15" customHeight="1" x14ac:dyDescent="0.25">
      <c r="DT2062" s="3"/>
    </row>
    <row r="2063" spans="124:124" ht="15" customHeight="1" x14ac:dyDescent="0.25">
      <c r="DT2063" s="3"/>
    </row>
    <row r="2064" spans="124:124" ht="15" customHeight="1" x14ac:dyDescent="0.25">
      <c r="DT2064" s="3"/>
    </row>
    <row r="2065" spans="124:124" ht="15" customHeight="1" x14ac:dyDescent="0.25">
      <c r="DT2065" s="3"/>
    </row>
    <row r="2066" spans="124:124" ht="15" customHeight="1" x14ac:dyDescent="0.25">
      <c r="DT2066" s="3"/>
    </row>
    <row r="2067" spans="124:124" ht="15" customHeight="1" x14ac:dyDescent="0.25">
      <c r="DT2067" s="3"/>
    </row>
    <row r="2068" spans="124:124" ht="15" customHeight="1" x14ac:dyDescent="0.25">
      <c r="DT2068" s="3"/>
    </row>
    <row r="2069" spans="124:124" ht="15" customHeight="1" x14ac:dyDescent="0.25">
      <c r="DT2069" s="3"/>
    </row>
    <row r="2070" spans="124:124" ht="15" customHeight="1" x14ac:dyDescent="0.25">
      <c r="DT2070" s="3"/>
    </row>
    <row r="2071" spans="124:124" ht="15" customHeight="1" x14ac:dyDescent="0.25">
      <c r="DT2071" s="3"/>
    </row>
    <row r="2072" spans="124:124" ht="15" customHeight="1" x14ac:dyDescent="0.25">
      <c r="DT2072" s="3"/>
    </row>
    <row r="2073" spans="124:124" ht="15" customHeight="1" x14ac:dyDescent="0.25">
      <c r="DT2073" s="3"/>
    </row>
    <row r="2074" spans="124:124" ht="15" customHeight="1" x14ac:dyDescent="0.25">
      <c r="DT2074" s="3"/>
    </row>
    <row r="2075" spans="124:124" ht="15" customHeight="1" x14ac:dyDescent="0.25">
      <c r="DT2075" s="3"/>
    </row>
    <row r="2076" spans="124:124" ht="15" customHeight="1" x14ac:dyDescent="0.25">
      <c r="DT2076" s="3"/>
    </row>
    <row r="2077" spans="124:124" ht="15" customHeight="1" x14ac:dyDescent="0.25">
      <c r="DT2077" s="3"/>
    </row>
    <row r="2078" spans="124:124" ht="15" customHeight="1" x14ac:dyDescent="0.25">
      <c r="DT2078" s="3"/>
    </row>
    <row r="2079" spans="124:124" ht="15" customHeight="1" x14ac:dyDescent="0.25">
      <c r="DT2079" s="3"/>
    </row>
    <row r="2080" spans="124:124" ht="15" customHeight="1" x14ac:dyDescent="0.25">
      <c r="DT2080" s="3"/>
    </row>
    <row r="2081" spans="124:124" ht="15" customHeight="1" x14ac:dyDescent="0.25">
      <c r="DT2081" s="3"/>
    </row>
    <row r="2082" spans="124:124" ht="15" customHeight="1" x14ac:dyDescent="0.25">
      <c r="DT2082" s="3"/>
    </row>
    <row r="2083" spans="124:124" ht="15" customHeight="1" x14ac:dyDescent="0.25">
      <c r="DT2083" s="3"/>
    </row>
    <row r="2084" spans="124:124" ht="15" customHeight="1" x14ac:dyDescent="0.25">
      <c r="DT2084" s="3"/>
    </row>
    <row r="2085" spans="124:124" ht="15" customHeight="1" x14ac:dyDescent="0.25">
      <c r="DT2085" s="3"/>
    </row>
    <row r="2086" spans="124:124" ht="15" customHeight="1" x14ac:dyDescent="0.25">
      <c r="DT2086" s="3"/>
    </row>
    <row r="2087" spans="124:124" ht="15" customHeight="1" x14ac:dyDescent="0.25">
      <c r="DT2087" s="3"/>
    </row>
    <row r="2088" spans="124:124" ht="15" customHeight="1" x14ac:dyDescent="0.25">
      <c r="DT2088" s="3"/>
    </row>
    <row r="2089" spans="124:124" ht="15" customHeight="1" x14ac:dyDescent="0.25">
      <c r="DT2089" s="3"/>
    </row>
    <row r="2090" spans="124:124" ht="15" customHeight="1" x14ac:dyDescent="0.25">
      <c r="DT2090" s="3"/>
    </row>
    <row r="2091" spans="124:124" ht="15" customHeight="1" x14ac:dyDescent="0.25">
      <c r="DT2091" s="3"/>
    </row>
    <row r="2092" spans="124:124" ht="15" customHeight="1" x14ac:dyDescent="0.25">
      <c r="DT2092" s="3"/>
    </row>
    <row r="2093" spans="124:124" ht="15" customHeight="1" x14ac:dyDescent="0.25">
      <c r="DT2093" s="3"/>
    </row>
    <row r="2094" spans="124:124" ht="15" customHeight="1" x14ac:dyDescent="0.25">
      <c r="DT2094" s="3"/>
    </row>
    <row r="2095" spans="124:124" ht="15" customHeight="1" x14ac:dyDescent="0.25">
      <c r="DT2095" s="3"/>
    </row>
    <row r="2096" spans="124:124" ht="15" customHeight="1" x14ac:dyDescent="0.25">
      <c r="DT2096" s="3"/>
    </row>
    <row r="2097" spans="124:124" ht="15" customHeight="1" x14ac:dyDescent="0.25">
      <c r="DT2097" s="3"/>
    </row>
    <row r="2098" spans="124:124" ht="15" customHeight="1" x14ac:dyDescent="0.25">
      <c r="DT2098" s="3"/>
    </row>
    <row r="2099" spans="124:124" ht="15" customHeight="1" x14ac:dyDescent="0.25">
      <c r="DT2099" s="3"/>
    </row>
    <row r="2100" spans="124:124" ht="15" customHeight="1" x14ac:dyDescent="0.25">
      <c r="DT2100" s="3"/>
    </row>
    <row r="2101" spans="124:124" ht="15" customHeight="1" x14ac:dyDescent="0.25">
      <c r="DT2101" s="3"/>
    </row>
    <row r="2102" spans="124:124" ht="15" customHeight="1" x14ac:dyDescent="0.25">
      <c r="DT2102" s="3"/>
    </row>
    <row r="2103" spans="124:124" ht="15" customHeight="1" x14ac:dyDescent="0.25">
      <c r="DT2103" s="3"/>
    </row>
    <row r="2104" spans="124:124" ht="15" customHeight="1" x14ac:dyDescent="0.25">
      <c r="DT2104" s="3"/>
    </row>
    <row r="2105" spans="124:124" ht="15" customHeight="1" x14ac:dyDescent="0.25">
      <c r="DT2105" s="3"/>
    </row>
    <row r="2106" spans="124:124" ht="15" customHeight="1" x14ac:dyDescent="0.25">
      <c r="DT2106" s="3"/>
    </row>
    <row r="2107" spans="124:124" ht="15" customHeight="1" x14ac:dyDescent="0.25">
      <c r="DT2107" s="3"/>
    </row>
    <row r="2108" spans="124:124" ht="15" customHeight="1" x14ac:dyDescent="0.25">
      <c r="DT2108" s="3"/>
    </row>
    <row r="2109" spans="124:124" ht="15" customHeight="1" x14ac:dyDescent="0.25">
      <c r="DT2109" s="3"/>
    </row>
    <row r="2110" spans="124:124" ht="15" customHeight="1" x14ac:dyDescent="0.25">
      <c r="DT2110" s="3"/>
    </row>
    <row r="2111" spans="124:124" ht="15" customHeight="1" x14ac:dyDescent="0.25">
      <c r="DT2111" s="3"/>
    </row>
    <row r="2112" spans="124:124" ht="15" customHeight="1" x14ac:dyDescent="0.25">
      <c r="DT2112" s="3"/>
    </row>
    <row r="2113" spans="124:124" ht="15" customHeight="1" x14ac:dyDescent="0.25">
      <c r="DT2113" s="3"/>
    </row>
    <row r="2114" spans="124:124" ht="15" customHeight="1" x14ac:dyDescent="0.25">
      <c r="DT2114" s="3"/>
    </row>
    <row r="2115" spans="124:124" ht="15" customHeight="1" x14ac:dyDescent="0.25">
      <c r="DT2115" s="3"/>
    </row>
    <row r="2116" spans="124:124" ht="15" customHeight="1" x14ac:dyDescent="0.25">
      <c r="DT2116" s="3"/>
    </row>
    <row r="2117" spans="124:124" ht="15" customHeight="1" x14ac:dyDescent="0.25">
      <c r="DT2117" s="3"/>
    </row>
    <row r="2118" spans="124:124" ht="15" customHeight="1" x14ac:dyDescent="0.25">
      <c r="DT2118" s="3"/>
    </row>
    <row r="2119" spans="124:124" ht="15" customHeight="1" x14ac:dyDescent="0.25">
      <c r="DT2119" s="3"/>
    </row>
    <row r="2120" spans="124:124" ht="15" customHeight="1" x14ac:dyDescent="0.25">
      <c r="DT2120" s="3"/>
    </row>
    <row r="2121" spans="124:124" ht="15" customHeight="1" x14ac:dyDescent="0.25">
      <c r="DT2121" s="3"/>
    </row>
    <row r="2122" spans="124:124" ht="15" customHeight="1" x14ac:dyDescent="0.25">
      <c r="DT2122" s="3"/>
    </row>
    <row r="2123" spans="124:124" ht="15" customHeight="1" x14ac:dyDescent="0.25">
      <c r="DT2123" s="3"/>
    </row>
    <row r="2124" spans="124:124" ht="15" customHeight="1" x14ac:dyDescent="0.25">
      <c r="DT2124" s="3"/>
    </row>
    <row r="2125" spans="124:124" ht="15" customHeight="1" x14ac:dyDescent="0.25">
      <c r="DT2125" s="3"/>
    </row>
    <row r="2126" spans="124:124" ht="15" customHeight="1" x14ac:dyDescent="0.25">
      <c r="DT2126" s="3"/>
    </row>
    <row r="2127" spans="124:124" ht="15" customHeight="1" x14ac:dyDescent="0.25">
      <c r="DT2127" s="3"/>
    </row>
    <row r="2128" spans="124:124" ht="15" customHeight="1" x14ac:dyDescent="0.25">
      <c r="DT2128" s="3"/>
    </row>
    <row r="2129" spans="124:124" ht="15" customHeight="1" x14ac:dyDescent="0.25">
      <c r="DT2129" s="3"/>
    </row>
    <row r="2130" spans="124:124" ht="15" customHeight="1" x14ac:dyDescent="0.25">
      <c r="DT2130" s="3"/>
    </row>
    <row r="2131" spans="124:124" ht="15" customHeight="1" x14ac:dyDescent="0.25">
      <c r="DT2131" s="3"/>
    </row>
    <row r="2132" spans="124:124" ht="15" customHeight="1" x14ac:dyDescent="0.25">
      <c r="DT2132" s="3"/>
    </row>
    <row r="2133" spans="124:124" ht="15" customHeight="1" x14ac:dyDescent="0.25">
      <c r="DT2133" s="3"/>
    </row>
    <row r="2134" spans="124:124" ht="15" customHeight="1" x14ac:dyDescent="0.25">
      <c r="DT2134" s="3"/>
    </row>
    <row r="2135" spans="124:124" ht="15" customHeight="1" x14ac:dyDescent="0.25">
      <c r="DT2135" s="3"/>
    </row>
    <row r="2136" spans="124:124" ht="15" customHeight="1" x14ac:dyDescent="0.25">
      <c r="DT2136" s="3"/>
    </row>
    <row r="2137" spans="124:124" ht="15" customHeight="1" x14ac:dyDescent="0.25">
      <c r="DT2137" s="3"/>
    </row>
    <row r="2138" spans="124:124" ht="15" customHeight="1" x14ac:dyDescent="0.25">
      <c r="DT2138" s="3"/>
    </row>
    <row r="2139" spans="124:124" ht="15" customHeight="1" x14ac:dyDescent="0.25">
      <c r="DT2139" s="3"/>
    </row>
    <row r="2140" spans="124:124" ht="15" customHeight="1" x14ac:dyDescent="0.25">
      <c r="DT2140" s="3"/>
    </row>
    <row r="2141" spans="124:124" ht="15" customHeight="1" x14ac:dyDescent="0.25">
      <c r="DT2141" s="3"/>
    </row>
    <row r="2142" spans="124:124" ht="15" customHeight="1" x14ac:dyDescent="0.25">
      <c r="DT2142" s="3"/>
    </row>
    <row r="2143" spans="124:124" ht="15" customHeight="1" x14ac:dyDescent="0.25">
      <c r="DT2143" s="3"/>
    </row>
    <row r="2144" spans="124:124" ht="15" customHeight="1" x14ac:dyDescent="0.25">
      <c r="DT2144" s="3"/>
    </row>
    <row r="2145" spans="124:124" ht="15" customHeight="1" x14ac:dyDescent="0.25">
      <c r="DT2145" s="3"/>
    </row>
    <row r="2146" spans="124:124" ht="15" customHeight="1" x14ac:dyDescent="0.25">
      <c r="DT2146" s="3"/>
    </row>
    <row r="2147" spans="124:124" ht="15" customHeight="1" x14ac:dyDescent="0.25">
      <c r="DT2147" s="3"/>
    </row>
    <row r="2148" spans="124:124" ht="15" customHeight="1" x14ac:dyDescent="0.25">
      <c r="DT2148" s="3"/>
    </row>
    <row r="2149" spans="124:124" ht="15" customHeight="1" x14ac:dyDescent="0.25">
      <c r="DT2149" s="3"/>
    </row>
    <row r="2150" spans="124:124" ht="15" customHeight="1" x14ac:dyDescent="0.25">
      <c r="DT2150" s="3"/>
    </row>
    <row r="2151" spans="124:124" ht="15" customHeight="1" x14ac:dyDescent="0.25">
      <c r="DT2151" s="3"/>
    </row>
    <row r="2152" spans="124:124" ht="15" customHeight="1" x14ac:dyDescent="0.25">
      <c r="DT2152" s="3"/>
    </row>
    <row r="2153" spans="124:124" ht="15" customHeight="1" x14ac:dyDescent="0.25">
      <c r="DT2153" s="3"/>
    </row>
    <row r="2154" spans="124:124" ht="15" customHeight="1" x14ac:dyDescent="0.25">
      <c r="DT2154" s="3"/>
    </row>
    <row r="2155" spans="124:124" ht="15" customHeight="1" x14ac:dyDescent="0.25">
      <c r="DT2155" s="3"/>
    </row>
    <row r="2156" spans="124:124" ht="15" customHeight="1" x14ac:dyDescent="0.25">
      <c r="DT2156" s="3"/>
    </row>
    <row r="2157" spans="124:124" ht="15" customHeight="1" x14ac:dyDescent="0.25">
      <c r="DT2157" s="3"/>
    </row>
    <row r="2158" spans="124:124" ht="15" customHeight="1" x14ac:dyDescent="0.25">
      <c r="DT2158" s="3"/>
    </row>
    <row r="2159" spans="124:124" ht="15" customHeight="1" x14ac:dyDescent="0.25">
      <c r="DT2159" s="3"/>
    </row>
    <row r="2160" spans="124:124" ht="15" customHeight="1" x14ac:dyDescent="0.25">
      <c r="DT2160" s="3"/>
    </row>
    <row r="2161" spans="124:124" ht="15" customHeight="1" x14ac:dyDescent="0.25">
      <c r="DT2161" s="3"/>
    </row>
    <row r="2162" spans="124:124" ht="15" customHeight="1" x14ac:dyDescent="0.25">
      <c r="DT2162" s="3"/>
    </row>
    <row r="2163" spans="124:124" ht="15" customHeight="1" x14ac:dyDescent="0.25">
      <c r="DT2163" s="3"/>
    </row>
    <row r="2164" spans="124:124" ht="15" customHeight="1" x14ac:dyDescent="0.25">
      <c r="DT2164" s="3"/>
    </row>
    <row r="2165" spans="124:124" ht="15" customHeight="1" x14ac:dyDescent="0.25">
      <c r="DT2165" s="3"/>
    </row>
    <row r="2166" spans="124:124" ht="15" customHeight="1" x14ac:dyDescent="0.25">
      <c r="DT2166" s="3"/>
    </row>
    <row r="2167" spans="124:124" ht="15" customHeight="1" x14ac:dyDescent="0.25">
      <c r="DT2167" s="3"/>
    </row>
    <row r="2168" spans="124:124" ht="15" customHeight="1" x14ac:dyDescent="0.25">
      <c r="DT2168" s="3"/>
    </row>
    <row r="2169" spans="124:124" ht="15" customHeight="1" x14ac:dyDescent="0.25">
      <c r="DT2169" s="3"/>
    </row>
    <row r="2170" spans="124:124" ht="15" customHeight="1" x14ac:dyDescent="0.25">
      <c r="DT2170" s="3"/>
    </row>
    <row r="2171" spans="124:124" ht="15" customHeight="1" x14ac:dyDescent="0.25">
      <c r="DT2171" s="3"/>
    </row>
    <row r="2172" spans="124:124" ht="15" customHeight="1" x14ac:dyDescent="0.25">
      <c r="DT2172" s="3"/>
    </row>
    <row r="2173" spans="124:124" ht="15" customHeight="1" x14ac:dyDescent="0.25">
      <c r="DT2173" s="3"/>
    </row>
    <row r="2174" spans="124:124" ht="15" customHeight="1" x14ac:dyDescent="0.25">
      <c r="DT2174" s="3"/>
    </row>
    <row r="2175" spans="124:124" ht="15" customHeight="1" x14ac:dyDescent="0.25">
      <c r="DT2175" s="3"/>
    </row>
    <row r="2176" spans="124:124" ht="15" customHeight="1" x14ac:dyDescent="0.25">
      <c r="DT2176" s="3"/>
    </row>
    <row r="2177" spans="124:124" ht="15" customHeight="1" x14ac:dyDescent="0.25">
      <c r="DT2177" s="3"/>
    </row>
    <row r="2178" spans="124:124" ht="15" customHeight="1" x14ac:dyDescent="0.25">
      <c r="DT2178" s="3"/>
    </row>
    <row r="2179" spans="124:124" ht="15" customHeight="1" x14ac:dyDescent="0.25">
      <c r="DT2179" s="3"/>
    </row>
    <row r="2180" spans="124:124" ht="15" customHeight="1" x14ac:dyDescent="0.25">
      <c r="DT2180" s="3"/>
    </row>
    <row r="2181" spans="124:124" ht="15" customHeight="1" x14ac:dyDescent="0.25">
      <c r="DT2181" s="3"/>
    </row>
    <row r="2182" spans="124:124" ht="15" customHeight="1" x14ac:dyDescent="0.25">
      <c r="DT2182" s="3"/>
    </row>
    <row r="2183" spans="124:124" ht="15" customHeight="1" x14ac:dyDescent="0.25">
      <c r="DT2183" s="3"/>
    </row>
    <row r="2184" spans="124:124" ht="15" customHeight="1" x14ac:dyDescent="0.25">
      <c r="DT2184" s="3"/>
    </row>
    <row r="2185" spans="124:124" ht="15" customHeight="1" x14ac:dyDescent="0.25">
      <c r="DT2185" s="3"/>
    </row>
    <row r="2186" spans="124:124" ht="15" customHeight="1" x14ac:dyDescent="0.25">
      <c r="DT2186" s="3"/>
    </row>
    <row r="2187" spans="124:124" ht="15" customHeight="1" x14ac:dyDescent="0.25">
      <c r="DT2187" s="3"/>
    </row>
    <row r="2188" spans="124:124" ht="15" customHeight="1" x14ac:dyDescent="0.25">
      <c r="DT2188" s="3"/>
    </row>
    <row r="2189" spans="124:124" ht="15" customHeight="1" x14ac:dyDescent="0.25">
      <c r="DT2189" s="3"/>
    </row>
    <row r="2190" spans="124:124" ht="15" customHeight="1" x14ac:dyDescent="0.25">
      <c r="DT2190" s="3"/>
    </row>
    <row r="2191" spans="124:124" ht="15" customHeight="1" x14ac:dyDescent="0.25">
      <c r="DT2191" s="3"/>
    </row>
    <row r="2192" spans="124:124" ht="15" customHeight="1" x14ac:dyDescent="0.25">
      <c r="DT2192" s="3"/>
    </row>
    <row r="2193" spans="124:124" ht="15" customHeight="1" x14ac:dyDescent="0.25">
      <c r="DT2193" s="3"/>
    </row>
    <row r="2194" spans="124:124" ht="15" customHeight="1" x14ac:dyDescent="0.25">
      <c r="DT2194" s="3"/>
    </row>
    <row r="2195" spans="124:124" ht="15" customHeight="1" x14ac:dyDescent="0.25">
      <c r="DT2195" s="3"/>
    </row>
    <row r="2196" spans="124:124" ht="15" customHeight="1" x14ac:dyDescent="0.25">
      <c r="DT2196" s="3"/>
    </row>
    <row r="2197" spans="124:124" ht="15" customHeight="1" x14ac:dyDescent="0.25">
      <c r="DT2197" s="3"/>
    </row>
    <row r="2198" spans="124:124" ht="15" customHeight="1" x14ac:dyDescent="0.25">
      <c r="DT2198" s="3"/>
    </row>
    <row r="2199" spans="124:124" ht="15" customHeight="1" x14ac:dyDescent="0.25">
      <c r="DT2199" s="3"/>
    </row>
    <row r="2200" spans="124:124" ht="15" customHeight="1" x14ac:dyDescent="0.25">
      <c r="DT2200" s="3"/>
    </row>
    <row r="2201" spans="124:124" ht="15" customHeight="1" x14ac:dyDescent="0.25">
      <c r="DT2201" s="3"/>
    </row>
    <row r="2202" spans="124:124" ht="15" customHeight="1" x14ac:dyDescent="0.25">
      <c r="DT2202" s="3"/>
    </row>
    <row r="2203" spans="124:124" ht="15" customHeight="1" x14ac:dyDescent="0.25">
      <c r="DT2203" s="3"/>
    </row>
    <row r="2204" spans="124:124" ht="15" customHeight="1" x14ac:dyDescent="0.25">
      <c r="DT2204" s="3"/>
    </row>
    <row r="2205" spans="124:124" ht="15" customHeight="1" x14ac:dyDescent="0.25">
      <c r="DT2205" s="3"/>
    </row>
    <row r="2206" spans="124:124" ht="15" customHeight="1" x14ac:dyDescent="0.25">
      <c r="DT2206" s="3"/>
    </row>
    <row r="2207" spans="124:124" ht="15" customHeight="1" x14ac:dyDescent="0.25">
      <c r="DT2207" s="3"/>
    </row>
    <row r="2208" spans="124:124" ht="15" customHeight="1" x14ac:dyDescent="0.25">
      <c r="DT2208" s="3"/>
    </row>
    <row r="2209" spans="124:124" ht="15" customHeight="1" x14ac:dyDescent="0.25">
      <c r="DT2209" s="3"/>
    </row>
    <row r="2210" spans="124:124" ht="15" customHeight="1" x14ac:dyDescent="0.25">
      <c r="DT2210" s="3"/>
    </row>
    <row r="2211" spans="124:124" ht="15" customHeight="1" x14ac:dyDescent="0.25">
      <c r="DT2211" s="3"/>
    </row>
    <row r="2212" spans="124:124" ht="15" customHeight="1" x14ac:dyDescent="0.25">
      <c r="DT2212" s="3"/>
    </row>
    <row r="2213" spans="124:124" ht="15" customHeight="1" x14ac:dyDescent="0.25">
      <c r="DT2213" s="3"/>
    </row>
    <row r="2214" spans="124:124" ht="15" customHeight="1" x14ac:dyDescent="0.25">
      <c r="DT2214" s="3"/>
    </row>
    <row r="2215" spans="124:124" ht="15" customHeight="1" x14ac:dyDescent="0.25">
      <c r="DT2215" s="3"/>
    </row>
    <row r="2216" spans="124:124" ht="15" customHeight="1" x14ac:dyDescent="0.25">
      <c r="DT2216" s="3"/>
    </row>
    <row r="2217" spans="124:124" ht="15" customHeight="1" x14ac:dyDescent="0.25">
      <c r="DT2217" s="3"/>
    </row>
    <row r="2218" spans="124:124" ht="15" customHeight="1" x14ac:dyDescent="0.25">
      <c r="DT2218" s="3"/>
    </row>
    <row r="2219" spans="124:124" ht="15" customHeight="1" x14ac:dyDescent="0.25">
      <c r="DT2219" s="3"/>
    </row>
    <row r="2220" spans="124:124" ht="15" customHeight="1" x14ac:dyDescent="0.25">
      <c r="DT2220" s="3"/>
    </row>
    <row r="2221" spans="124:124" ht="15" customHeight="1" x14ac:dyDescent="0.25">
      <c r="DT2221" s="3"/>
    </row>
    <row r="2222" spans="124:124" ht="15" customHeight="1" x14ac:dyDescent="0.25">
      <c r="DT2222" s="3"/>
    </row>
    <row r="2223" spans="124:124" ht="15" customHeight="1" x14ac:dyDescent="0.25">
      <c r="DT2223" s="3"/>
    </row>
    <row r="2224" spans="124:124" ht="15" customHeight="1" x14ac:dyDescent="0.25">
      <c r="DT2224" s="3"/>
    </row>
    <row r="2225" spans="124:124" ht="15" customHeight="1" x14ac:dyDescent="0.25">
      <c r="DT2225" s="3"/>
    </row>
    <row r="2226" spans="124:124" ht="15" customHeight="1" x14ac:dyDescent="0.25">
      <c r="DT2226" s="3"/>
    </row>
    <row r="2227" spans="124:124" ht="15" customHeight="1" x14ac:dyDescent="0.25">
      <c r="DT2227" s="3"/>
    </row>
    <row r="2228" spans="124:124" ht="15" customHeight="1" x14ac:dyDescent="0.25">
      <c r="DT2228" s="3"/>
    </row>
    <row r="2229" spans="124:124" ht="15" customHeight="1" x14ac:dyDescent="0.25">
      <c r="DT2229" s="3"/>
    </row>
    <row r="2230" spans="124:124" ht="15" customHeight="1" x14ac:dyDescent="0.25">
      <c r="DT2230" s="3"/>
    </row>
    <row r="2231" spans="124:124" ht="15" customHeight="1" x14ac:dyDescent="0.25">
      <c r="DT2231" s="3"/>
    </row>
    <row r="2232" spans="124:124" ht="15" customHeight="1" x14ac:dyDescent="0.25">
      <c r="DT2232" s="3"/>
    </row>
    <row r="2233" spans="124:124" ht="15" customHeight="1" x14ac:dyDescent="0.25">
      <c r="DT2233" s="3"/>
    </row>
    <row r="2234" spans="124:124" ht="15" customHeight="1" x14ac:dyDescent="0.25">
      <c r="DT2234" s="3"/>
    </row>
    <row r="2235" spans="124:124" ht="15" customHeight="1" x14ac:dyDescent="0.25">
      <c r="DT2235" s="3"/>
    </row>
    <row r="2236" spans="124:124" ht="15" customHeight="1" x14ac:dyDescent="0.25">
      <c r="DT2236" s="3"/>
    </row>
    <row r="2237" spans="124:124" ht="15" customHeight="1" x14ac:dyDescent="0.25">
      <c r="DT2237" s="3"/>
    </row>
    <row r="2238" spans="124:124" ht="15" customHeight="1" x14ac:dyDescent="0.25">
      <c r="DT2238" s="3"/>
    </row>
    <row r="2239" spans="124:124" ht="15" customHeight="1" x14ac:dyDescent="0.25">
      <c r="DT2239" s="3"/>
    </row>
    <row r="2240" spans="124:124" ht="15" customHeight="1" x14ac:dyDescent="0.25">
      <c r="DT2240" s="3"/>
    </row>
    <row r="2241" spans="124:124" ht="15" customHeight="1" x14ac:dyDescent="0.25">
      <c r="DT2241" s="3"/>
    </row>
    <row r="2242" spans="124:124" ht="15" customHeight="1" x14ac:dyDescent="0.25">
      <c r="DT2242" s="3"/>
    </row>
    <row r="2243" spans="124:124" ht="15" customHeight="1" x14ac:dyDescent="0.25">
      <c r="DT2243" s="3"/>
    </row>
    <row r="2244" spans="124:124" ht="15" customHeight="1" x14ac:dyDescent="0.25">
      <c r="DT2244" s="3"/>
    </row>
    <row r="2245" spans="124:124" ht="15" customHeight="1" x14ac:dyDescent="0.25">
      <c r="DT2245" s="3"/>
    </row>
    <row r="2246" spans="124:124" ht="15" customHeight="1" x14ac:dyDescent="0.25">
      <c r="DT2246" s="3"/>
    </row>
    <row r="2247" spans="124:124" ht="15" customHeight="1" x14ac:dyDescent="0.25">
      <c r="DT2247" s="3"/>
    </row>
    <row r="2248" spans="124:124" ht="15" customHeight="1" x14ac:dyDescent="0.25">
      <c r="DT2248" s="3"/>
    </row>
    <row r="2249" spans="124:124" ht="15" customHeight="1" x14ac:dyDescent="0.25">
      <c r="DT2249" s="3"/>
    </row>
    <row r="2250" spans="124:124" ht="15" customHeight="1" x14ac:dyDescent="0.25">
      <c r="DT2250" s="3"/>
    </row>
    <row r="2251" spans="124:124" ht="15" customHeight="1" x14ac:dyDescent="0.25">
      <c r="DT2251" s="3"/>
    </row>
    <row r="2252" spans="124:124" ht="15" customHeight="1" x14ac:dyDescent="0.25">
      <c r="DT2252" s="3"/>
    </row>
    <row r="2253" spans="124:124" ht="15" customHeight="1" x14ac:dyDescent="0.25">
      <c r="DT2253" s="3"/>
    </row>
    <row r="2254" spans="124:124" ht="15" customHeight="1" x14ac:dyDescent="0.25">
      <c r="DT2254" s="3"/>
    </row>
    <row r="2255" spans="124:124" ht="15" customHeight="1" x14ac:dyDescent="0.25">
      <c r="DT2255" s="3"/>
    </row>
    <row r="2256" spans="124:124" ht="15" customHeight="1" x14ac:dyDescent="0.25">
      <c r="DT2256" s="3"/>
    </row>
    <row r="2257" spans="124:124" ht="15" customHeight="1" x14ac:dyDescent="0.25">
      <c r="DT2257" s="3"/>
    </row>
    <row r="2258" spans="124:124" ht="15" customHeight="1" x14ac:dyDescent="0.25">
      <c r="DT2258" s="3"/>
    </row>
    <row r="2259" spans="124:124" ht="15" customHeight="1" x14ac:dyDescent="0.25">
      <c r="DT2259" s="3"/>
    </row>
    <row r="2260" spans="124:124" ht="15" customHeight="1" x14ac:dyDescent="0.25">
      <c r="DT2260" s="3"/>
    </row>
    <row r="2261" spans="124:124" ht="15" customHeight="1" x14ac:dyDescent="0.25">
      <c r="DT2261" s="3"/>
    </row>
    <row r="2262" spans="124:124" ht="15" customHeight="1" x14ac:dyDescent="0.25">
      <c r="DT2262" s="3"/>
    </row>
    <row r="2263" spans="124:124" ht="15" customHeight="1" x14ac:dyDescent="0.25">
      <c r="DT2263" s="3"/>
    </row>
    <row r="2264" spans="124:124" ht="15" customHeight="1" x14ac:dyDescent="0.25">
      <c r="DT2264" s="3"/>
    </row>
    <row r="2265" spans="124:124" ht="15" customHeight="1" x14ac:dyDescent="0.25">
      <c r="DT2265" s="3"/>
    </row>
    <row r="2266" spans="124:124" ht="15" customHeight="1" x14ac:dyDescent="0.25">
      <c r="DT2266" s="3"/>
    </row>
    <row r="2267" spans="124:124" ht="15" customHeight="1" x14ac:dyDescent="0.25">
      <c r="DT2267" s="3"/>
    </row>
    <row r="2268" spans="124:124" ht="15" customHeight="1" x14ac:dyDescent="0.25">
      <c r="DT2268" s="3"/>
    </row>
    <row r="2269" spans="124:124" ht="15" customHeight="1" x14ac:dyDescent="0.25">
      <c r="DT2269" s="3"/>
    </row>
    <row r="2270" spans="124:124" ht="15" customHeight="1" x14ac:dyDescent="0.25">
      <c r="DT2270" s="3"/>
    </row>
    <row r="2271" spans="124:124" ht="15" customHeight="1" x14ac:dyDescent="0.25">
      <c r="DT2271" s="3"/>
    </row>
    <row r="2272" spans="124:124" ht="15" customHeight="1" x14ac:dyDescent="0.25">
      <c r="DT2272" s="3"/>
    </row>
    <row r="2273" spans="124:124" ht="15" customHeight="1" x14ac:dyDescent="0.25">
      <c r="DT2273" s="3"/>
    </row>
    <row r="2274" spans="124:124" ht="15" customHeight="1" x14ac:dyDescent="0.25">
      <c r="DT2274" s="3"/>
    </row>
    <row r="2275" spans="124:124" ht="15" customHeight="1" x14ac:dyDescent="0.25">
      <c r="DT2275" s="3"/>
    </row>
    <row r="2276" spans="124:124" ht="15" customHeight="1" x14ac:dyDescent="0.25">
      <c r="DT2276" s="3"/>
    </row>
    <row r="2277" spans="124:124" ht="15" customHeight="1" x14ac:dyDescent="0.25">
      <c r="DT2277" s="3"/>
    </row>
    <row r="2278" spans="124:124" ht="15" customHeight="1" x14ac:dyDescent="0.25">
      <c r="DT2278" s="3"/>
    </row>
    <row r="2279" spans="124:124" ht="15" customHeight="1" x14ac:dyDescent="0.25">
      <c r="DT2279" s="3"/>
    </row>
    <row r="2280" spans="124:124" ht="15" customHeight="1" x14ac:dyDescent="0.25">
      <c r="DT2280" s="3"/>
    </row>
    <row r="2281" spans="124:124" ht="15" customHeight="1" x14ac:dyDescent="0.25">
      <c r="DT2281" s="3"/>
    </row>
    <row r="2282" spans="124:124" ht="15" customHeight="1" x14ac:dyDescent="0.25">
      <c r="DT2282" s="3"/>
    </row>
    <row r="2283" spans="124:124" ht="15" customHeight="1" x14ac:dyDescent="0.25">
      <c r="DT2283" s="3"/>
    </row>
    <row r="2284" spans="124:124" ht="15" customHeight="1" x14ac:dyDescent="0.25">
      <c r="DT2284" s="3"/>
    </row>
    <row r="2285" spans="124:124" ht="15" customHeight="1" x14ac:dyDescent="0.25">
      <c r="DT2285" s="3"/>
    </row>
    <row r="2286" spans="124:124" ht="15" customHeight="1" x14ac:dyDescent="0.25">
      <c r="DT2286" s="3"/>
    </row>
    <row r="2287" spans="124:124" ht="15" customHeight="1" x14ac:dyDescent="0.25">
      <c r="DT2287" s="3"/>
    </row>
    <row r="2288" spans="124:124" ht="15" customHeight="1" x14ac:dyDescent="0.25">
      <c r="DT2288" s="3"/>
    </row>
    <row r="2289" spans="124:124" ht="15" customHeight="1" x14ac:dyDescent="0.25">
      <c r="DT2289" s="3"/>
    </row>
    <row r="2290" spans="124:124" ht="15" customHeight="1" x14ac:dyDescent="0.25">
      <c r="DT2290" s="3"/>
    </row>
    <row r="2291" spans="124:124" ht="15" customHeight="1" x14ac:dyDescent="0.25">
      <c r="DT2291" s="3"/>
    </row>
    <row r="2292" spans="124:124" ht="15" customHeight="1" x14ac:dyDescent="0.25">
      <c r="DT2292" s="3"/>
    </row>
    <row r="2293" spans="124:124" ht="15" customHeight="1" x14ac:dyDescent="0.25">
      <c r="DT2293" s="3"/>
    </row>
    <row r="2294" spans="124:124" ht="15" customHeight="1" x14ac:dyDescent="0.25">
      <c r="DT2294" s="3"/>
    </row>
    <row r="2295" spans="124:124" ht="15" customHeight="1" x14ac:dyDescent="0.25">
      <c r="DT2295" s="3"/>
    </row>
    <row r="2296" spans="124:124" ht="15" customHeight="1" x14ac:dyDescent="0.25">
      <c r="DT2296" s="3"/>
    </row>
    <row r="2297" spans="124:124" ht="15" customHeight="1" x14ac:dyDescent="0.25">
      <c r="DT2297" s="3"/>
    </row>
    <row r="2298" spans="124:124" ht="15" customHeight="1" x14ac:dyDescent="0.25">
      <c r="DT2298" s="3"/>
    </row>
    <row r="2299" spans="124:124" ht="15" customHeight="1" x14ac:dyDescent="0.25">
      <c r="DT2299" s="3"/>
    </row>
    <row r="2300" spans="124:124" ht="15" customHeight="1" x14ac:dyDescent="0.25">
      <c r="DT2300" s="3"/>
    </row>
    <row r="2301" spans="124:124" ht="15" customHeight="1" x14ac:dyDescent="0.25">
      <c r="DT2301" s="3"/>
    </row>
    <row r="2302" spans="124:124" ht="15" customHeight="1" x14ac:dyDescent="0.25">
      <c r="DT2302" s="3"/>
    </row>
    <row r="2303" spans="124:124" ht="15" customHeight="1" x14ac:dyDescent="0.25">
      <c r="DT2303" s="3"/>
    </row>
    <row r="2304" spans="124:124" ht="15" customHeight="1" x14ac:dyDescent="0.25">
      <c r="DT2304" s="3"/>
    </row>
    <row r="2305" spans="124:124" ht="15" customHeight="1" x14ac:dyDescent="0.25">
      <c r="DT2305" s="3"/>
    </row>
    <row r="2306" spans="124:124" ht="15" customHeight="1" x14ac:dyDescent="0.25">
      <c r="DT2306" s="3"/>
    </row>
    <row r="2307" spans="124:124" ht="15" customHeight="1" x14ac:dyDescent="0.25">
      <c r="DT2307" s="3"/>
    </row>
    <row r="2308" spans="124:124" ht="15" customHeight="1" x14ac:dyDescent="0.25">
      <c r="DT2308" s="3"/>
    </row>
    <row r="2309" spans="124:124" ht="15" customHeight="1" x14ac:dyDescent="0.25">
      <c r="DT2309" s="3"/>
    </row>
    <row r="2310" spans="124:124" ht="15" customHeight="1" x14ac:dyDescent="0.25">
      <c r="DT2310" s="3"/>
    </row>
    <row r="2311" spans="124:124" ht="15" customHeight="1" x14ac:dyDescent="0.25">
      <c r="DT2311" s="3"/>
    </row>
    <row r="2312" spans="124:124" ht="15" customHeight="1" x14ac:dyDescent="0.25">
      <c r="DT2312" s="3"/>
    </row>
    <row r="2313" spans="124:124" ht="15" customHeight="1" x14ac:dyDescent="0.25">
      <c r="DT2313" s="3"/>
    </row>
    <row r="2314" spans="124:124" ht="15" customHeight="1" x14ac:dyDescent="0.25">
      <c r="DT2314" s="3"/>
    </row>
    <row r="2315" spans="124:124" ht="15" customHeight="1" x14ac:dyDescent="0.25">
      <c r="DT2315" s="3"/>
    </row>
    <row r="2316" spans="124:124" ht="15" customHeight="1" x14ac:dyDescent="0.25">
      <c r="DT2316" s="3"/>
    </row>
    <row r="2317" spans="124:124" ht="15" customHeight="1" x14ac:dyDescent="0.25">
      <c r="DT2317" s="3"/>
    </row>
    <row r="2318" spans="124:124" ht="15" customHeight="1" x14ac:dyDescent="0.25">
      <c r="DT2318" s="3"/>
    </row>
    <row r="2319" spans="124:124" ht="15" customHeight="1" x14ac:dyDescent="0.25">
      <c r="DT2319" s="3"/>
    </row>
    <row r="2320" spans="124:124" ht="15" customHeight="1" x14ac:dyDescent="0.25">
      <c r="DT2320" s="3"/>
    </row>
    <row r="2321" spans="124:124" ht="15" customHeight="1" x14ac:dyDescent="0.25">
      <c r="DT2321" s="3"/>
    </row>
    <row r="2322" spans="124:124" ht="15" customHeight="1" x14ac:dyDescent="0.25">
      <c r="DT2322" s="3"/>
    </row>
    <row r="2323" spans="124:124" ht="15" customHeight="1" x14ac:dyDescent="0.25">
      <c r="DT2323" s="3"/>
    </row>
    <row r="2324" spans="124:124" ht="15" customHeight="1" x14ac:dyDescent="0.25">
      <c r="DT2324" s="3"/>
    </row>
    <row r="2325" spans="124:124" ht="15" customHeight="1" x14ac:dyDescent="0.25">
      <c r="DT2325" s="3"/>
    </row>
    <row r="2326" spans="124:124" ht="15" customHeight="1" x14ac:dyDescent="0.25">
      <c r="DT2326" s="3"/>
    </row>
    <row r="2327" spans="124:124" ht="15" customHeight="1" x14ac:dyDescent="0.25">
      <c r="DT2327" s="3"/>
    </row>
    <row r="2328" spans="124:124" ht="15" customHeight="1" x14ac:dyDescent="0.25">
      <c r="DT2328" s="3"/>
    </row>
    <row r="2329" spans="124:124" ht="15" customHeight="1" x14ac:dyDescent="0.25">
      <c r="DT2329" s="3"/>
    </row>
    <row r="2330" spans="124:124" ht="15" customHeight="1" x14ac:dyDescent="0.25">
      <c r="DT2330" s="3"/>
    </row>
    <row r="2331" spans="124:124" ht="15" customHeight="1" x14ac:dyDescent="0.25">
      <c r="DT2331" s="3"/>
    </row>
    <row r="2332" spans="124:124" ht="15" customHeight="1" x14ac:dyDescent="0.25">
      <c r="DT2332" s="3"/>
    </row>
    <row r="2333" spans="124:124" ht="15" customHeight="1" x14ac:dyDescent="0.25">
      <c r="DT2333" s="3"/>
    </row>
    <row r="2334" spans="124:124" ht="15" customHeight="1" x14ac:dyDescent="0.25">
      <c r="DT2334" s="3"/>
    </row>
    <row r="2335" spans="124:124" ht="15" customHeight="1" x14ac:dyDescent="0.25">
      <c r="DT2335" s="3"/>
    </row>
    <row r="2336" spans="124:124" ht="15" customHeight="1" x14ac:dyDescent="0.25">
      <c r="DT2336" s="3"/>
    </row>
    <row r="2337" spans="124:124" ht="15" customHeight="1" x14ac:dyDescent="0.25">
      <c r="DT2337" s="3"/>
    </row>
    <row r="2338" spans="124:124" ht="15" customHeight="1" x14ac:dyDescent="0.25">
      <c r="DT2338" s="3"/>
    </row>
    <row r="2339" spans="124:124" ht="15" customHeight="1" x14ac:dyDescent="0.25">
      <c r="DT2339" s="3"/>
    </row>
    <row r="2340" spans="124:124" ht="15" customHeight="1" x14ac:dyDescent="0.25">
      <c r="DT2340" s="3"/>
    </row>
    <row r="2341" spans="124:124" ht="15" customHeight="1" x14ac:dyDescent="0.25">
      <c r="DT2341" s="3"/>
    </row>
    <row r="2342" spans="124:124" ht="15" customHeight="1" x14ac:dyDescent="0.25">
      <c r="DT2342" s="3"/>
    </row>
    <row r="2343" spans="124:124" ht="15" customHeight="1" x14ac:dyDescent="0.25">
      <c r="DT2343" s="3"/>
    </row>
    <row r="2344" spans="124:124" ht="15" customHeight="1" x14ac:dyDescent="0.25">
      <c r="DT2344" s="3"/>
    </row>
    <row r="2345" spans="124:124" ht="15" customHeight="1" x14ac:dyDescent="0.25">
      <c r="DT2345" s="3"/>
    </row>
    <row r="2346" spans="124:124" ht="15" customHeight="1" x14ac:dyDescent="0.25">
      <c r="DT2346" s="3"/>
    </row>
    <row r="2347" spans="124:124" ht="15" customHeight="1" x14ac:dyDescent="0.25">
      <c r="DT2347" s="3"/>
    </row>
    <row r="2348" spans="124:124" ht="15" customHeight="1" x14ac:dyDescent="0.25">
      <c r="DT2348" s="3"/>
    </row>
    <row r="2349" spans="124:124" ht="15" customHeight="1" x14ac:dyDescent="0.25">
      <c r="DT2349" s="3"/>
    </row>
    <row r="2350" spans="124:124" ht="15" customHeight="1" x14ac:dyDescent="0.25">
      <c r="DT2350" s="3"/>
    </row>
    <row r="2351" spans="124:124" ht="15" customHeight="1" x14ac:dyDescent="0.25">
      <c r="DT2351" s="3"/>
    </row>
    <row r="2352" spans="124:124" ht="15" customHeight="1" x14ac:dyDescent="0.25">
      <c r="DT2352" s="3"/>
    </row>
    <row r="2353" spans="124:124" ht="15" customHeight="1" x14ac:dyDescent="0.25">
      <c r="DT2353" s="3"/>
    </row>
    <row r="2354" spans="124:124" ht="15" customHeight="1" x14ac:dyDescent="0.25">
      <c r="DT2354" s="3"/>
    </row>
    <row r="2355" spans="124:124" ht="15" customHeight="1" x14ac:dyDescent="0.25">
      <c r="DT2355" s="3"/>
    </row>
    <row r="2356" spans="124:124" ht="15" customHeight="1" x14ac:dyDescent="0.25">
      <c r="DT2356" s="3"/>
    </row>
    <row r="2357" spans="124:124" ht="15" customHeight="1" x14ac:dyDescent="0.25">
      <c r="DT2357" s="3"/>
    </row>
    <row r="2358" spans="124:124" ht="15" customHeight="1" x14ac:dyDescent="0.25">
      <c r="DT2358" s="3"/>
    </row>
    <row r="2359" spans="124:124" ht="15" customHeight="1" x14ac:dyDescent="0.25">
      <c r="DT2359" s="3"/>
    </row>
    <row r="2360" spans="124:124" ht="15" customHeight="1" x14ac:dyDescent="0.25">
      <c r="DT2360" s="3"/>
    </row>
    <row r="2361" spans="124:124" ht="15" customHeight="1" x14ac:dyDescent="0.25">
      <c r="DT2361" s="3"/>
    </row>
    <row r="2362" spans="124:124" ht="15" customHeight="1" x14ac:dyDescent="0.25">
      <c r="DT2362" s="3"/>
    </row>
    <row r="2363" spans="124:124" ht="15" customHeight="1" x14ac:dyDescent="0.25">
      <c r="DT2363" s="3"/>
    </row>
    <row r="2364" spans="124:124" ht="15" customHeight="1" x14ac:dyDescent="0.25">
      <c r="DT2364" s="3"/>
    </row>
    <row r="2365" spans="124:124" ht="15" customHeight="1" x14ac:dyDescent="0.25">
      <c r="DT2365" s="3"/>
    </row>
    <row r="2366" spans="124:124" ht="15" customHeight="1" x14ac:dyDescent="0.25">
      <c r="DT2366" s="3"/>
    </row>
    <row r="2367" spans="124:124" ht="15" customHeight="1" x14ac:dyDescent="0.25">
      <c r="DT2367" s="3"/>
    </row>
    <row r="2368" spans="124:124" ht="15" customHeight="1" x14ac:dyDescent="0.25">
      <c r="DT2368" s="3"/>
    </row>
    <row r="2369" spans="124:124" ht="15" customHeight="1" x14ac:dyDescent="0.25">
      <c r="DT2369" s="3"/>
    </row>
    <row r="2370" spans="124:124" ht="15" customHeight="1" x14ac:dyDescent="0.25">
      <c r="DT2370" s="3"/>
    </row>
    <row r="2371" spans="124:124" ht="15" customHeight="1" x14ac:dyDescent="0.25">
      <c r="DT2371" s="3"/>
    </row>
    <row r="2372" spans="124:124" ht="15" customHeight="1" x14ac:dyDescent="0.25">
      <c r="DT2372" s="3"/>
    </row>
    <row r="2373" spans="124:124" ht="15" customHeight="1" x14ac:dyDescent="0.25">
      <c r="DT2373" s="3"/>
    </row>
    <row r="2374" spans="124:124" ht="15" customHeight="1" x14ac:dyDescent="0.25">
      <c r="DT2374" s="3"/>
    </row>
    <row r="2375" spans="124:124" ht="15" customHeight="1" x14ac:dyDescent="0.25">
      <c r="DT2375" s="3"/>
    </row>
    <row r="2376" spans="124:124" ht="15" customHeight="1" x14ac:dyDescent="0.25">
      <c r="DT2376" s="3"/>
    </row>
    <row r="2377" spans="124:124" ht="15" customHeight="1" x14ac:dyDescent="0.25">
      <c r="DT2377" s="3"/>
    </row>
    <row r="2378" spans="124:124" ht="15" customHeight="1" x14ac:dyDescent="0.25">
      <c r="DT2378" s="3"/>
    </row>
    <row r="2379" spans="124:124" ht="15" customHeight="1" x14ac:dyDescent="0.25">
      <c r="DT2379" s="3"/>
    </row>
    <row r="2380" spans="124:124" ht="15" customHeight="1" x14ac:dyDescent="0.25">
      <c r="DT2380" s="3"/>
    </row>
    <row r="2381" spans="124:124" ht="15" customHeight="1" x14ac:dyDescent="0.25">
      <c r="DT2381" s="3"/>
    </row>
    <row r="2382" spans="124:124" ht="15" customHeight="1" x14ac:dyDescent="0.25">
      <c r="DT2382" s="3"/>
    </row>
    <row r="2383" spans="124:124" ht="15" customHeight="1" x14ac:dyDescent="0.25">
      <c r="DT2383" s="3"/>
    </row>
    <row r="2384" spans="124:124" ht="15" customHeight="1" x14ac:dyDescent="0.25">
      <c r="DT2384" s="3"/>
    </row>
    <row r="2385" spans="124:124" ht="15" customHeight="1" x14ac:dyDescent="0.25">
      <c r="DT2385" s="3"/>
    </row>
    <row r="2386" spans="124:124" ht="15" customHeight="1" x14ac:dyDescent="0.25">
      <c r="DT2386" s="3"/>
    </row>
    <row r="2387" spans="124:124" ht="15" customHeight="1" x14ac:dyDescent="0.25">
      <c r="DT2387" s="3"/>
    </row>
    <row r="2388" spans="124:124" ht="15" customHeight="1" x14ac:dyDescent="0.25">
      <c r="DT2388" s="3"/>
    </row>
    <row r="2389" spans="124:124" ht="15" customHeight="1" x14ac:dyDescent="0.25">
      <c r="DT2389" s="3"/>
    </row>
    <row r="2390" spans="124:124" ht="15" customHeight="1" x14ac:dyDescent="0.25">
      <c r="DT2390" s="3"/>
    </row>
    <row r="2391" spans="124:124" ht="15" customHeight="1" x14ac:dyDescent="0.25">
      <c r="DT2391" s="3"/>
    </row>
    <row r="2392" spans="124:124" ht="15" customHeight="1" x14ac:dyDescent="0.25">
      <c r="DT2392" s="3"/>
    </row>
    <row r="2393" spans="124:124" ht="15" customHeight="1" x14ac:dyDescent="0.25">
      <c r="DT2393" s="3"/>
    </row>
    <row r="2394" spans="124:124" ht="15" customHeight="1" x14ac:dyDescent="0.25">
      <c r="DT2394" s="3"/>
    </row>
    <row r="2395" spans="124:124" ht="15" customHeight="1" x14ac:dyDescent="0.25">
      <c r="DT2395" s="3"/>
    </row>
    <row r="2396" spans="124:124" ht="15" customHeight="1" x14ac:dyDescent="0.25">
      <c r="DT2396" s="3"/>
    </row>
    <row r="2397" spans="124:124" ht="15" customHeight="1" x14ac:dyDescent="0.25">
      <c r="DT2397" s="3"/>
    </row>
    <row r="2398" spans="124:124" ht="15" customHeight="1" x14ac:dyDescent="0.25">
      <c r="DT2398" s="3"/>
    </row>
    <row r="2399" spans="124:124" ht="15" customHeight="1" x14ac:dyDescent="0.25">
      <c r="DT2399" s="3"/>
    </row>
    <row r="2400" spans="124:124" ht="15" customHeight="1" x14ac:dyDescent="0.25">
      <c r="DT2400" s="3"/>
    </row>
    <row r="2401" spans="124:124" ht="15" customHeight="1" x14ac:dyDescent="0.25">
      <c r="DT2401" s="3"/>
    </row>
    <row r="2402" spans="124:124" ht="15" customHeight="1" x14ac:dyDescent="0.25">
      <c r="DT2402" s="3"/>
    </row>
    <row r="2403" spans="124:124" ht="15" customHeight="1" x14ac:dyDescent="0.25">
      <c r="DT2403" s="3"/>
    </row>
    <row r="2404" spans="124:124" ht="15" customHeight="1" x14ac:dyDescent="0.25">
      <c r="DT2404" s="3"/>
    </row>
    <row r="2405" spans="124:124" ht="15" customHeight="1" x14ac:dyDescent="0.25">
      <c r="DT2405" s="3"/>
    </row>
    <row r="2406" spans="124:124" ht="15" customHeight="1" x14ac:dyDescent="0.25">
      <c r="DT2406" s="3"/>
    </row>
    <row r="2407" spans="124:124" ht="15" customHeight="1" x14ac:dyDescent="0.25">
      <c r="DT2407" s="3"/>
    </row>
    <row r="2408" spans="124:124" ht="15" customHeight="1" x14ac:dyDescent="0.25">
      <c r="DT2408" s="3"/>
    </row>
    <row r="2409" spans="124:124" ht="15" customHeight="1" x14ac:dyDescent="0.25">
      <c r="DT2409" s="3"/>
    </row>
    <row r="2410" spans="124:124" ht="15" customHeight="1" x14ac:dyDescent="0.25">
      <c r="DT2410" s="3"/>
    </row>
    <row r="2411" spans="124:124" ht="15" customHeight="1" x14ac:dyDescent="0.25">
      <c r="DT2411" s="3"/>
    </row>
    <row r="2412" spans="124:124" ht="15" customHeight="1" x14ac:dyDescent="0.25">
      <c r="DT2412" s="3"/>
    </row>
    <row r="2413" spans="124:124" ht="15" customHeight="1" x14ac:dyDescent="0.25">
      <c r="DT2413" s="3"/>
    </row>
    <row r="2414" spans="124:124" ht="15" customHeight="1" x14ac:dyDescent="0.25">
      <c r="DT2414" s="3"/>
    </row>
    <row r="2415" spans="124:124" ht="15" customHeight="1" x14ac:dyDescent="0.25">
      <c r="DT2415" s="3"/>
    </row>
    <row r="2416" spans="124:124" ht="15" customHeight="1" x14ac:dyDescent="0.25">
      <c r="DT2416" s="3"/>
    </row>
    <row r="2417" spans="124:124" ht="15" customHeight="1" x14ac:dyDescent="0.25">
      <c r="DT2417" s="3"/>
    </row>
    <row r="2418" spans="124:124" ht="15" customHeight="1" x14ac:dyDescent="0.25">
      <c r="DT2418" s="3"/>
    </row>
    <row r="2419" spans="124:124" ht="15" customHeight="1" x14ac:dyDescent="0.25">
      <c r="DT2419" s="3"/>
    </row>
    <row r="2420" spans="124:124" ht="15" customHeight="1" x14ac:dyDescent="0.25">
      <c r="DT2420" s="3"/>
    </row>
    <row r="2421" spans="124:124" ht="15" customHeight="1" x14ac:dyDescent="0.25">
      <c r="DT2421" s="3"/>
    </row>
    <row r="2422" spans="124:124" ht="15" customHeight="1" x14ac:dyDescent="0.25">
      <c r="DT2422" s="3"/>
    </row>
    <row r="2423" spans="124:124" ht="15" customHeight="1" x14ac:dyDescent="0.25">
      <c r="DT2423" s="3"/>
    </row>
    <row r="2424" spans="124:124" ht="15" customHeight="1" x14ac:dyDescent="0.25">
      <c r="DT2424" s="3"/>
    </row>
    <row r="2425" spans="124:124" ht="15" customHeight="1" x14ac:dyDescent="0.25">
      <c r="DT2425" s="3"/>
    </row>
    <row r="2426" spans="124:124" ht="15" customHeight="1" x14ac:dyDescent="0.25">
      <c r="DT2426" s="3"/>
    </row>
    <row r="2427" spans="124:124" ht="15" customHeight="1" x14ac:dyDescent="0.25">
      <c r="DT2427" s="3"/>
    </row>
    <row r="2428" spans="124:124" ht="15" customHeight="1" x14ac:dyDescent="0.25">
      <c r="DT2428" s="3"/>
    </row>
    <row r="2429" spans="124:124" ht="15" customHeight="1" x14ac:dyDescent="0.25">
      <c r="DT2429" s="3"/>
    </row>
    <row r="2430" spans="124:124" ht="15" customHeight="1" x14ac:dyDescent="0.25">
      <c r="DT2430" s="3"/>
    </row>
    <row r="2431" spans="124:124" ht="15" customHeight="1" x14ac:dyDescent="0.25">
      <c r="DT2431" s="3"/>
    </row>
    <row r="2432" spans="124:124" ht="15" customHeight="1" x14ac:dyDescent="0.25">
      <c r="DT2432" s="3"/>
    </row>
    <row r="2433" spans="124:124" ht="15" customHeight="1" x14ac:dyDescent="0.25">
      <c r="DT2433" s="3"/>
    </row>
    <row r="2434" spans="124:124" ht="15" customHeight="1" x14ac:dyDescent="0.25">
      <c r="DT2434" s="3"/>
    </row>
    <row r="2435" spans="124:124" ht="15" customHeight="1" x14ac:dyDescent="0.25">
      <c r="DT2435" s="3"/>
    </row>
    <row r="2436" spans="124:124" ht="15" customHeight="1" x14ac:dyDescent="0.25">
      <c r="DT2436" s="3"/>
    </row>
    <row r="2437" spans="124:124" ht="15" customHeight="1" x14ac:dyDescent="0.25">
      <c r="DT2437" s="3"/>
    </row>
    <row r="2438" spans="124:124" ht="15" customHeight="1" x14ac:dyDescent="0.25">
      <c r="DT2438" s="3"/>
    </row>
    <row r="2439" spans="124:124" ht="15" customHeight="1" x14ac:dyDescent="0.25">
      <c r="DT2439" s="3"/>
    </row>
    <row r="2440" spans="124:124" ht="15" customHeight="1" x14ac:dyDescent="0.25">
      <c r="DT2440" s="3"/>
    </row>
    <row r="2441" spans="124:124" ht="15" customHeight="1" x14ac:dyDescent="0.25">
      <c r="DT2441" s="3"/>
    </row>
    <row r="2442" spans="124:124" ht="15" customHeight="1" x14ac:dyDescent="0.25">
      <c r="DT2442" s="3"/>
    </row>
    <row r="2443" spans="124:124" ht="15" customHeight="1" x14ac:dyDescent="0.25">
      <c r="DT2443" s="3"/>
    </row>
    <row r="2444" spans="124:124" ht="15" customHeight="1" x14ac:dyDescent="0.25">
      <c r="DT2444" s="3"/>
    </row>
    <row r="2445" spans="124:124" ht="15" customHeight="1" x14ac:dyDescent="0.25">
      <c r="DT2445" s="3"/>
    </row>
    <row r="2446" spans="124:124" ht="15" customHeight="1" x14ac:dyDescent="0.25">
      <c r="DT2446" s="3"/>
    </row>
    <row r="2447" spans="124:124" ht="15" customHeight="1" x14ac:dyDescent="0.25">
      <c r="DT2447" s="3"/>
    </row>
    <row r="2448" spans="124:124" ht="15" customHeight="1" x14ac:dyDescent="0.25">
      <c r="DT2448" s="3"/>
    </row>
    <row r="2449" spans="124:124" ht="15" customHeight="1" x14ac:dyDescent="0.25">
      <c r="DT2449" s="3"/>
    </row>
    <row r="2450" spans="124:124" ht="15" customHeight="1" x14ac:dyDescent="0.25">
      <c r="DT2450" s="3"/>
    </row>
    <row r="2451" spans="124:124" ht="15" customHeight="1" x14ac:dyDescent="0.25">
      <c r="DT2451" s="3"/>
    </row>
    <row r="2452" spans="124:124" ht="15" customHeight="1" x14ac:dyDescent="0.25">
      <c r="DT2452" s="3"/>
    </row>
    <row r="2453" spans="124:124" ht="15" customHeight="1" x14ac:dyDescent="0.25">
      <c r="DT2453" s="3"/>
    </row>
    <row r="2454" spans="124:124" ht="15" customHeight="1" x14ac:dyDescent="0.25">
      <c r="DT2454" s="3"/>
    </row>
    <row r="2455" spans="124:124" ht="15" customHeight="1" x14ac:dyDescent="0.25">
      <c r="DT2455" s="3"/>
    </row>
    <row r="2456" spans="124:124" ht="15" customHeight="1" x14ac:dyDescent="0.25">
      <c r="DT2456" s="3"/>
    </row>
    <row r="2457" spans="124:124" ht="15" customHeight="1" x14ac:dyDescent="0.25">
      <c r="DT2457" s="3"/>
    </row>
    <row r="2458" spans="124:124" ht="15" customHeight="1" x14ac:dyDescent="0.25">
      <c r="DT2458" s="3"/>
    </row>
    <row r="2459" spans="124:124" ht="15" customHeight="1" x14ac:dyDescent="0.25">
      <c r="DT2459" s="3"/>
    </row>
    <row r="2460" spans="124:124" ht="15" customHeight="1" x14ac:dyDescent="0.25">
      <c r="DT2460" s="3"/>
    </row>
    <row r="2461" spans="124:124" ht="15" customHeight="1" x14ac:dyDescent="0.25">
      <c r="DT2461" s="3"/>
    </row>
    <row r="2462" spans="124:124" ht="15" customHeight="1" x14ac:dyDescent="0.25">
      <c r="DT2462" s="3"/>
    </row>
    <row r="2463" spans="124:124" ht="15" customHeight="1" x14ac:dyDescent="0.25">
      <c r="DT2463" s="3"/>
    </row>
    <row r="2464" spans="124:124" ht="15" customHeight="1" x14ac:dyDescent="0.25">
      <c r="DT2464" s="3"/>
    </row>
    <row r="2465" spans="124:124" ht="15" customHeight="1" x14ac:dyDescent="0.25">
      <c r="DT2465" s="3"/>
    </row>
    <row r="2466" spans="124:124" ht="15" customHeight="1" x14ac:dyDescent="0.25">
      <c r="DT2466" s="3"/>
    </row>
    <row r="2467" spans="124:124" ht="15" customHeight="1" x14ac:dyDescent="0.25">
      <c r="DT2467" s="3"/>
    </row>
    <row r="2468" spans="124:124" ht="15" customHeight="1" x14ac:dyDescent="0.25">
      <c r="DT2468" s="3"/>
    </row>
    <row r="2469" spans="124:124" ht="15" customHeight="1" x14ac:dyDescent="0.25">
      <c r="DT2469" s="3"/>
    </row>
    <row r="2470" spans="124:124" ht="15" customHeight="1" x14ac:dyDescent="0.25">
      <c r="DT2470" s="3"/>
    </row>
    <row r="2471" spans="124:124" ht="15" customHeight="1" x14ac:dyDescent="0.25">
      <c r="DT2471" s="3"/>
    </row>
    <row r="2472" spans="124:124" ht="15" customHeight="1" x14ac:dyDescent="0.25">
      <c r="DT2472" s="3"/>
    </row>
    <row r="2473" spans="124:124" ht="15" customHeight="1" x14ac:dyDescent="0.25">
      <c r="DT2473" s="3"/>
    </row>
    <row r="2474" spans="124:124" ht="15" customHeight="1" x14ac:dyDescent="0.25">
      <c r="DT2474" s="3"/>
    </row>
    <row r="2475" spans="124:124" ht="15" customHeight="1" x14ac:dyDescent="0.25">
      <c r="DT2475" s="3"/>
    </row>
    <row r="2476" spans="124:124" ht="15" customHeight="1" x14ac:dyDescent="0.25">
      <c r="DT2476" s="3"/>
    </row>
    <row r="2477" spans="124:124" ht="15" customHeight="1" x14ac:dyDescent="0.25">
      <c r="DT2477" s="3"/>
    </row>
    <row r="2478" spans="124:124" ht="15" customHeight="1" x14ac:dyDescent="0.25">
      <c r="DT2478" s="3"/>
    </row>
    <row r="2479" spans="124:124" ht="15" customHeight="1" x14ac:dyDescent="0.25">
      <c r="DT2479" s="3"/>
    </row>
    <row r="2480" spans="124:124" ht="15" customHeight="1" x14ac:dyDescent="0.25">
      <c r="DT2480" s="3"/>
    </row>
    <row r="2481" spans="124:124" ht="15" customHeight="1" x14ac:dyDescent="0.25">
      <c r="DT2481" s="3"/>
    </row>
    <row r="2482" spans="124:124" ht="15" customHeight="1" x14ac:dyDescent="0.25">
      <c r="DT2482" s="3"/>
    </row>
    <row r="2483" spans="124:124" ht="15" customHeight="1" x14ac:dyDescent="0.25">
      <c r="DT2483" s="3"/>
    </row>
    <row r="2484" spans="124:124" ht="15" customHeight="1" x14ac:dyDescent="0.25">
      <c r="DT2484" s="3"/>
    </row>
    <row r="2485" spans="124:124" ht="15" customHeight="1" x14ac:dyDescent="0.25">
      <c r="DT2485" s="3"/>
    </row>
    <row r="2486" spans="124:124" ht="15" customHeight="1" x14ac:dyDescent="0.25">
      <c r="DT2486" s="3"/>
    </row>
    <row r="2487" spans="124:124" ht="15" customHeight="1" x14ac:dyDescent="0.25">
      <c r="DT2487" s="3"/>
    </row>
    <row r="2488" spans="124:124" ht="15" customHeight="1" x14ac:dyDescent="0.25">
      <c r="DT2488" s="3"/>
    </row>
    <row r="2489" spans="124:124" ht="15" customHeight="1" x14ac:dyDescent="0.25">
      <c r="DT2489" s="3"/>
    </row>
    <row r="2490" spans="124:124" ht="15" customHeight="1" x14ac:dyDescent="0.25">
      <c r="DT2490" s="3"/>
    </row>
    <row r="2491" spans="124:124" ht="15" customHeight="1" x14ac:dyDescent="0.25">
      <c r="DT2491" s="3"/>
    </row>
    <row r="2492" spans="124:124" ht="15" customHeight="1" x14ac:dyDescent="0.25">
      <c r="DT2492" s="3"/>
    </row>
    <row r="2493" spans="124:124" ht="15" customHeight="1" x14ac:dyDescent="0.25">
      <c r="DT2493" s="3"/>
    </row>
    <row r="2494" spans="124:124" ht="15" customHeight="1" x14ac:dyDescent="0.25">
      <c r="DT2494" s="3"/>
    </row>
    <row r="2495" spans="124:124" ht="15" customHeight="1" x14ac:dyDescent="0.25">
      <c r="DT2495" s="3"/>
    </row>
    <row r="2496" spans="124:124" ht="15" customHeight="1" x14ac:dyDescent="0.25">
      <c r="DT2496" s="3"/>
    </row>
    <row r="2497" spans="124:124" ht="15" customHeight="1" x14ac:dyDescent="0.25">
      <c r="DT2497" s="3"/>
    </row>
    <row r="2498" spans="124:124" ht="15" customHeight="1" x14ac:dyDescent="0.25">
      <c r="DT2498" s="3"/>
    </row>
    <row r="2499" spans="124:124" ht="15" customHeight="1" x14ac:dyDescent="0.25">
      <c r="DT2499" s="3"/>
    </row>
    <row r="2500" spans="124:124" ht="15" customHeight="1" x14ac:dyDescent="0.25">
      <c r="DT2500" s="3"/>
    </row>
    <row r="2501" spans="124:124" ht="15" customHeight="1" x14ac:dyDescent="0.25">
      <c r="DT2501" s="3"/>
    </row>
    <row r="2502" spans="124:124" ht="15" customHeight="1" x14ac:dyDescent="0.25">
      <c r="DT2502" s="3"/>
    </row>
    <row r="2503" spans="124:124" ht="15" customHeight="1" x14ac:dyDescent="0.25">
      <c r="DT2503" s="3"/>
    </row>
    <row r="2504" spans="124:124" ht="15" customHeight="1" x14ac:dyDescent="0.25">
      <c r="DT2504" s="3"/>
    </row>
    <row r="2505" spans="124:124" ht="15" customHeight="1" x14ac:dyDescent="0.25">
      <c r="DT2505" s="3"/>
    </row>
    <row r="2506" spans="124:124" ht="15" customHeight="1" x14ac:dyDescent="0.25">
      <c r="DT2506" s="3"/>
    </row>
    <row r="2507" spans="124:124" ht="15" customHeight="1" x14ac:dyDescent="0.25">
      <c r="DT2507" s="3"/>
    </row>
    <row r="2508" spans="124:124" ht="15" customHeight="1" x14ac:dyDescent="0.25">
      <c r="DT2508" s="3"/>
    </row>
    <row r="2509" spans="124:124" ht="15" customHeight="1" x14ac:dyDescent="0.25">
      <c r="DT2509" s="3"/>
    </row>
    <row r="2510" spans="124:124" ht="15" customHeight="1" x14ac:dyDescent="0.25">
      <c r="DT2510" s="3"/>
    </row>
    <row r="2511" spans="124:124" ht="15" customHeight="1" x14ac:dyDescent="0.25">
      <c r="DT2511" s="3"/>
    </row>
    <row r="2512" spans="124:124" ht="15" customHeight="1" x14ac:dyDescent="0.25">
      <c r="DT2512" s="3"/>
    </row>
    <row r="2513" spans="124:124" ht="15" customHeight="1" x14ac:dyDescent="0.25">
      <c r="DT2513" s="3"/>
    </row>
    <row r="2514" spans="124:124" ht="15" customHeight="1" x14ac:dyDescent="0.25">
      <c r="DT2514" s="3"/>
    </row>
    <row r="2515" spans="124:124" ht="15" customHeight="1" x14ac:dyDescent="0.25">
      <c r="DT2515" s="3"/>
    </row>
    <row r="2516" spans="124:124" ht="15" customHeight="1" x14ac:dyDescent="0.25">
      <c r="DT2516" s="3"/>
    </row>
    <row r="2517" spans="124:124" ht="15" customHeight="1" x14ac:dyDescent="0.25">
      <c r="DT2517" s="3"/>
    </row>
    <row r="2518" spans="124:124" ht="15" customHeight="1" x14ac:dyDescent="0.25">
      <c r="DT2518" s="3"/>
    </row>
    <row r="2519" spans="124:124" ht="15" customHeight="1" x14ac:dyDescent="0.25">
      <c r="DT2519" s="3"/>
    </row>
    <row r="2520" spans="124:124" ht="15" customHeight="1" x14ac:dyDescent="0.25">
      <c r="DT2520" s="3"/>
    </row>
    <row r="2521" spans="124:124" ht="15" customHeight="1" x14ac:dyDescent="0.25">
      <c r="DT2521" s="3"/>
    </row>
    <row r="2522" spans="124:124" ht="15" customHeight="1" x14ac:dyDescent="0.25">
      <c r="DT2522" s="3"/>
    </row>
    <row r="2523" spans="124:124" ht="15" customHeight="1" x14ac:dyDescent="0.25">
      <c r="DT2523" s="3"/>
    </row>
    <row r="2524" spans="124:124" ht="15" customHeight="1" x14ac:dyDescent="0.25">
      <c r="DT2524" s="3"/>
    </row>
    <row r="2525" spans="124:124" ht="15" customHeight="1" x14ac:dyDescent="0.25">
      <c r="DT2525" s="3"/>
    </row>
    <row r="2526" spans="124:124" ht="15" customHeight="1" x14ac:dyDescent="0.25">
      <c r="DT2526" s="3"/>
    </row>
    <row r="2527" spans="124:124" ht="15" customHeight="1" x14ac:dyDescent="0.25">
      <c r="DT2527" s="3"/>
    </row>
    <row r="2528" spans="124:124" ht="15" customHeight="1" x14ac:dyDescent="0.25">
      <c r="DT2528" s="3"/>
    </row>
    <row r="2529" spans="124:124" ht="15" customHeight="1" x14ac:dyDescent="0.25">
      <c r="DT2529" s="3"/>
    </row>
    <row r="2530" spans="124:124" ht="15" customHeight="1" x14ac:dyDescent="0.25">
      <c r="DT2530" s="3"/>
    </row>
    <row r="2531" spans="124:124" ht="15" customHeight="1" x14ac:dyDescent="0.25">
      <c r="DT2531" s="3"/>
    </row>
    <row r="2532" spans="124:124" ht="15" customHeight="1" x14ac:dyDescent="0.25">
      <c r="DT2532" s="3"/>
    </row>
    <row r="2533" spans="124:124" ht="15" customHeight="1" x14ac:dyDescent="0.25">
      <c r="DT2533" s="3"/>
    </row>
    <row r="2534" spans="124:124" ht="15" customHeight="1" x14ac:dyDescent="0.25">
      <c r="DT2534" s="3"/>
    </row>
    <row r="2535" spans="124:124" ht="15" customHeight="1" x14ac:dyDescent="0.25">
      <c r="DT2535" s="3"/>
    </row>
    <row r="2536" spans="124:124" ht="15" customHeight="1" x14ac:dyDescent="0.25">
      <c r="DT2536" s="3"/>
    </row>
    <row r="2537" spans="124:124" ht="15" customHeight="1" x14ac:dyDescent="0.25">
      <c r="DT2537" s="3"/>
    </row>
    <row r="2538" spans="124:124" ht="15" customHeight="1" x14ac:dyDescent="0.25">
      <c r="DT2538" s="3"/>
    </row>
    <row r="2539" spans="124:124" ht="15" customHeight="1" x14ac:dyDescent="0.25">
      <c r="DT2539" s="3"/>
    </row>
    <row r="2540" spans="124:124" ht="15" customHeight="1" x14ac:dyDescent="0.25">
      <c r="DT2540" s="3"/>
    </row>
    <row r="2541" spans="124:124" ht="15" customHeight="1" x14ac:dyDescent="0.25">
      <c r="DT2541" s="3"/>
    </row>
    <row r="2542" spans="124:124" ht="15" customHeight="1" x14ac:dyDescent="0.25">
      <c r="DT2542" s="3"/>
    </row>
    <row r="2543" spans="124:124" ht="15" customHeight="1" x14ac:dyDescent="0.25">
      <c r="DT2543" s="3"/>
    </row>
    <row r="2544" spans="124:124" ht="15" customHeight="1" x14ac:dyDescent="0.25">
      <c r="DT2544" s="3"/>
    </row>
    <row r="2545" spans="124:124" ht="15" customHeight="1" x14ac:dyDescent="0.25">
      <c r="DT2545" s="3"/>
    </row>
    <row r="2546" spans="124:124" ht="15" customHeight="1" x14ac:dyDescent="0.25">
      <c r="DT2546" s="3"/>
    </row>
    <row r="2547" spans="124:124" ht="15" customHeight="1" x14ac:dyDescent="0.25">
      <c r="DT2547" s="3"/>
    </row>
    <row r="2548" spans="124:124" ht="15" customHeight="1" x14ac:dyDescent="0.25">
      <c r="DT2548" s="3"/>
    </row>
    <row r="2549" spans="124:124" ht="15" customHeight="1" x14ac:dyDescent="0.25">
      <c r="DT2549" s="3"/>
    </row>
    <row r="2550" spans="124:124" ht="15" customHeight="1" x14ac:dyDescent="0.25">
      <c r="DT2550" s="3"/>
    </row>
    <row r="2551" spans="124:124" ht="15" customHeight="1" x14ac:dyDescent="0.25">
      <c r="DT2551" s="3"/>
    </row>
    <row r="2552" spans="124:124" ht="15" customHeight="1" x14ac:dyDescent="0.25">
      <c r="DT2552" s="3"/>
    </row>
    <row r="2553" spans="124:124" ht="15" customHeight="1" x14ac:dyDescent="0.25">
      <c r="DT2553" s="3"/>
    </row>
    <row r="2554" spans="124:124" ht="15" customHeight="1" x14ac:dyDescent="0.25">
      <c r="DT2554" s="3"/>
    </row>
    <row r="2555" spans="124:124" ht="15" customHeight="1" x14ac:dyDescent="0.25">
      <c r="DT2555" s="3"/>
    </row>
    <row r="2556" spans="124:124" ht="15" customHeight="1" x14ac:dyDescent="0.25">
      <c r="DT2556" s="3"/>
    </row>
    <row r="2557" spans="124:124" ht="15" customHeight="1" x14ac:dyDescent="0.25">
      <c r="DT2557" s="3"/>
    </row>
    <row r="2558" spans="124:124" ht="15" customHeight="1" x14ac:dyDescent="0.25">
      <c r="DT2558" s="3"/>
    </row>
    <row r="2559" spans="124:124" ht="15" customHeight="1" x14ac:dyDescent="0.25">
      <c r="DT2559" s="3"/>
    </row>
    <row r="2560" spans="124:124" ht="15" customHeight="1" x14ac:dyDescent="0.25">
      <c r="DT2560" s="3"/>
    </row>
    <row r="2561" spans="124:124" ht="15" customHeight="1" x14ac:dyDescent="0.25">
      <c r="DT2561" s="3"/>
    </row>
    <row r="2562" spans="124:124" ht="15" customHeight="1" x14ac:dyDescent="0.25">
      <c r="DT2562" s="3"/>
    </row>
    <row r="2563" spans="124:124" ht="15" customHeight="1" x14ac:dyDescent="0.25">
      <c r="DT2563" s="3"/>
    </row>
    <row r="2564" spans="124:124" ht="15" customHeight="1" x14ac:dyDescent="0.25">
      <c r="DT2564" s="3"/>
    </row>
    <row r="2565" spans="124:124" ht="15" customHeight="1" x14ac:dyDescent="0.25">
      <c r="DT2565" s="3"/>
    </row>
    <row r="2566" spans="124:124" ht="15" customHeight="1" x14ac:dyDescent="0.25">
      <c r="DT2566" s="3"/>
    </row>
    <row r="2567" spans="124:124" ht="15" customHeight="1" x14ac:dyDescent="0.25">
      <c r="DT2567" s="3"/>
    </row>
    <row r="2568" spans="124:124" ht="15" customHeight="1" x14ac:dyDescent="0.25">
      <c r="DT2568" s="3"/>
    </row>
    <row r="2569" spans="124:124" ht="15" customHeight="1" x14ac:dyDescent="0.25">
      <c r="DT2569" s="3"/>
    </row>
    <row r="2570" spans="124:124" ht="15" customHeight="1" x14ac:dyDescent="0.25">
      <c r="DT2570" s="3"/>
    </row>
    <row r="2571" spans="124:124" ht="15" customHeight="1" x14ac:dyDescent="0.25">
      <c r="DT2571" s="3"/>
    </row>
    <row r="2572" spans="124:124" ht="15" customHeight="1" x14ac:dyDescent="0.25">
      <c r="DT2572" s="3"/>
    </row>
    <row r="2573" spans="124:124" ht="15" customHeight="1" x14ac:dyDescent="0.25">
      <c r="DT2573" s="3"/>
    </row>
    <row r="2574" spans="124:124" ht="15" customHeight="1" x14ac:dyDescent="0.25">
      <c r="DT2574" s="3"/>
    </row>
    <row r="2575" spans="124:124" ht="15" customHeight="1" x14ac:dyDescent="0.25">
      <c r="DT2575" s="3"/>
    </row>
    <row r="2576" spans="124:124" ht="15" customHeight="1" x14ac:dyDescent="0.25">
      <c r="DT2576" s="3"/>
    </row>
    <row r="2577" spans="124:124" ht="15" customHeight="1" x14ac:dyDescent="0.25">
      <c r="DT2577" s="3"/>
    </row>
    <row r="2578" spans="124:124" ht="15" customHeight="1" x14ac:dyDescent="0.25">
      <c r="DT2578" s="3"/>
    </row>
    <row r="2579" spans="124:124" ht="15" customHeight="1" x14ac:dyDescent="0.25">
      <c r="DT2579" s="3"/>
    </row>
    <row r="2580" spans="124:124" ht="15" customHeight="1" x14ac:dyDescent="0.25">
      <c r="DT2580" s="3"/>
    </row>
    <row r="2581" spans="124:124" ht="15" customHeight="1" x14ac:dyDescent="0.25">
      <c r="DT2581" s="3"/>
    </row>
    <row r="2582" spans="124:124" ht="15" customHeight="1" x14ac:dyDescent="0.25">
      <c r="DT2582" s="3"/>
    </row>
    <row r="2583" spans="124:124" ht="15" customHeight="1" x14ac:dyDescent="0.25">
      <c r="DT2583" s="3"/>
    </row>
    <row r="2584" spans="124:124" ht="15" customHeight="1" x14ac:dyDescent="0.25">
      <c r="DT2584" s="3"/>
    </row>
    <row r="2585" spans="124:124" ht="15" customHeight="1" x14ac:dyDescent="0.25">
      <c r="DT2585" s="3"/>
    </row>
    <row r="2586" spans="124:124" ht="15" customHeight="1" x14ac:dyDescent="0.25">
      <c r="DT2586" s="3"/>
    </row>
    <row r="2587" spans="124:124" ht="15" customHeight="1" x14ac:dyDescent="0.25">
      <c r="DT2587" s="3"/>
    </row>
    <row r="2588" spans="124:124" ht="15" customHeight="1" x14ac:dyDescent="0.25">
      <c r="DT2588" s="3"/>
    </row>
    <row r="2589" spans="124:124" ht="15" customHeight="1" x14ac:dyDescent="0.25">
      <c r="DT2589" s="3"/>
    </row>
    <row r="2590" spans="124:124" ht="15" customHeight="1" x14ac:dyDescent="0.25">
      <c r="DT2590" s="3"/>
    </row>
    <row r="2591" spans="124:124" ht="15" customHeight="1" x14ac:dyDescent="0.25">
      <c r="DT2591" s="3"/>
    </row>
    <row r="2592" spans="124:124" ht="15" customHeight="1" x14ac:dyDescent="0.25">
      <c r="DT2592" s="3"/>
    </row>
    <row r="2593" spans="124:124" ht="15" customHeight="1" x14ac:dyDescent="0.25">
      <c r="DT2593" s="3"/>
    </row>
    <row r="2594" spans="124:124" ht="15" customHeight="1" x14ac:dyDescent="0.25">
      <c r="DT2594" s="3"/>
    </row>
    <row r="2595" spans="124:124" ht="15" customHeight="1" x14ac:dyDescent="0.25">
      <c r="DT2595" s="3"/>
    </row>
    <row r="2596" spans="124:124" ht="15" customHeight="1" x14ac:dyDescent="0.25">
      <c r="DT2596" s="3"/>
    </row>
    <row r="2597" spans="124:124" ht="15" customHeight="1" x14ac:dyDescent="0.25">
      <c r="DT2597" s="3"/>
    </row>
    <row r="2598" spans="124:124" ht="15" customHeight="1" x14ac:dyDescent="0.25">
      <c r="DT2598" s="3"/>
    </row>
    <row r="2599" spans="124:124" ht="15" customHeight="1" x14ac:dyDescent="0.25">
      <c r="DT2599" s="3"/>
    </row>
    <row r="2600" spans="124:124" ht="15" customHeight="1" x14ac:dyDescent="0.25">
      <c r="DT2600" s="3"/>
    </row>
    <row r="2601" spans="124:124" ht="15" customHeight="1" x14ac:dyDescent="0.25">
      <c r="DT2601" s="3"/>
    </row>
    <row r="2602" spans="124:124" ht="15" customHeight="1" x14ac:dyDescent="0.25">
      <c r="DT2602" s="3"/>
    </row>
    <row r="2603" spans="124:124" ht="15" customHeight="1" x14ac:dyDescent="0.25">
      <c r="DT2603" s="3"/>
    </row>
    <row r="2604" spans="124:124" ht="15" customHeight="1" x14ac:dyDescent="0.25">
      <c r="DT2604" s="3"/>
    </row>
    <row r="2605" spans="124:124" ht="15" customHeight="1" x14ac:dyDescent="0.25">
      <c r="DT2605" s="3"/>
    </row>
    <row r="2606" spans="124:124" ht="15" customHeight="1" x14ac:dyDescent="0.25">
      <c r="DT2606" s="3"/>
    </row>
    <row r="2607" spans="124:124" ht="15" customHeight="1" x14ac:dyDescent="0.25">
      <c r="DT2607" s="3"/>
    </row>
    <row r="2608" spans="124:124" ht="15" customHeight="1" x14ac:dyDescent="0.25">
      <c r="DT2608" s="3"/>
    </row>
    <row r="2609" spans="124:124" ht="15" customHeight="1" x14ac:dyDescent="0.25">
      <c r="DT2609" s="3"/>
    </row>
    <row r="2610" spans="124:124" ht="15" customHeight="1" x14ac:dyDescent="0.25">
      <c r="DT2610" s="3"/>
    </row>
    <row r="2611" spans="124:124" ht="15" customHeight="1" x14ac:dyDescent="0.25">
      <c r="DT2611" s="3"/>
    </row>
    <row r="2612" spans="124:124" ht="15" customHeight="1" x14ac:dyDescent="0.25">
      <c r="DT2612" s="3"/>
    </row>
    <row r="2613" spans="124:124" ht="15" customHeight="1" x14ac:dyDescent="0.25">
      <c r="DT2613" s="3"/>
    </row>
    <row r="2614" spans="124:124" ht="15" customHeight="1" x14ac:dyDescent="0.25">
      <c r="DT2614" s="3"/>
    </row>
    <row r="2615" spans="124:124" ht="15" customHeight="1" x14ac:dyDescent="0.25">
      <c r="DT2615" s="3"/>
    </row>
    <row r="2616" spans="124:124" ht="15" customHeight="1" x14ac:dyDescent="0.25">
      <c r="DT2616" s="3"/>
    </row>
    <row r="2617" spans="124:124" ht="15" customHeight="1" x14ac:dyDescent="0.25">
      <c r="DT2617" s="3"/>
    </row>
    <row r="2618" spans="124:124" ht="15" customHeight="1" x14ac:dyDescent="0.25">
      <c r="DT2618" s="3"/>
    </row>
    <row r="2619" spans="124:124" ht="15" customHeight="1" x14ac:dyDescent="0.25">
      <c r="DT2619" s="3"/>
    </row>
    <row r="2620" spans="124:124" ht="15" customHeight="1" x14ac:dyDescent="0.25">
      <c r="DT2620" s="3"/>
    </row>
    <row r="2621" spans="124:124" ht="15" customHeight="1" x14ac:dyDescent="0.25">
      <c r="DT2621" s="3"/>
    </row>
    <row r="2622" spans="124:124" ht="15" customHeight="1" x14ac:dyDescent="0.25">
      <c r="DT2622" s="3"/>
    </row>
    <row r="2623" spans="124:124" ht="15" customHeight="1" x14ac:dyDescent="0.25">
      <c r="DT2623" s="3"/>
    </row>
    <row r="2624" spans="124:124" ht="15" customHeight="1" x14ac:dyDescent="0.25">
      <c r="DT2624" s="3"/>
    </row>
    <row r="2625" spans="124:124" ht="15" customHeight="1" x14ac:dyDescent="0.25">
      <c r="DT2625" s="3"/>
    </row>
    <row r="2626" spans="124:124" ht="15" customHeight="1" x14ac:dyDescent="0.25">
      <c r="DT2626" s="3"/>
    </row>
    <row r="2627" spans="124:124" ht="15" customHeight="1" x14ac:dyDescent="0.25">
      <c r="DT2627" s="3"/>
    </row>
    <row r="2628" spans="124:124" ht="15" customHeight="1" x14ac:dyDescent="0.25">
      <c r="DT2628" s="3"/>
    </row>
    <row r="2629" spans="124:124" ht="15" customHeight="1" x14ac:dyDescent="0.25">
      <c r="DT2629" s="3"/>
    </row>
    <row r="2630" spans="124:124" ht="15" customHeight="1" x14ac:dyDescent="0.25">
      <c r="DT2630" s="3"/>
    </row>
    <row r="2631" spans="124:124" ht="15" customHeight="1" x14ac:dyDescent="0.25">
      <c r="DT2631" s="3"/>
    </row>
    <row r="2632" spans="124:124" ht="15" customHeight="1" x14ac:dyDescent="0.25">
      <c r="DT2632" s="3"/>
    </row>
    <row r="2633" spans="124:124" ht="15" customHeight="1" x14ac:dyDescent="0.25">
      <c r="DT2633" s="3"/>
    </row>
    <row r="2634" spans="124:124" ht="15" customHeight="1" x14ac:dyDescent="0.25">
      <c r="DT2634" s="3"/>
    </row>
    <row r="2635" spans="124:124" ht="15" customHeight="1" x14ac:dyDescent="0.25">
      <c r="DT2635" s="3"/>
    </row>
    <row r="2636" spans="124:124" ht="15" customHeight="1" x14ac:dyDescent="0.25">
      <c r="DT2636" s="3"/>
    </row>
    <row r="2637" spans="124:124" ht="15" customHeight="1" x14ac:dyDescent="0.25">
      <c r="DT2637" s="3"/>
    </row>
    <row r="2638" spans="124:124" ht="15" customHeight="1" x14ac:dyDescent="0.25">
      <c r="DT2638" s="3"/>
    </row>
    <row r="2639" spans="124:124" ht="15" customHeight="1" x14ac:dyDescent="0.25">
      <c r="DT2639" s="3"/>
    </row>
    <row r="2640" spans="124:124" ht="15" customHeight="1" x14ac:dyDescent="0.25">
      <c r="DT2640" s="3"/>
    </row>
    <row r="2641" spans="124:124" ht="15" customHeight="1" x14ac:dyDescent="0.25">
      <c r="DT2641" s="3"/>
    </row>
    <row r="2642" spans="124:124" ht="15" customHeight="1" x14ac:dyDescent="0.25">
      <c r="DT2642" s="3"/>
    </row>
    <row r="2643" spans="124:124" ht="15" customHeight="1" x14ac:dyDescent="0.25">
      <c r="DT2643" s="3"/>
    </row>
    <row r="2644" spans="124:124" ht="15" customHeight="1" x14ac:dyDescent="0.25">
      <c r="DT2644" s="3"/>
    </row>
    <row r="2645" spans="124:124" ht="15" customHeight="1" x14ac:dyDescent="0.25">
      <c r="DT2645" s="3"/>
    </row>
    <row r="2646" spans="124:124" ht="15" customHeight="1" x14ac:dyDescent="0.25">
      <c r="DT2646" s="3"/>
    </row>
    <row r="2647" spans="124:124" ht="15" customHeight="1" x14ac:dyDescent="0.25">
      <c r="DT2647" s="3"/>
    </row>
    <row r="2648" spans="124:124" ht="15" customHeight="1" x14ac:dyDescent="0.25">
      <c r="DT2648" s="3"/>
    </row>
    <row r="2649" spans="124:124" ht="15" customHeight="1" x14ac:dyDescent="0.25">
      <c r="DT2649" s="3"/>
    </row>
    <row r="2650" spans="124:124" ht="15" customHeight="1" x14ac:dyDescent="0.25">
      <c r="DT2650" s="3"/>
    </row>
    <row r="2651" spans="124:124" ht="15" customHeight="1" x14ac:dyDescent="0.25">
      <c r="DT2651" s="3"/>
    </row>
    <row r="2652" spans="124:124" ht="15" customHeight="1" x14ac:dyDescent="0.25">
      <c r="DT2652" s="3"/>
    </row>
    <row r="2653" spans="124:124" ht="15" customHeight="1" x14ac:dyDescent="0.25">
      <c r="DT2653" s="3"/>
    </row>
    <row r="2654" spans="124:124" ht="15" customHeight="1" x14ac:dyDescent="0.25">
      <c r="DT2654" s="3"/>
    </row>
    <row r="2655" spans="124:124" ht="15" customHeight="1" x14ac:dyDescent="0.25">
      <c r="DT2655" s="3"/>
    </row>
    <row r="2656" spans="124:124" ht="15" customHeight="1" x14ac:dyDescent="0.25">
      <c r="DT2656" s="3"/>
    </row>
    <row r="2657" spans="124:124" ht="15" customHeight="1" x14ac:dyDescent="0.25">
      <c r="DT2657" s="3"/>
    </row>
    <row r="2658" spans="124:124" ht="15" customHeight="1" x14ac:dyDescent="0.25">
      <c r="DT2658" s="3"/>
    </row>
    <row r="2659" spans="124:124" ht="15" customHeight="1" x14ac:dyDescent="0.25">
      <c r="DT2659" s="3"/>
    </row>
    <row r="2660" spans="124:124" ht="15" customHeight="1" x14ac:dyDescent="0.25">
      <c r="DT2660" s="3"/>
    </row>
    <row r="2661" spans="124:124" ht="15" customHeight="1" x14ac:dyDescent="0.25">
      <c r="DT2661" s="3"/>
    </row>
    <row r="2662" spans="124:124" ht="15" customHeight="1" x14ac:dyDescent="0.25">
      <c r="DT2662" s="3"/>
    </row>
    <row r="2663" spans="124:124" ht="15" customHeight="1" x14ac:dyDescent="0.25">
      <c r="DT2663" s="3"/>
    </row>
    <row r="2664" spans="124:124" ht="15" customHeight="1" x14ac:dyDescent="0.25">
      <c r="DT2664" s="3"/>
    </row>
    <row r="2665" spans="124:124" ht="15" customHeight="1" x14ac:dyDescent="0.25">
      <c r="DT2665" s="3"/>
    </row>
    <row r="2666" spans="124:124" ht="15" customHeight="1" x14ac:dyDescent="0.25">
      <c r="DT2666" s="3"/>
    </row>
    <row r="2667" spans="124:124" ht="15" customHeight="1" x14ac:dyDescent="0.25">
      <c r="DT2667" s="3"/>
    </row>
    <row r="2668" spans="124:124" ht="15" customHeight="1" x14ac:dyDescent="0.25">
      <c r="DT2668" s="3"/>
    </row>
    <row r="2669" spans="124:124" ht="15" customHeight="1" x14ac:dyDescent="0.25">
      <c r="DT2669" s="3"/>
    </row>
    <row r="2670" spans="124:124" ht="15" customHeight="1" x14ac:dyDescent="0.25">
      <c r="DT2670" s="3"/>
    </row>
    <row r="2671" spans="124:124" ht="15" customHeight="1" x14ac:dyDescent="0.25">
      <c r="DT2671" s="3"/>
    </row>
    <row r="2672" spans="124:124" ht="15" customHeight="1" x14ac:dyDescent="0.25">
      <c r="DT2672" s="3"/>
    </row>
    <row r="2673" spans="124:124" ht="15" customHeight="1" x14ac:dyDescent="0.25">
      <c r="DT2673" s="3"/>
    </row>
    <row r="2674" spans="124:124" ht="15" customHeight="1" x14ac:dyDescent="0.25">
      <c r="DT2674" s="3"/>
    </row>
    <row r="2675" spans="124:124" ht="15" customHeight="1" x14ac:dyDescent="0.25">
      <c r="DT2675" s="3"/>
    </row>
    <row r="2676" spans="124:124" ht="15" customHeight="1" x14ac:dyDescent="0.25">
      <c r="DT2676" s="3"/>
    </row>
    <row r="2677" spans="124:124" ht="15" customHeight="1" x14ac:dyDescent="0.25">
      <c r="DT2677" s="3"/>
    </row>
    <row r="2678" spans="124:124" ht="15" customHeight="1" x14ac:dyDescent="0.25">
      <c r="DT2678" s="3"/>
    </row>
    <row r="2679" spans="124:124" ht="15" customHeight="1" x14ac:dyDescent="0.25">
      <c r="DT2679" s="3"/>
    </row>
    <row r="2680" spans="124:124" ht="15" customHeight="1" x14ac:dyDescent="0.25">
      <c r="DT2680" s="3"/>
    </row>
    <row r="2681" spans="124:124" ht="15" customHeight="1" x14ac:dyDescent="0.25">
      <c r="DT2681" s="3"/>
    </row>
    <row r="2682" spans="124:124" ht="15" customHeight="1" x14ac:dyDescent="0.25">
      <c r="DT2682" s="3"/>
    </row>
    <row r="2683" spans="124:124" ht="15" customHeight="1" x14ac:dyDescent="0.25">
      <c r="DT2683" s="3"/>
    </row>
    <row r="2684" spans="124:124" ht="15" customHeight="1" x14ac:dyDescent="0.25">
      <c r="DT2684" s="3"/>
    </row>
    <row r="2685" spans="124:124" ht="15" customHeight="1" x14ac:dyDescent="0.25">
      <c r="DT2685" s="3"/>
    </row>
    <row r="2686" spans="124:124" ht="15" customHeight="1" x14ac:dyDescent="0.25">
      <c r="DT2686" s="3"/>
    </row>
    <row r="2687" spans="124:124" ht="15" customHeight="1" x14ac:dyDescent="0.25">
      <c r="DT2687" s="3"/>
    </row>
    <row r="2688" spans="124:124" ht="15" customHeight="1" x14ac:dyDescent="0.25">
      <c r="DT2688" s="3"/>
    </row>
    <row r="2689" spans="124:124" ht="15" customHeight="1" x14ac:dyDescent="0.25">
      <c r="DT2689" s="3"/>
    </row>
    <row r="2690" spans="124:124" ht="15" customHeight="1" x14ac:dyDescent="0.25">
      <c r="DT2690" s="3"/>
    </row>
    <row r="2691" spans="124:124" ht="15" customHeight="1" x14ac:dyDescent="0.25">
      <c r="DT2691" s="3"/>
    </row>
    <row r="2692" spans="124:124" ht="15" customHeight="1" x14ac:dyDescent="0.25">
      <c r="DT2692" s="3"/>
    </row>
    <row r="2693" spans="124:124" ht="15" customHeight="1" x14ac:dyDescent="0.25">
      <c r="DT2693" s="3"/>
    </row>
    <row r="2694" spans="124:124" ht="15" customHeight="1" x14ac:dyDescent="0.25">
      <c r="DT2694" s="3"/>
    </row>
    <row r="2695" spans="124:124" ht="15" customHeight="1" x14ac:dyDescent="0.25">
      <c r="DT2695" s="3"/>
    </row>
    <row r="2696" spans="124:124" ht="15" customHeight="1" x14ac:dyDescent="0.25">
      <c r="DT2696" s="3"/>
    </row>
    <row r="2697" spans="124:124" ht="15" customHeight="1" x14ac:dyDescent="0.25">
      <c r="DT2697" s="3"/>
    </row>
    <row r="2698" spans="124:124" ht="15" customHeight="1" x14ac:dyDescent="0.25">
      <c r="DT2698" s="3"/>
    </row>
    <row r="2699" spans="124:124" ht="15" customHeight="1" x14ac:dyDescent="0.25">
      <c r="DT2699" s="3"/>
    </row>
    <row r="2700" spans="124:124" ht="15" customHeight="1" x14ac:dyDescent="0.25">
      <c r="DT2700" s="3"/>
    </row>
    <row r="2701" spans="124:124" ht="15" customHeight="1" x14ac:dyDescent="0.25">
      <c r="DT2701" s="3"/>
    </row>
    <row r="2702" spans="124:124" ht="15" customHeight="1" x14ac:dyDescent="0.25">
      <c r="DT2702" s="3"/>
    </row>
    <row r="2703" spans="124:124" ht="15" customHeight="1" x14ac:dyDescent="0.25">
      <c r="DT2703" s="3"/>
    </row>
    <row r="2704" spans="124:124" ht="15" customHeight="1" x14ac:dyDescent="0.25">
      <c r="DT2704" s="3"/>
    </row>
    <row r="2705" spans="124:124" ht="15" customHeight="1" x14ac:dyDescent="0.25">
      <c r="DT2705" s="3"/>
    </row>
    <row r="2706" spans="124:124" ht="15" customHeight="1" x14ac:dyDescent="0.25">
      <c r="DT2706" s="3"/>
    </row>
    <row r="2707" spans="124:124" ht="15" customHeight="1" x14ac:dyDescent="0.25">
      <c r="DT2707" s="3"/>
    </row>
    <row r="2708" spans="124:124" ht="15" customHeight="1" x14ac:dyDescent="0.25">
      <c r="DT2708" s="3"/>
    </row>
    <row r="2709" spans="124:124" ht="15" customHeight="1" x14ac:dyDescent="0.25">
      <c r="DT2709" s="3"/>
    </row>
    <row r="2710" spans="124:124" ht="15" customHeight="1" x14ac:dyDescent="0.25">
      <c r="DT2710" s="3"/>
    </row>
    <row r="2711" spans="124:124" ht="15" customHeight="1" x14ac:dyDescent="0.25">
      <c r="DT2711" s="3"/>
    </row>
    <row r="2712" spans="124:124" ht="15" customHeight="1" x14ac:dyDescent="0.25">
      <c r="DT2712" s="3"/>
    </row>
    <row r="2713" spans="124:124" ht="15" customHeight="1" x14ac:dyDescent="0.25">
      <c r="DT2713" s="3"/>
    </row>
    <row r="2714" spans="124:124" ht="15" customHeight="1" x14ac:dyDescent="0.25">
      <c r="DT2714" s="3"/>
    </row>
    <row r="2715" spans="124:124" ht="15" customHeight="1" x14ac:dyDescent="0.25">
      <c r="DT2715" s="3"/>
    </row>
    <row r="2716" spans="124:124" ht="15" customHeight="1" x14ac:dyDescent="0.25">
      <c r="DT2716" s="3"/>
    </row>
    <row r="2717" spans="124:124" ht="15" customHeight="1" x14ac:dyDescent="0.25">
      <c r="DT2717" s="3"/>
    </row>
    <row r="2718" spans="124:124" ht="15" customHeight="1" x14ac:dyDescent="0.25">
      <c r="DT2718" s="3"/>
    </row>
    <row r="2719" spans="124:124" ht="15" customHeight="1" x14ac:dyDescent="0.25">
      <c r="DT2719" s="3"/>
    </row>
    <row r="2720" spans="124:124" ht="15" customHeight="1" x14ac:dyDescent="0.25">
      <c r="DT2720" s="3"/>
    </row>
    <row r="2721" spans="124:124" ht="15" customHeight="1" x14ac:dyDescent="0.25">
      <c r="DT2721" s="3"/>
    </row>
    <row r="2722" spans="124:124" ht="15" customHeight="1" x14ac:dyDescent="0.25">
      <c r="DT2722" s="3"/>
    </row>
    <row r="2723" spans="124:124" ht="15" customHeight="1" x14ac:dyDescent="0.25">
      <c r="DT2723" s="3"/>
    </row>
    <row r="2724" spans="124:124" ht="15" customHeight="1" x14ac:dyDescent="0.25">
      <c r="DT2724" s="3"/>
    </row>
    <row r="2725" spans="124:124" ht="15" customHeight="1" x14ac:dyDescent="0.25">
      <c r="DT2725" s="3"/>
    </row>
    <row r="2726" spans="124:124" ht="15" customHeight="1" x14ac:dyDescent="0.25">
      <c r="DT2726" s="3"/>
    </row>
    <row r="2727" spans="124:124" ht="15" customHeight="1" x14ac:dyDescent="0.25">
      <c r="DT2727" s="3"/>
    </row>
    <row r="2728" spans="124:124" ht="15" customHeight="1" x14ac:dyDescent="0.25">
      <c r="DT2728" s="3"/>
    </row>
    <row r="2729" spans="124:124" ht="15" customHeight="1" x14ac:dyDescent="0.25">
      <c r="DT2729" s="3"/>
    </row>
    <row r="2730" spans="124:124" ht="15" customHeight="1" x14ac:dyDescent="0.25">
      <c r="DT2730" s="3"/>
    </row>
    <row r="2731" spans="124:124" ht="15" customHeight="1" x14ac:dyDescent="0.25">
      <c r="DT2731" s="3"/>
    </row>
    <row r="2732" spans="124:124" ht="15" customHeight="1" x14ac:dyDescent="0.25">
      <c r="DT2732" s="3"/>
    </row>
    <row r="2733" spans="124:124" ht="15" customHeight="1" x14ac:dyDescent="0.25">
      <c r="DT2733" s="3"/>
    </row>
    <row r="2734" spans="124:124" ht="15" customHeight="1" x14ac:dyDescent="0.25">
      <c r="DT2734" s="3"/>
    </row>
    <row r="2735" spans="124:124" ht="15" customHeight="1" x14ac:dyDescent="0.25">
      <c r="DT2735" s="3"/>
    </row>
    <row r="2736" spans="124:124" ht="15" customHeight="1" x14ac:dyDescent="0.25">
      <c r="DT2736" s="3"/>
    </row>
    <row r="2737" spans="124:124" ht="15" customHeight="1" x14ac:dyDescent="0.25">
      <c r="DT2737" s="3"/>
    </row>
    <row r="2738" spans="124:124" ht="15" customHeight="1" x14ac:dyDescent="0.25">
      <c r="DT2738" s="3"/>
    </row>
    <row r="2739" spans="124:124" ht="15" customHeight="1" x14ac:dyDescent="0.25">
      <c r="DT2739" s="3"/>
    </row>
    <row r="2740" spans="124:124" ht="15" customHeight="1" x14ac:dyDescent="0.25">
      <c r="DT2740" s="3"/>
    </row>
    <row r="2741" spans="124:124" ht="15" customHeight="1" x14ac:dyDescent="0.25">
      <c r="DT2741" s="3"/>
    </row>
    <row r="2742" spans="124:124" ht="15" customHeight="1" x14ac:dyDescent="0.25">
      <c r="DT2742" s="3"/>
    </row>
    <row r="2743" spans="124:124" ht="15" customHeight="1" x14ac:dyDescent="0.25">
      <c r="DT2743" s="3"/>
    </row>
    <row r="2744" spans="124:124" ht="15" customHeight="1" x14ac:dyDescent="0.25">
      <c r="DT2744" s="3"/>
    </row>
    <row r="2745" spans="124:124" ht="15" customHeight="1" x14ac:dyDescent="0.25">
      <c r="DT2745" s="3"/>
    </row>
    <row r="2746" spans="124:124" ht="15" customHeight="1" x14ac:dyDescent="0.25">
      <c r="DT2746" s="3"/>
    </row>
    <row r="2747" spans="124:124" ht="15" customHeight="1" x14ac:dyDescent="0.25">
      <c r="DT2747" s="3"/>
    </row>
    <row r="2748" spans="124:124" ht="15" customHeight="1" x14ac:dyDescent="0.25">
      <c r="DT2748" s="3"/>
    </row>
    <row r="2749" spans="124:124" ht="15" customHeight="1" x14ac:dyDescent="0.25">
      <c r="DT2749" s="3"/>
    </row>
    <row r="2750" spans="124:124" ht="15" customHeight="1" x14ac:dyDescent="0.25">
      <c r="DT2750" s="3"/>
    </row>
    <row r="2751" spans="124:124" ht="15" customHeight="1" x14ac:dyDescent="0.25">
      <c r="DT2751" s="3"/>
    </row>
    <row r="2752" spans="124:124" ht="15" customHeight="1" x14ac:dyDescent="0.25">
      <c r="DT2752" s="3"/>
    </row>
    <row r="2753" spans="124:124" ht="15" customHeight="1" x14ac:dyDescent="0.25">
      <c r="DT2753" s="3"/>
    </row>
    <row r="2754" spans="124:124" ht="15" customHeight="1" x14ac:dyDescent="0.25">
      <c r="DT2754" s="3"/>
    </row>
    <row r="2755" spans="124:124" ht="15" customHeight="1" x14ac:dyDescent="0.25">
      <c r="DT2755" s="3"/>
    </row>
    <row r="2756" spans="124:124" ht="15" customHeight="1" x14ac:dyDescent="0.25">
      <c r="DT2756" s="3"/>
    </row>
    <row r="2757" spans="124:124" ht="15" customHeight="1" x14ac:dyDescent="0.25">
      <c r="DT2757" s="3"/>
    </row>
    <row r="2758" spans="124:124" ht="15" customHeight="1" x14ac:dyDescent="0.25">
      <c r="DT2758" s="3"/>
    </row>
    <row r="2759" spans="124:124" ht="15" customHeight="1" x14ac:dyDescent="0.25">
      <c r="DT2759" s="3"/>
    </row>
    <row r="2760" spans="124:124" ht="15" customHeight="1" x14ac:dyDescent="0.25">
      <c r="DT2760" s="3"/>
    </row>
    <row r="2761" spans="124:124" ht="15" customHeight="1" x14ac:dyDescent="0.25">
      <c r="DT2761" s="3"/>
    </row>
    <row r="2762" spans="124:124" ht="15" customHeight="1" x14ac:dyDescent="0.25">
      <c r="DT2762" s="3"/>
    </row>
    <row r="2763" spans="124:124" ht="15" customHeight="1" x14ac:dyDescent="0.25">
      <c r="DT2763" s="3"/>
    </row>
    <row r="2764" spans="124:124" ht="15" customHeight="1" x14ac:dyDescent="0.25">
      <c r="DT2764" s="3"/>
    </row>
    <row r="2765" spans="124:124" ht="15" customHeight="1" x14ac:dyDescent="0.25">
      <c r="DT2765" s="3"/>
    </row>
    <row r="2766" spans="124:124" ht="15" customHeight="1" x14ac:dyDescent="0.25">
      <c r="DT2766" s="3"/>
    </row>
    <row r="2767" spans="124:124" ht="15" customHeight="1" x14ac:dyDescent="0.25">
      <c r="DT2767" s="3"/>
    </row>
    <row r="2768" spans="124:124" ht="15" customHeight="1" x14ac:dyDescent="0.25">
      <c r="DT2768" s="3"/>
    </row>
    <row r="2769" spans="124:124" ht="15" customHeight="1" x14ac:dyDescent="0.25">
      <c r="DT2769" s="3"/>
    </row>
    <row r="2770" spans="124:124" ht="15" customHeight="1" x14ac:dyDescent="0.25">
      <c r="DT2770" s="3"/>
    </row>
    <row r="2771" spans="124:124" ht="15" customHeight="1" x14ac:dyDescent="0.25">
      <c r="DT2771" s="3"/>
    </row>
    <row r="2772" spans="124:124" ht="15" customHeight="1" x14ac:dyDescent="0.25">
      <c r="DT2772" s="3"/>
    </row>
    <row r="2773" spans="124:124" ht="15" customHeight="1" x14ac:dyDescent="0.25">
      <c r="DT2773" s="3"/>
    </row>
    <row r="2774" spans="124:124" ht="15" customHeight="1" x14ac:dyDescent="0.25">
      <c r="DT2774" s="3"/>
    </row>
    <row r="2775" spans="124:124" ht="15" customHeight="1" x14ac:dyDescent="0.25">
      <c r="DT2775" s="3"/>
    </row>
    <row r="2776" spans="124:124" ht="15" customHeight="1" x14ac:dyDescent="0.25">
      <c r="DT2776" s="3"/>
    </row>
    <row r="2777" spans="124:124" ht="15" customHeight="1" x14ac:dyDescent="0.25">
      <c r="DT2777" s="3"/>
    </row>
    <row r="2778" spans="124:124" ht="15" customHeight="1" x14ac:dyDescent="0.25">
      <c r="DT2778" s="3"/>
    </row>
    <row r="2779" spans="124:124" ht="15" customHeight="1" x14ac:dyDescent="0.25">
      <c r="DT2779" s="3"/>
    </row>
    <row r="2780" spans="124:124" ht="15" customHeight="1" x14ac:dyDescent="0.25">
      <c r="DT2780" s="3"/>
    </row>
    <row r="2781" spans="124:124" ht="15" customHeight="1" x14ac:dyDescent="0.25">
      <c r="DT2781" s="3"/>
    </row>
    <row r="2782" spans="124:124" ht="15" customHeight="1" x14ac:dyDescent="0.25">
      <c r="DT2782" s="3"/>
    </row>
    <row r="2783" spans="124:124" ht="15" customHeight="1" x14ac:dyDescent="0.25">
      <c r="DT2783" s="3"/>
    </row>
    <row r="2784" spans="124:124" ht="15" customHeight="1" x14ac:dyDescent="0.25">
      <c r="DT2784" s="3"/>
    </row>
    <row r="2785" spans="124:124" ht="15" customHeight="1" x14ac:dyDescent="0.25">
      <c r="DT2785" s="3"/>
    </row>
    <row r="2786" spans="124:124" ht="15" customHeight="1" x14ac:dyDescent="0.25">
      <c r="DT2786" s="3"/>
    </row>
    <row r="2787" spans="124:124" ht="15" customHeight="1" x14ac:dyDescent="0.25">
      <c r="DT2787" s="3"/>
    </row>
    <row r="2788" spans="124:124" ht="15" customHeight="1" x14ac:dyDescent="0.25">
      <c r="DT2788" s="3"/>
    </row>
    <row r="2789" spans="124:124" ht="15" customHeight="1" x14ac:dyDescent="0.25">
      <c r="DT2789" s="3"/>
    </row>
    <row r="2790" spans="124:124" ht="15" customHeight="1" x14ac:dyDescent="0.25">
      <c r="DT2790" s="3"/>
    </row>
    <row r="2791" spans="124:124" ht="15" customHeight="1" x14ac:dyDescent="0.25">
      <c r="DT2791" s="3"/>
    </row>
    <row r="2792" spans="124:124" ht="15" customHeight="1" x14ac:dyDescent="0.25">
      <c r="DT2792" s="3"/>
    </row>
    <row r="2793" spans="124:124" ht="15" customHeight="1" x14ac:dyDescent="0.25">
      <c r="DT2793" s="3"/>
    </row>
    <row r="2794" spans="124:124" ht="15" customHeight="1" x14ac:dyDescent="0.25">
      <c r="DT2794" s="3"/>
    </row>
    <row r="2795" spans="124:124" ht="15" customHeight="1" x14ac:dyDescent="0.25">
      <c r="DT2795" s="3"/>
    </row>
    <row r="2796" spans="124:124" ht="15" customHeight="1" x14ac:dyDescent="0.25">
      <c r="DT2796" s="3"/>
    </row>
    <row r="2797" spans="124:124" ht="15" customHeight="1" x14ac:dyDescent="0.25">
      <c r="DT2797" s="3"/>
    </row>
    <row r="2798" spans="124:124" ht="15" customHeight="1" x14ac:dyDescent="0.25">
      <c r="DT2798" s="3"/>
    </row>
    <row r="2799" spans="124:124" ht="15" customHeight="1" x14ac:dyDescent="0.25">
      <c r="DT2799" s="3"/>
    </row>
    <row r="2800" spans="124:124" ht="15" customHeight="1" x14ac:dyDescent="0.25">
      <c r="DT2800" s="3"/>
    </row>
    <row r="2801" spans="124:124" ht="15" customHeight="1" x14ac:dyDescent="0.25">
      <c r="DT2801" s="3"/>
    </row>
    <row r="2802" spans="124:124" ht="15" customHeight="1" x14ac:dyDescent="0.25">
      <c r="DT2802" s="3"/>
    </row>
    <row r="2803" spans="124:124" ht="15" customHeight="1" x14ac:dyDescent="0.25">
      <c r="DT2803" s="3"/>
    </row>
    <row r="2804" spans="124:124" ht="15" customHeight="1" x14ac:dyDescent="0.25">
      <c r="DT2804" s="3"/>
    </row>
    <row r="2805" spans="124:124" ht="15" customHeight="1" x14ac:dyDescent="0.25">
      <c r="DT2805" s="3"/>
    </row>
    <row r="2806" spans="124:124" ht="15" customHeight="1" x14ac:dyDescent="0.25">
      <c r="DT2806" s="3"/>
    </row>
    <row r="2807" spans="124:124" ht="15" customHeight="1" x14ac:dyDescent="0.25">
      <c r="DT2807" s="3"/>
    </row>
    <row r="2808" spans="124:124" ht="15" customHeight="1" x14ac:dyDescent="0.25">
      <c r="DT2808" s="3"/>
    </row>
    <row r="2809" spans="124:124" ht="15" customHeight="1" x14ac:dyDescent="0.25">
      <c r="DT2809" s="3"/>
    </row>
    <row r="2810" spans="124:124" ht="15" customHeight="1" x14ac:dyDescent="0.25">
      <c r="DT2810" s="3"/>
    </row>
    <row r="2811" spans="124:124" ht="15" customHeight="1" x14ac:dyDescent="0.25">
      <c r="DT2811" s="3"/>
    </row>
    <row r="2812" spans="124:124" ht="15" customHeight="1" x14ac:dyDescent="0.25">
      <c r="DT2812" s="3"/>
    </row>
    <row r="2813" spans="124:124" ht="15" customHeight="1" x14ac:dyDescent="0.25">
      <c r="DT2813" s="3"/>
    </row>
    <row r="2814" spans="124:124" ht="15" customHeight="1" x14ac:dyDescent="0.25">
      <c r="DT2814" s="3"/>
    </row>
    <row r="2815" spans="124:124" ht="15" customHeight="1" x14ac:dyDescent="0.25">
      <c r="DT2815" s="3"/>
    </row>
    <row r="2816" spans="124:124" ht="15" customHeight="1" x14ac:dyDescent="0.25">
      <c r="DT2816" s="3"/>
    </row>
    <row r="2817" spans="124:124" ht="15" customHeight="1" x14ac:dyDescent="0.25">
      <c r="DT2817" s="3"/>
    </row>
    <row r="2818" spans="124:124" ht="15" customHeight="1" x14ac:dyDescent="0.25">
      <c r="DT2818" s="3"/>
    </row>
    <row r="2819" spans="124:124" ht="15" customHeight="1" x14ac:dyDescent="0.25">
      <c r="DT2819" s="3"/>
    </row>
    <row r="2820" spans="124:124" ht="15" customHeight="1" x14ac:dyDescent="0.25">
      <c r="DT2820" s="3"/>
    </row>
    <row r="2821" spans="124:124" ht="15" customHeight="1" x14ac:dyDescent="0.25">
      <c r="DT2821" s="3"/>
    </row>
    <row r="2822" spans="124:124" ht="15" customHeight="1" x14ac:dyDescent="0.25">
      <c r="DT2822" s="3"/>
    </row>
    <row r="2823" spans="124:124" ht="15" customHeight="1" x14ac:dyDescent="0.25">
      <c r="DT2823" s="3"/>
    </row>
    <row r="2824" spans="124:124" ht="15" customHeight="1" x14ac:dyDescent="0.25">
      <c r="DT2824" s="3"/>
    </row>
    <row r="2825" spans="124:124" ht="15" customHeight="1" x14ac:dyDescent="0.25">
      <c r="DT2825" s="3"/>
    </row>
    <row r="2826" spans="124:124" ht="15" customHeight="1" x14ac:dyDescent="0.25">
      <c r="DT2826" s="3"/>
    </row>
    <row r="2827" spans="124:124" ht="15" customHeight="1" x14ac:dyDescent="0.25">
      <c r="DT2827" s="3"/>
    </row>
    <row r="2828" spans="124:124" ht="15" customHeight="1" x14ac:dyDescent="0.25">
      <c r="DT2828" s="3"/>
    </row>
    <row r="2829" spans="124:124" ht="15" customHeight="1" x14ac:dyDescent="0.25">
      <c r="DT2829" s="3"/>
    </row>
    <row r="2830" spans="124:124" ht="15" customHeight="1" x14ac:dyDescent="0.25">
      <c r="DT2830" s="3"/>
    </row>
    <row r="2831" spans="124:124" ht="15" customHeight="1" x14ac:dyDescent="0.25">
      <c r="DT2831" s="3"/>
    </row>
    <row r="2832" spans="124:124" ht="15" customHeight="1" x14ac:dyDescent="0.25">
      <c r="DT2832" s="3"/>
    </row>
    <row r="2833" spans="124:124" ht="15" customHeight="1" x14ac:dyDescent="0.25">
      <c r="DT2833" s="3"/>
    </row>
    <row r="2834" spans="124:124" ht="15" customHeight="1" x14ac:dyDescent="0.25">
      <c r="DT2834" s="3"/>
    </row>
    <row r="2835" spans="124:124" ht="15" customHeight="1" x14ac:dyDescent="0.25">
      <c r="DT2835" s="3"/>
    </row>
    <row r="2836" spans="124:124" ht="15" customHeight="1" x14ac:dyDescent="0.25">
      <c r="DT2836" s="3"/>
    </row>
    <row r="2837" spans="124:124" ht="15" customHeight="1" x14ac:dyDescent="0.25">
      <c r="DT2837" s="3"/>
    </row>
    <row r="2838" spans="124:124" ht="15" customHeight="1" x14ac:dyDescent="0.25">
      <c r="DT2838" s="3"/>
    </row>
    <row r="2839" spans="124:124" ht="15" customHeight="1" x14ac:dyDescent="0.25">
      <c r="DT2839" s="3"/>
    </row>
    <row r="2840" spans="124:124" ht="15" customHeight="1" x14ac:dyDescent="0.25">
      <c r="DT2840" s="3"/>
    </row>
    <row r="2841" spans="124:124" ht="15" customHeight="1" x14ac:dyDescent="0.25">
      <c r="DT2841" s="3"/>
    </row>
    <row r="2842" spans="124:124" ht="15" customHeight="1" x14ac:dyDescent="0.25">
      <c r="DT2842" s="3"/>
    </row>
    <row r="2843" spans="124:124" ht="15" customHeight="1" x14ac:dyDescent="0.25">
      <c r="DT2843" s="3"/>
    </row>
    <row r="2844" spans="124:124" ht="15" customHeight="1" x14ac:dyDescent="0.25">
      <c r="DT2844" s="3"/>
    </row>
    <row r="2845" spans="124:124" ht="15" customHeight="1" x14ac:dyDescent="0.25">
      <c r="DT2845" s="3"/>
    </row>
    <row r="2846" spans="124:124" ht="15" customHeight="1" x14ac:dyDescent="0.25">
      <c r="DT2846" s="3"/>
    </row>
    <row r="2847" spans="124:124" ht="15" customHeight="1" x14ac:dyDescent="0.25">
      <c r="DT2847" s="3"/>
    </row>
    <row r="2848" spans="124:124" ht="15" customHeight="1" x14ac:dyDescent="0.25">
      <c r="DT2848" s="3"/>
    </row>
    <row r="2849" spans="124:124" ht="15" customHeight="1" x14ac:dyDescent="0.25">
      <c r="DT2849" s="3"/>
    </row>
    <row r="2850" spans="124:124" ht="15" customHeight="1" x14ac:dyDescent="0.25">
      <c r="DT2850" s="3"/>
    </row>
    <row r="2851" spans="124:124" ht="15" customHeight="1" x14ac:dyDescent="0.25">
      <c r="DT2851" s="3"/>
    </row>
    <row r="2852" spans="124:124" ht="15" customHeight="1" x14ac:dyDescent="0.25">
      <c r="DT2852" s="3"/>
    </row>
    <row r="2853" spans="124:124" ht="15" customHeight="1" x14ac:dyDescent="0.25">
      <c r="DT2853" s="3"/>
    </row>
    <row r="2854" spans="124:124" ht="15" customHeight="1" x14ac:dyDescent="0.25">
      <c r="DT2854" s="3"/>
    </row>
    <row r="2855" spans="124:124" ht="15" customHeight="1" x14ac:dyDescent="0.25">
      <c r="DT2855" s="3"/>
    </row>
    <row r="2856" spans="124:124" ht="15" customHeight="1" x14ac:dyDescent="0.25">
      <c r="DT2856" s="3"/>
    </row>
    <row r="2857" spans="124:124" ht="15" customHeight="1" x14ac:dyDescent="0.25">
      <c r="DT2857" s="3"/>
    </row>
    <row r="2858" spans="124:124" ht="15" customHeight="1" x14ac:dyDescent="0.25">
      <c r="DT2858" s="3"/>
    </row>
    <row r="2859" spans="124:124" ht="15" customHeight="1" x14ac:dyDescent="0.25">
      <c r="DT2859" s="3"/>
    </row>
    <row r="2860" spans="124:124" ht="15" customHeight="1" x14ac:dyDescent="0.25">
      <c r="DT2860" s="3"/>
    </row>
    <row r="2861" spans="124:124" ht="15" customHeight="1" x14ac:dyDescent="0.25">
      <c r="DT2861" s="3"/>
    </row>
    <row r="2862" spans="124:124" ht="15" customHeight="1" x14ac:dyDescent="0.25">
      <c r="DT2862" s="3"/>
    </row>
    <row r="2863" spans="124:124" ht="15" customHeight="1" x14ac:dyDescent="0.25">
      <c r="DT2863" s="3"/>
    </row>
    <row r="2864" spans="124:124" ht="15" customHeight="1" x14ac:dyDescent="0.25">
      <c r="DT2864" s="3"/>
    </row>
    <row r="2865" spans="124:124" ht="15" customHeight="1" x14ac:dyDescent="0.25">
      <c r="DT2865" s="3"/>
    </row>
    <row r="2866" spans="124:124" ht="15" customHeight="1" x14ac:dyDescent="0.25">
      <c r="DT2866" s="3"/>
    </row>
    <row r="2867" spans="124:124" ht="15" customHeight="1" x14ac:dyDescent="0.25">
      <c r="DT2867" s="3"/>
    </row>
    <row r="2868" spans="124:124" ht="15" customHeight="1" x14ac:dyDescent="0.25">
      <c r="DT2868" s="3"/>
    </row>
    <row r="2869" spans="124:124" ht="15" customHeight="1" x14ac:dyDescent="0.25">
      <c r="DT2869" s="3"/>
    </row>
    <row r="2870" spans="124:124" ht="15" customHeight="1" x14ac:dyDescent="0.25">
      <c r="DT2870" s="3"/>
    </row>
    <row r="2871" spans="124:124" ht="15" customHeight="1" x14ac:dyDescent="0.25">
      <c r="DT2871" s="3"/>
    </row>
    <row r="2872" spans="124:124" ht="15" customHeight="1" x14ac:dyDescent="0.25">
      <c r="DT2872" s="3"/>
    </row>
    <row r="2873" spans="124:124" ht="15" customHeight="1" x14ac:dyDescent="0.25">
      <c r="DT2873" s="3"/>
    </row>
    <row r="2874" spans="124:124" ht="15" customHeight="1" x14ac:dyDescent="0.25">
      <c r="DT2874" s="3"/>
    </row>
    <row r="2875" spans="124:124" ht="15" customHeight="1" x14ac:dyDescent="0.25">
      <c r="DT2875" s="3"/>
    </row>
    <row r="2876" spans="124:124" ht="15" customHeight="1" x14ac:dyDescent="0.25">
      <c r="DT2876" s="3"/>
    </row>
    <row r="2877" spans="124:124" ht="15" customHeight="1" x14ac:dyDescent="0.25">
      <c r="DT2877" s="3"/>
    </row>
    <row r="2878" spans="124:124" ht="15" customHeight="1" x14ac:dyDescent="0.25">
      <c r="DT2878" s="3"/>
    </row>
    <row r="2879" spans="124:124" ht="15" customHeight="1" x14ac:dyDescent="0.25">
      <c r="DT2879" s="3"/>
    </row>
    <row r="2880" spans="124:124" ht="15" customHeight="1" x14ac:dyDescent="0.25">
      <c r="DT2880" s="3"/>
    </row>
    <row r="2881" spans="124:124" ht="15" customHeight="1" x14ac:dyDescent="0.25">
      <c r="DT2881" s="3"/>
    </row>
    <row r="2882" spans="124:124" ht="15" customHeight="1" x14ac:dyDescent="0.25">
      <c r="DT2882" s="3"/>
    </row>
    <row r="2883" spans="124:124" ht="15" customHeight="1" x14ac:dyDescent="0.25">
      <c r="DT2883" s="3"/>
    </row>
    <row r="2884" spans="124:124" ht="15" customHeight="1" x14ac:dyDescent="0.25">
      <c r="DT2884" s="3"/>
    </row>
    <row r="2885" spans="124:124" ht="15" customHeight="1" x14ac:dyDescent="0.25">
      <c r="DT2885" s="3"/>
    </row>
    <row r="2886" spans="124:124" ht="15" customHeight="1" x14ac:dyDescent="0.25">
      <c r="DT2886" s="3"/>
    </row>
    <row r="2887" spans="124:124" ht="15" customHeight="1" x14ac:dyDescent="0.25">
      <c r="DT2887" s="3"/>
    </row>
    <row r="2888" spans="124:124" ht="15" customHeight="1" x14ac:dyDescent="0.25">
      <c r="DT2888" s="3"/>
    </row>
    <row r="2889" spans="124:124" ht="15" customHeight="1" x14ac:dyDescent="0.25">
      <c r="DT2889" s="3"/>
    </row>
    <row r="2890" spans="124:124" ht="15" customHeight="1" x14ac:dyDescent="0.25">
      <c r="DT2890" s="3"/>
    </row>
    <row r="2891" spans="124:124" ht="15" customHeight="1" x14ac:dyDescent="0.25">
      <c r="DT2891" s="3"/>
    </row>
    <row r="2892" spans="124:124" ht="15" customHeight="1" x14ac:dyDescent="0.25">
      <c r="DT2892" s="3"/>
    </row>
    <row r="2893" spans="124:124" ht="15" customHeight="1" x14ac:dyDescent="0.25">
      <c r="DT2893" s="3"/>
    </row>
    <row r="2894" spans="124:124" ht="15" customHeight="1" x14ac:dyDescent="0.25">
      <c r="DT2894" s="3"/>
    </row>
    <row r="2895" spans="124:124" ht="15" customHeight="1" x14ac:dyDescent="0.25">
      <c r="DT2895" s="3"/>
    </row>
    <row r="2896" spans="124:124" ht="15" customHeight="1" x14ac:dyDescent="0.25">
      <c r="DT2896" s="3"/>
    </row>
    <row r="2897" spans="124:124" ht="15" customHeight="1" x14ac:dyDescent="0.25">
      <c r="DT2897" s="3"/>
    </row>
    <row r="2898" spans="124:124" ht="15" customHeight="1" x14ac:dyDescent="0.25">
      <c r="DT2898" s="3"/>
    </row>
    <row r="2899" spans="124:124" ht="15" customHeight="1" x14ac:dyDescent="0.25">
      <c r="DT2899" s="3"/>
    </row>
    <row r="2900" spans="124:124" ht="15" customHeight="1" x14ac:dyDescent="0.25">
      <c r="DT2900" s="3"/>
    </row>
    <row r="2901" spans="124:124" ht="15" customHeight="1" x14ac:dyDescent="0.25">
      <c r="DT2901" s="3"/>
    </row>
    <row r="2902" spans="124:124" ht="15" customHeight="1" x14ac:dyDescent="0.25">
      <c r="DT2902" s="3"/>
    </row>
    <row r="2903" spans="124:124" ht="15" customHeight="1" x14ac:dyDescent="0.25">
      <c r="DT2903" s="3"/>
    </row>
    <row r="2904" spans="124:124" ht="15" customHeight="1" x14ac:dyDescent="0.25">
      <c r="DT2904" s="3"/>
    </row>
    <row r="2905" spans="124:124" ht="15" customHeight="1" x14ac:dyDescent="0.25">
      <c r="DT2905" s="3"/>
    </row>
    <row r="2906" spans="124:124" ht="15" customHeight="1" x14ac:dyDescent="0.25">
      <c r="DT2906" s="3"/>
    </row>
    <row r="2907" spans="124:124" ht="15" customHeight="1" x14ac:dyDescent="0.25">
      <c r="DT2907" s="3"/>
    </row>
    <row r="2908" spans="124:124" ht="15" customHeight="1" x14ac:dyDescent="0.25">
      <c r="DT2908" s="3"/>
    </row>
    <row r="2909" spans="124:124" ht="15" customHeight="1" x14ac:dyDescent="0.25">
      <c r="DT2909" s="3"/>
    </row>
    <row r="2910" spans="124:124" ht="15" customHeight="1" x14ac:dyDescent="0.25">
      <c r="DT2910" s="3"/>
    </row>
    <row r="2911" spans="124:124" ht="15" customHeight="1" x14ac:dyDescent="0.25">
      <c r="DT2911" s="3"/>
    </row>
    <row r="2912" spans="124:124" ht="15" customHeight="1" x14ac:dyDescent="0.25">
      <c r="DT2912" s="3"/>
    </row>
    <row r="2913" spans="124:124" ht="15" customHeight="1" x14ac:dyDescent="0.25">
      <c r="DT2913" s="3"/>
    </row>
    <row r="2914" spans="124:124" ht="15" customHeight="1" x14ac:dyDescent="0.25">
      <c r="DT2914" s="3"/>
    </row>
    <row r="2915" spans="124:124" ht="15" customHeight="1" x14ac:dyDescent="0.25">
      <c r="DT2915" s="3"/>
    </row>
    <row r="2916" spans="124:124" ht="15" customHeight="1" x14ac:dyDescent="0.25">
      <c r="DT2916" s="3"/>
    </row>
    <row r="2917" spans="124:124" ht="15" customHeight="1" x14ac:dyDescent="0.25">
      <c r="DT2917" s="3"/>
    </row>
    <row r="2918" spans="124:124" ht="15" customHeight="1" x14ac:dyDescent="0.25">
      <c r="DT2918" s="3"/>
    </row>
    <row r="2919" spans="124:124" ht="15" customHeight="1" x14ac:dyDescent="0.25">
      <c r="DT2919" s="3"/>
    </row>
    <row r="2920" spans="124:124" ht="15" customHeight="1" x14ac:dyDescent="0.25">
      <c r="DT2920" s="3"/>
    </row>
    <row r="2921" spans="124:124" ht="15" customHeight="1" x14ac:dyDescent="0.25">
      <c r="DT2921" s="3"/>
    </row>
    <row r="2922" spans="124:124" ht="15" customHeight="1" x14ac:dyDescent="0.25">
      <c r="DT2922" s="3"/>
    </row>
    <row r="2923" spans="124:124" ht="15" customHeight="1" x14ac:dyDescent="0.25">
      <c r="DT2923" s="3"/>
    </row>
    <row r="2924" spans="124:124" ht="15" customHeight="1" x14ac:dyDescent="0.25">
      <c r="DT2924" s="3"/>
    </row>
    <row r="2925" spans="124:124" ht="15" customHeight="1" x14ac:dyDescent="0.25">
      <c r="DT2925" s="3"/>
    </row>
    <row r="2926" spans="124:124" ht="15" customHeight="1" x14ac:dyDescent="0.25">
      <c r="DT2926" s="3"/>
    </row>
    <row r="2927" spans="124:124" ht="15" customHeight="1" x14ac:dyDescent="0.25">
      <c r="DT2927" s="3"/>
    </row>
    <row r="2928" spans="124:124" ht="15" customHeight="1" x14ac:dyDescent="0.25">
      <c r="DT2928" s="3"/>
    </row>
    <row r="2929" spans="124:124" ht="15" customHeight="1" x14ac:dyDescent="0.25">
      <c r="DT2929" s="3"/>
    </row>
    <row r="2930" spans="124:124" ht="15" customHeight="1" x14ac:dyDescent="0.25">
      <c r="DT2930" s="3"/>
    </row>
    <row r="2931" spans="124:124" ht="15" customHeight="1" x14ac:dyDescent="0.25">
      <c r="DT2931" s="3"/>
    </row>
    <row r="2932" spans="124:124" ht="15" customHeight="1" x14ac:dyDescent="0.25">
      <c r="DT2932" s="3"/>
    </row>
    <row r="2933" spans="124:124" ht="15" customHeight="1" x14ac:dyDescent="0.25">
      <c r="DT2933" s="3"/>
    </row>
    <row r="2934" spans="124:124" ht="15" customHeight="1" x14ac:dyDescent="0.25">
      <c r="DT2934" s="3"/>
    </row>
    <row r="2935" spans="124:124" ht="15" customHeight="1" x14ac:dyDescent="0.25">
      <c r="DT2935" s="3"/>
    </row>
    <row r="2936" spans="124:124" ht="15" customHeight="1" x14ac:dyDescent="0.25">
      <c r="DT2936" s="3"/>
    </row>
    <row r="2937" spans="124:124" ht="15" customHeight="1" x14ac:dyDescent="0.25">
      <c r="DT2937" s="3"/>
    </row>
    <row r="2938" spans="124:124" ht="15" customHeight="1" x14ac:dyDescent="0.25">
      <c r="DT2938" s="3"/>
    </row>
    <row r="2939" spans="124:124" ht="15" customHeight="1" x14ac:dyDescent="0.25">
      <c r="DT2939" s="3"/>
    </row>
    <row r="2940" spans="124:124" ht="15" customHeight="1" x14ac:dyDescent="0.25">
      <c r="DT2940" s="3"/>
    </row>
    <row r="2941" spans="124:124" ht="15" customHeight="1" x14ac:dyDescent="0.25">
      <c r="DT2941" s="3"/>
    </row>
    <row r="2942" spans="124:124" ht="15" customHeight="1" x14ac:dyDescent="0.25">
      <c r="DT2942" s="3"/>
    </row>
    <row r="2943" spans="124:124" ht="15" customHeight="1" x14ac:dyDescent="0.25">
      <c r="DT2943" s="3"/>
    </row>
    <row r="2944" spans="124:124" ht="15" customHeight="1" x14ac:dyDescent="0.25">
      <c r="DT2944" s="3"/>
    </row>
    <row r="2945" spans="124:124" ht="15" customHeight="1" x14ac:dyDescent="0.25">
      <c r="DT2945" s="3"/>
    </row>
    <row r="2946" spans="124:124" ht="15" customHeight="1" x14ac:dyDescent="0.25">
      <c r="DT2946" s="3"/>
    </row>
    <row r="2947" spans="124:124" ht="15" customHeight="1" x14ac:dyDescent="0.25">
      <c r="DT2947" s="3"/>
    </row>
    <row r="2948" spans="124:124" ht="15" customHeight="1" x14ac:dyDescent="0.25">
      <c r="DT2948" s="3"/>
    </row>
    <row r="2949" spans="124:124" ht="15" customHeight="1" x14ac:dyDescent="0.25">
      <c r="DT2949" s="3"/>
    </row>
    <row r="2950" spans="124:124" ht="15" customHeight="1" x14ac:dyDescent="0.25">
      <c r="DT2950" s="3"/>
    </row>
  </sheetData>
  <mergeCells count="41">
    <mergeCell ref="E22:J22"/>
    <mergeCell ref="K22:S22"/>
    <mergeCell ref="A11:I11"/>
    <mergeCell ref="J11:AC11"/>
    <mergeCell ref="A13:A17"/>
    <mergeCell ref="B13:B17"/>
    <mergeCell ref="C15:C16"/>
    <mergeCell ref="D15:D16"/>
    <mergeCell ref="K20:S20"/>
    <mergeCell ref="EX10:EX12"/>
    <mergeCell ref="EY10:EY12"/>
    <mergeCell ref="E20:J20"/>
    <mergeCell ref="E21:J21"/>
    <mergeCell ref="K21:S21"/>
    <mergeCell ref="A8:F8"/>
    <mergeCell ref="G8:FC8"/>
    <mergeCell ref="A10:I10"/>
    <mergeCell ref="EZ10:EZ12"/>
    <mergeCell ref="FA10:FA12"/>
    <mergeCell ref="FB10:FB12"/>
    <mergeCell ref="FC10:FC12"/>
    <mergeCell ref="AD11:BG11"/>
    <mergeCell ref="BH11:CK11"/>
    <mergeCell ref="CL11:DO11"/>
    <mergeCell ref="DP11:ES11"/>
    <mergeCell ref="J10:ES10"/>
    <mergeCell ref="ET10:ET12"/>
    <mergeCell ref="EU10:EU12"/>
    <mergeCell ref="EV10:EV12"/>
    <mergeCell ref="EW10:EW12"/>
    <mergeCell ref="A5:F5"/>
    <mergeCell ref="G5:FC5"/>
    <mergeCell ref="A6:F6"/>
    <mergeCell ref="G6:FC6"/>
    <mergeCell ref="A7:F7"/>
    <mergeCell ref="G7:FC7"/>
    <mergeCell ref="A2:F4"/>
    <mergeCell ref="G2:FC2"/>
    <mergeCell ref="G3:FC3"/>
    <mergeCell ref="G4:ES4"/>
    <mergeCell ref="ET4:FC4"/>
  </mergeCells>
  <dataValidations count="2">
    <dataValidation type="custom" allowBlank="1" showErrorMessage="1" sqref="EY16:EY17 EY13:EY14" xr:uid="{00000000-0002-0000-0000-000000000000}">
      <formula1>LTE(LEN(EY13),(3000))</formula1>
    </dataValidation>
    <dataValidation type="custom" allowBlank="1" showErrorMessage="1" sqref="EZ13:FC17" xr:uid="{00000000-0002-0000-0000-000001000000}">
      <formula1>LTE(LEN(EZ13),(500))</formula1>
    </dataValidation>
  </dataValidations>
  <printOptions horizontalCentered="1" verticalCentered="1"/>
  <pageMargins left="0" right="0" top="0.55118110236220474" bottom="0" header="0" footer="0"/>
  <pageSetup scale="2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2457"/>
  <sheetViews>
    <sheetView showGridLines="0" zoomScale="53" zoomScaleNormal="53" workbookViewId="0">
      <selection activeCell="ER80" sqref="ER80:FA82"/>
    </sheetView>
  </sheetViews>
  <sheetFormatPr baseColWidth="10" defaultColWidth="14.42578125" defaultRowHeight="15" customHeight="1" x14ac:dyDescent="0.25"/>
  <cols>
    <col min="1" max="1" width="13.5703125" customWidth="1"/>
    <col min="2" max="2" width="5.7109375" customWidth="1"/>
    <col min="3" max="3" width="21" customWidth="1"/>
    <col min="4" max="4" width="16.140625" customWidth="1"/>
    <col min="5" max="5" width="12.28515625" customWidth="1"/>
    <col min="6" max="6" width="14.42578125" customWidth="1"/>
    <col min="7" max="7" width="27.7109375" customWidth="1"/>
    <col min="8" max="8" width="27.7109375" hidden="1" customWidth="1"/>
    <col min="9" max="10" width="15.7109375" hidden="1" customWidth="1"/>
    <col min="11" max="20" width="22.42578125" hidden="1" customWidth="1"/>
    <col min="21" max="21" width="18.42578125" hidden="1" customWidth="1"/>
    <col min="22" max="22" width="20.7109375" hidden="1" customWidth="1"/>
    <col min="23" max="23" width="21.7109375" hidden="1" customWidth="1"/>
    <col min="24" max="24" width="20.42578125" hidden="1" customWidth="1"/>
    <col min="25" max="25" width="22.28515625" hidden="1" customWidth="1"/>
    <col min="26" max="26" width="24.140625" customWidth="1"/>
    <col min="27" max="27" width="23.140625" customWidth="1"/>
    <col min="28" max="28" width="26.28515625" hidden="1" customWidth="1"/>
    <col min="29" max="30" width="23.7109375" hidden="1" customWidth="1"/>
    <col min="31" max="32" width="25.7109375" hidden="1" customWidth="1"/>
    <col min="33" max="34" width="26.28515625" hidden="1" customWidth="1"/>
    <col min="35" max="36" width="24.28515625" hidden="1" customWidth="1"/>
    <col min="37" max="37" width="21.7109375" hidden="1" customWidth="1"/>
    <col min="38" max="38" width="22.42578125" hidden="1" customWidth="1"/>
    <col min="39" max="39" width="27.7109375" hidden="1" customWidth="1"/>
    <col min="40" max="40" width="40.140625" hidden="1" customWidth="1"/>
    <col min="41" max="41" width="28.7109375" hidden="1" customWidth="1"/>
    <col min="42" max="42" width="27.140625" hidden="1" customWidth="1"/>
    <col min="43" max="43" width="24" hidden="1" customWidth="1"/>
    <col min="44" max="44" width="22.28515625" hidden="1" customWidth="1"/>
    <col min="45" max="45" width="22.140625" hidden="1" customWidth="1"/>
    <col min="46" max="46" width="22.42578125" hidden="1" customWidth="1"/>
    <col min="47" max="47" width="21.140625" hidden="1" customWidth="1"/>
    <col min="48" max="48" width="22.7109375" hidden="1" customWidth="1"/>
    <col min="49" max="49" width="24" hidden="1" customWidth="1"/>
    <col min="50" max="50" width="21.7109375" hidden="1" customWidth="1"/>
    <col min="51" max="51" width="23.28515625" hidden="1" customWidth="1"/>
    <col min="52" max="52" width="21.7109375" hidden="1" customWidth="1"/>
    <col min="53" max="53" width="21.28515625" hidden="1" customWidth="1"/>
    <col min="54" max="54" width="24.7109375" hidden="1" customWidth="1"/>
    <col min="55" max="55" width="23.42578125" hidden="1" customWidth="1"/>
    <col min="56" max="57" width="24.85546875" customWidth="1"/>
    <col min="58" max="58" width="30.42578125" hidden="1" customWidth="1"/>
    <col min="59" max="59" width="27.42578125" hidden="1" customWidth="1"/>
    <col min="60" max="60" width="30.42578125" hidden="1" customWidth="1"/>
    <col min="61" max="61" width="24.7109375" hidden="1" customWidth="1"/>
    <col min="62" max="62" width="25.42578125" hidden="1" customWidth="1"/>
    <col min="63" max="64" width="26.7109375" hidden="1" customWidth="1"/>
    <col min="65" max="65" width="28.7109375" hidden="1" customWidth="1"/>
    <col min="66" max="66" width="22.140625" hidden="1" customWidth="1"/>
    <col min="67" max="67" width="22.7109375" hidden="1" customWidth="1"/>
    <col min="68" max="68" width="23.7109375" hidden="1" customWidth="1"/>
    <col min="69" max="69" width="19.28515625" hidden="1" customWidth="1"/>
    <col min="70" max="70" width="25.42578125" hidden="1" customWidth="1"/>
    <col min="71" max="71" width="25.7109375" hidden="1" customWidth="1"/>
    <col min="72" max="72" width="26.42578125" hidden="1" customWidth="1"/>
    <col min="73" max="73" width="22.7109375" hidden="1" customWidth="1"/>
    <col min="74" max="74" width="25.28515625" hidden="1" customWidth="1"/>
    <col min="75" max="75" width="26.28515625" hidden="1" customWidth="1"/>
    <col min="76" max="76" width="29.140625" hidden="1" customWidth="1"/>
    <col min="77" max="77" width="22.7109375" hidden="1" customWidth="1"/>
    <col min="78" max="78" width="22.42578125" hidden="1" customWidth="1"/>
    <col min="79" max="79" width="22.28515625" hidden="1" customWidth="1"/>
    <col min="80" max="80" width="27.28515625" hidden="1" customWidth="1"/>
    <col min="81" max="81" width="24.7109375" hidden="1" customWidth="1"/>
    <col min="82" max="82" width="20.7109375" hidden="1" customWidth="1"/>
    <col min="83" max="83" width="27.7109375" hidden="1" customWidth="1"/>
    <col min="84" max="84" width="32" hidden="1" customWidth="1"/>
    <col min="85" max="85" width="18" hidden="1" customWidth="1"/>
    <col min="86" max="86" width="23.7109375" customWidth="1"/>
    <col min="87" max="87" width="26.5703125" customWidth="1"/>
    <col min="88" max="88" width="23.7109375" hidden="1" customWidth="1"/>
    <col min="89" max="98" width="21.42578125" hidden="1" customWidth="1"/>
    <col min="99" max="100" width="21" hidden="1" customWidth="1"/>
    <col min="101" max="104" width="19" hidden="1" customWidth="1"/>
    <col min="105" max="105" width="19.7109375" hidden="1" customWidth="1"/>
    <col min="106" max="106" width="19.42578125" hidden="1" customWidth="1"/>
    <col min="107" max="110" width="26.140625" hidden="1" customWidth="1"/>
    <col min="111" max="111" width="27" hidden="1" customWidth="1"/>
    <col min="112" max="112" width="23.28515625" hidden="1" customWidth="1"/>
    <col min="113" max="115" width="27.140625" hidden="1" customWidth="1"/>
    <col min="116" max="116" width="25.42578125" customWidth="1"/>
    <col min="117" max="118" width="24.140625" customWidth="1"/>
    <col min="119" max="119" width="19" customWidth="1"/>
    <col min="120" max="120" width="21.28515625" customWidth="1"/>
    <col min="121" max="121" width="21.140625" customWidth="1"/>
    <col min="122" max="122" width="21" style="626" customWidth="1"/>
    <col min="123" max="123" width="17.7109375" customWidth="1"/>
    <col min="124" max="124" width="19.42578125" customWidth="1"/>
    <col min="125" max="125" width="20.42578125" customWidth="1"/>
    <col min="126" max="126" width="15.7109375" customWidth="1"/>
    <col min="127" max="127" width="20.7109375" customWidth="1"/>
    <col min="128" max="128" width="15.7109375" customWidth="1"/>
    <col min="129" max="129" width="22" customWidth="1"/>
    <col min="130" max="130" width="17.42578125" customWidth="1"/>
    <col min="131" max="142" width="15.7109375" hidden="1" customWidth="1"/>
    <col min="143" max="145" width="24" customWidth="1"/>
    <col min="146" max="146" width="22.140625" customWidth="1"/>
    <col min="147" max="147" width="23.28515625" customWidth="1"/>
    <col min="148" max="148" width="24.140625" customWidth="1"/>
    <col min="149" max="149" width="24.5703125" customWidth="1"/>
    <col min="150" max="150" width="23.7109375" customWidth="1"/>
    <col min="151" max="151" width="27" customWidth="1"/>
    <col min="152" max="152" width="20.5703125" customWidth="1"/>
    <col min="153" max="153" width="71.7109375" style="626" customWidth="1"/>
    <col min="154" max="154" width="12.140625" style="626" customWidth="1"/>
    <col min="155" max="155" width="15.5703125" style="626" customWidth="1"/>
    <col min="156" max="156" width="44" customWidth="1"/>
    <col min="157" max="157" width="22.140625" customWidth="1"/>
    <col min="158" max="158" width="11.7109375" customWidth="1"/>
    <col min="159" max="159" width="10.7109375" customWidth="1"/>
    <col min="160" max="160" width="15.7109375" customWidth="1"/>
  </cols>
  <sheetData>
    <row r="1" spans="1:160" ht="32.25" customHeight="1" x14ac:dyDescent="0.5">
      <c r="A1" s="735"/>
      <c r="B1" s="686"/>
      <c r="C1" s="686"/>
      <c r="D1" s="686"/>
      <c r="E1" s="687"/>
      <c r="F1" s="694" t="s">
        <v>0</v>
      </c>
      <c r="G1" s="695"/>
      <c r="H1" s="695"/>
      <c r="I1" s="695"/>
      <c r="J1" s="695"/>
      <c r="K1" s="695"/>
      <c r="L1" s="695"/>
      <c r="M1" s="695"/>
      <c r="N1" s="695"/>
      <c r="O1" s="695"/>
      <c r="P1" s="695"/>
      <c r="Q1" s="695"/>
      <c r="R1" s="695"/>
      <c r="S1" s="695"/>
      <c r="T1" s="695"/>
      <c r="U1" s="695"/>
      <c r="V1" s="695"/>
      <c r="W1" s="695"/>
      <c r="X1" s="695"/>
      <c r="Y1" s="695"/>
      <c r="Z1" s="695"/>
      <c r="AA1" s="695"/>
      <c r="AB1" s="695"/>
      <c r="AC1" s="695"/>
      <c r="AD1" s="695"/>
      <c r="AE1" s="695"/>
      <c r="AF1" s="695"/>
      <c r="AG1" s="695"/>
      <c r="AH1" s="695"/>
      <c r="AI1" s="695"/>
      <c r="AJ1" s="695"/>
      <c r="AK1" s="695"/>
      <c r="AL1" s="695"/>
      <c r="AM1" s="695"/>
      <c r="AN1" s="695"/>
      <c r="AO1" s="695"/>
      <c r="AP1" s="695"/>
      <c r="AQ1" s="695"/>
      <c r="AR1" s="695"/>
      <c r="AS1" s="695"/>
      <c r="AT1" s="695"/>
      <c r="AU1" s="695"/>
      <c r="AV1" s="695"/>
      <c r="AW1" s="695"/>
      <c r="AX1" s="695"/>
      <c r="AY1" s="695"/>
      <c r="AZ1" s="695"/>
      <c r="BA1" s="695"/>
      <c r="BB1" s="695"/>
      <c r="BC1" s="695"/>
      <c r="BD1" s="695"/>
      <c r="BE1" s="695"/>
      <c r="BF1" s="695"/>
      <c r="BG1" s="695"/>
      <c r="BH1" s="695"/>
      <c r="BI1" s="695"/>
      <c r="BJ1" s="695"/>
      <c r="BK1" s="695"/>
      <c r="BL1" s="695"/>
      <c r="BM1" s="695"/>
      <c r="BN1" s="695"/>
      <c r="BO1" s="695"/>
      <c r="BP1" s="695"/>
      <c r="BQ1" s="695"/>
      <c r="BR1" s="695"/>
      <c r="BS1" s="695"/>
      <c r="BT1" s="695"/>
      <c r="BU1" s="695"/>
      <c r="BV1" s="695"/>
      <c r="BW1" s="695"/>
      <c r="BX1" s="695"/>
      <c r="BY1" s="695"/>
      <c r="BZ1" s="695"/>
      <c r="CA1" s="695"/>
      <c r="CB1" s="695"/>
      <c r="CC1" s="695"/>
      <c r="CD1" s="695"/>
      <c r="CE1" s="695"/>
      <c r="CF1" s="695"/>
      <c r="CG1" s="695"/>
      <c r="CH1" s="695"/>
      <c r="CI1" s="695"/>
      <c r="CJ1" s="695"/>
      <c r="CK1" s="695"/>
      <c r="CL1" s="695"/>
      <c r="CM1" s="695"/>
      <c r="CN1" s="695"/>
      <c r="CO1" s="695"/>
      <c r="CP1" s="695"/>
      <c r="CQ1" s="695"/>
      <c r="CR1" s="695"/>
      <c r="CS1" s="695"/>
      <c r="CT1" s="695"/>
      <c r="CU1" s="695"/>
      <c r="CV1" s="695"/>
      <c r="CW1" s="695"/>
      <c r="CX1" s="695"/>
      <c r="CY1" s="695"/>
      <c r="CZ1" s="695"/>
      <c r="DA1" s="695"/>
      <c r="DB1" s="695"/>
      <c r="DC1" s="695"/>
      <c r="DD1" s="695"/>
      <c r="DE1" s="695"/>
      <c r="DF1" s="695"/>
      <c r="DG1" s="695"/>
      <c r="DH1" s="695"/>
      <c r="DI1" s="695"/>
      <c r="DJ1" s="695"/>
      <c r="DK1" s="695"/>
      <c r="DL1" s="695"/>
      <c r="DM1" s="695"/>
      <c r="DN1" s="695"/>
      <c r="DO1" s="695"/>
      <c r="DP1" s="695"/>
      <c r="DQ1" s="695"/>
      <c r="DR1" s="695"/>
      <c r="DS1" s="695"/>
      <c r="DT1" s="695"/>
      <c r="DU1" s="695"/>
      <c r="DV1" s="695"/>
      <c r="DW1" s="695"/>
      <c r="DX1" s="695"/>
      <c r="DY1" s="695"/>
      <c r="DZ1" s="695"/>
      <c r="EA1" s="695"/>
      <c r="EB1" s="695"/>
      <c r="EC1" s="695"/>
      <c r="ED1" s="695"/>
      <c r="EE1" s="695"/>
      <c r="EF1" s="695"/>
      <c r="EG1" s="695"/>
      <c r="EH1" s="695"/>
      <c r="EI1" s="695"/>
      <c r="EJ1" s="695"/>
      <c r="EK1" s="695"/>
      <c r="EL1" s="695"/>
      <c r="EM1" s="695"/>
      <c r="EN1" s="695"/>
      <c r="EO1" s="695"/>
      <c r="EP1" s="695"/>
      <c r="EQ1" s="695"/>
      <c r="ER1" s="695"/>
      <c r="ES1" s="695"/>
      <c r="ET1" s="695"/>
      <c r="EU1" s="695"/>
      <c r="EV1" s="695"/>
      <c r="EW1" s="695"/>
      <c r="EX1" s="695"/>
      <c r="EY1" s="695"/>
      <c r="EZ1" s="695"/>
      <c r="FA1" s="736"/>
      <c r="FB1" s="62"/>
      <c r="FC1" s="5"/>
      <c r="FD1" s="5"/>
    </row>
    <row r="2" spans="1:160" ht="31.5" customHeight="1" x14ac:dyDescent="0.5">
      <c r="A2" s="688"/>
      <c r="B2" s="689"/>
      <c r="C2" s="689"/>
      <c r="D2" s="689"/>
      <c r="E2" s="690"/>
      <c r="F2" s="737" t="s">
        <v>203</v>
      </c>
      <c r="G2" s="738"/>
      <c r="H2" s="738"/>
      <c r="I2" s="738"/>
      <c r="J2" s="738"/>
      <c r="K2" s="738"/>
      <c r="L2" s="738"/>
      <c r="M2" s="738"/>
      <c r="N2" s="738"/>
      <c r="O2" s="738"/>
      <c r="P2" s="738"/>
      <c r="Q2" s="738"/>
      <c r="R2" s="738"/>
      <c r="S2" s="738"/>
      <c r="T2" s="738"/>
      <c r="U2" s="738"/>
      <c r="V2" s="738"/>
      <c r="W2" s="738"/>
      <c r="X2" s="738"/>
      <c r="Y2" s="738"/>
      <c r="Z2" s="738"/>
      <c r="AA2" s="738"/>
      <c r="AB2" s="738"/>
      <c r="AC2" s="738"/>
      <c r="AD2" s="738"/>
      <c r="AE2" s="738"/>
      <c r="AF2" s="738"/>
      <c r="AG2" s="738"/>
      <c r="AH2" s="738"/>
      <c r="AI2" s="738"/>
      <c r="AJ2" s="738"/>
      <c r="AK2" s="738"/>
      <c r="AL2" s="738"/>
      <c r="AM2" s="738"/>
      <c r="AN2" s="738"/>
      <c r="AO2" s="738"/>
      <c r="AP2" s="738"/>
      <c r="AQ2" s="738"/>
      <c r="AR2" s="738"/>
      <c r="AS2" s="738"/>
      <c r="AT2" s="738"/>
      <c r="AU2" s="738"/>
      <c r="AV2" s="738"/>
      <c r="AW2" s="738"/>
      <c r="AX2" s="738"/>
      <c r="AY2" s="738"/>
      <c r="AZ2" s="738"/>
      <c r="BA2" s="738"/>
      <c r="BB2" s="738"/>
      <c r="BC2" s="738"/>
      <c r="BD2" s="738"/>
      <c r="BE2" s="738"/>
      <c r="BF2" s="738"/>
      <c r="BG2" s="738"/>
      <c r="BH2" s="738"/>
      <c r="BI2" s="738"/>
      <c r="BJ2" s="738"/>
      <c r="BK2" s="738"/>
      <c r="BL2" s="738"/>
      <c r="BM2" s="738"/>
      <c r="BN2" s="738"/>
      <c r="BO2" s="738"/>
      <c r="BP2" s="738"/>
      <c r="BQ2" s="738"/>
      <c r="BR2" s="738"/>
      <c r="BS2" s="738"/>
      <c r="BT2" s="738"/>
      <c r="BU2" s="738"/>
      <c r="BV2" s="738"/>
      <c r="BW2" s="738"/>
      <c r="BX2" s="738"/>
      <c r="BY2" s="738"/>
      <c r="BZ2" s="738"/>
      <c r="CA2" s="738"/>
      <c r="CB2" s="738"/>
      <c r="CC2" s="738"/>
      <c r="CD2" s="738"/>
      <c r="CE2" s="738"/>
      <c r="CF2" s="738"/>
      <c r="CG2" s="738"/>
      <c r="CH2" s="738"/>
      <c r="CI2" s="738"/>
      <c r="CJ2" s="738"/>
      <c r="CK2" s="738"/>
      <c r="CL2" s="738"/>
      <c r="CM2" s="738"/>
      <c r="CN2" s="738"/>
      <c r="CO2" s="738"/>
      <c r="CP2" s="738"/>
      <c r="CQ2" s="738"/>
      <c r="CR2" s="738"/>
      <c r="CS2" s="738"/>
      <c r="CT2" s="738"/>
      <c r="CU2" s="738"/>
      <c r="CV2" s="738"/>
      <c r="CW2" s="738"/>
      <c r="CX2" s="738"/>
      <c r="CY2" s="738"/>
      <c r="CZ2" s="738"/>
      <c r="DA2" s="738"/>
      <c r="DB2" s="738"/>
      <c r="DC2" s="738"/>
      <c r="DD2" s="738"/>
      <c r="DE2" s="738"/>
      <c r="DF2" s="738"/>
      <c r="DG2" s="738"/>
      <c r="DH2" s="738"/>
      <c r="DI2" s="738"/>
      <c r="DJ2" s="738"/>
      <c r="DK2" s="738"/>
      <c r="DL2" s="738"/>
      <c r="DM2" s="738"/>
      <c r="DN2" s="738"/>
      <c r="DO2" s="738"/>
      <c r="DP2" s="738"/>
      <c r="DQ2" s="738"/>
      <c r="DR2" s="738"/>
      <c r="DS2" s="738"/>
      <c r="DT2" s="738"/>
      <c r="DU2" s="738"/>
      <c r="DV2" s="738"/>
      <c r="DW2" s="738"/>
      <c r="DX2" s="738"/>
      <c r="DY2" s="738"/>
      <c r="DZ2" s="738"/>
      <c r="EA2" s="738"/>
      <c r="EB2" s="738"/>
      <c r="EC2" s="738"/>
      <c r="ED2" s="738"/>
      <c r="EE2" s="738"/>
      <c r="EF2" s="738"/>
      <c r="EG2" s="738"/>
      <c r="EH2" s="738"/>
      <c r="EI2" s="738"/>
      <c r="EJ2" s="738"/>
      <c r="EK2" s="738"/>
      <c r="EL2" s="738"/>
      <c r="EM2" s="738"/>
      <c r="EN2" s="738"/>
      <c r="EO2" s="738"/>
      <c r="EP2" s="738"/>
      <c r="EQ2" s="738"/>
      <c r="ER2" s="738"/>
      <c r="ES2" s="738"/>
      <c r="ET2" s="738"/>
      <c r="EU2" s="738"/>
      <c r="EV2" s="738"/>
      <c r="EW2" s="738"/>
      <c r="EX2" s="738"/>
      <c r="EY2" s="738"/>
      <c r="EZ2" s="738"/>
      <c r="FA2" s="739"/>
      <c r="FB2" s="62"/>
      <c r="FC2" s="5"/>
      <c r="FD2" s="5"/>
    </row>
    <row r="3" spans="1:160" ht="30" customHeight="1" thickBot="1" x14ac:dyDescent="0.45">
      <c r="A3" s="691"/>
      <c r="B3" s="692"/>
      <c r="C3" s="692"/>
      <c r="D3" s="692"/>
      <c r="E3" s="693"/>
      <c r="F3" s="740" t="s">
        <v>2</v>
      </c>
      <c r="G3" s="701"/>
      <c r="H3" s="701"/>
      <c r="I3" s="701"/>
      <c r="J3" s="701"/>
      <c r="K3" s="701"/>
      <c r="L3" s="701"/>
      <c r="M3" s="701"/>
      <c r="N3" s="701"/>
      <c r="O3" s="701"/>
      <c r="P3" s="701"/>
      <c r="Q3" s="701"/>
      <c r="R3" s="701"/>
      <c r="S3" s="701"/>
      <c r="T3" s="701"/>
      <c r="U3" s="701"/>
      <c r="V3" s="701"/>
      <c r="W3" s="701"/>
      <c r="X3" s="701"/>
      <c r="Y3" s="701"/>
      <c r="Z3" s="701"/>
      <c r="AA3" s="701"/>
      <c r="AB3" s="701"/>
      <c r="AC3" s="701"/>
      <c r="AD3" s="701"/>
      <c r="AE3" s="701"/>
      <c r="AF3" s="701"/>
      <c r="AG3" s="701"/>
      <c r="AH3" s="701"/>
      <c r="AI3" s="701"/>
      <c r="AJ3" s="701"/>
      <c r="AK3" s="701"/>
      <c r="AL3" s="701"/>
      <c r="AM3" s="701"/>
      <c r="AN3" s="701"/>
      <c r="AO3" s="701"/>
      <c r="AP3" s="701"/>
      <c r="AQ3" s="701"/>
      <c r="AR3" s="701"/>
      <c r="AS3" s="701"/>
      <c r="AT3" s="701"/>
      <c r="AU3" s="701"/>
      <c r="AV3" s="701"/>
      <c r="AW3" s="701"/>
      <c r="AX3" s="701"/>
      <c r="AY3" s="701"/>
      <c r="AZ3" s="701"/>
      <c r="BA3" s="701"/>
      <c r="BB3" s="701"/>
      <c r="BC3" s="701"/>
      <c r="BD3" s="701"/>
      <c r="BE3" s="701"/>
      <c r="BF3" s="701"/>
      <c r="BG3" s="701"/>
      <c r="BH3" s="701"/>
      <c r="BI3" s="701"/>
      <c r="BJ3" s="701"/>
      <c r="BK3" s="701"/>
      <c r="BL3" s="701"/>
      <c r="BM3" s="701"/>
      <c r="BN3" s="701"/>
      <c r="BO3" s="701"/>
      <c r="BP3" s="701"/>
      <c r="BQ3" s="701"/>
      <c r="BR3" s="701"/>
      <c r="BS3" s="701"/>
      <c r="BT3" s="701"/>
      <c r="BU3" s="701"/>
      <c r="BV3" s="701"/>
      <c r="BW3" s="701"/>
      <c r="BX3" s="701"/>
      <c r="BY3" s="701"/>
      <c r="BZ3" s="701"/>
      <c r="CA3" s="701"/>
      <c r="CB3" s="701"/>
      <c r="CC3" s="701"/>
      <c r="CD3" s="701"/>
      <c r="CE3" s="701"/>
      <c r="CF3" s="701"/>
      <c r="CG3" s="701"/>
      <c r="CH3" s="701"/>
      <c r="CI3" s="701"/>
      <c r="CJ3" s="701"/>
      <c r="CK3" s="701"/>
      <c r="CL3" s="701"/>
      <c r="CM3" s="701"/>
      <c r="CN3" s="701"/>
      <c r="CO3" s="701"/>
      <c r="CP3" s="701"/>
      <c r="CQ3" s="701"/>
      <c r="CR3" s="701"/>
      <c r="CS3" s="701"/>
      <c r="CT3" s="701"/>
      <c r="CU3" s="701"/>
      <c r="CV3" s="701"/>
      <c r="CW3" s="701"/>
      <c r="CX3" s="701"/>
      <c r="CY3" s="701"/>
      <c r="CZ3" s="701"/>
      <c r="DA3" s="701"/>
      <c r="DB3" s="701"/>
      <c r="DC3" s="701"/>
      <c r="DD3" s="701"/>
      <c r="DE3" s="701"/>
      <c r="DF3" s="701"/>
      <c r="DG3" s="701"/>
      <c r="DH3" s="701"/>
      <c r="DI3" s="701"/>
      <c r="DJ3" s="701"/>
      <c r="DK3" s="701"/>
      <c r="DL3" s="701"/>
      <c r="DM3" s="701"/>
      <c r="DN3" s="701"/>
      <c r="DO3" s="701"/>
      <c r="DP3" s="701"/>
      <c r="DQ3" s="701"/>
      <c r="DR3" s="701"/>
      <c r="DS3" s="701"/>
      <c r="DT3" s="701"/>
      <c r="DU3" s="701"/>
      <c r="DV3" s="701"/>
      <c r="DW3" s="701"/>
      <c r="DX3" s="701"/>
      <c r="DY3" s="701"/>
      <c r="DZ3" s="701"/>
      <c r="EA3" s="701"/>
      <c r="EB3" s="701"/>
      <c r="EC3" s="701"/>
      <c r="ED3" s="701"/>
      <c r="EE3" s="701"/>
      <c r="EF3" s="701"/>
      <c r="EG3" s="701"/>
      <c r="EH3" s="701"/>
      <c r="EI3" s="701"/>
      <c r="EJ3" s="701"/>
      <c r="EK3" s="701"/>
      <c r="EL3" s="701"/>
      <c r="EM3" s="701"/>
      <c r="EN3" s="701"/>
      <c r="EO3" s="701"/>
      <c r="EP3" s="701"/>
      <c r="EQ3" s="701"/>
      <c r="ER3" s="741" t="s">
        <v>204</v>
      </c>
      <c r="ES3" s="701"/>
      <c r="ET3" s="701"/>
      <c r="EU3" s="701"/>
      <c r="EV3" s="701"/>
      <c r="EW3" s="701"/>
      <c r="EX3" s="701"/>
      <c r="EY3" s="701"/>
      <c r="EZ3" s="701"/>
      <c r="FA3" s="704"/>
      <c r="FB3" s="63"/>
      <c r="FC3" s="6"/>
      <c r="FD3" s="6"/>
    </row>
    <row r="4" spans="1:160" ht="37.5" customHeight="1" thickBot="1" x14ac:dyDescent="0.3">
      <c r="A4" s="745" t="s">
        <v>4</v>
      </c>
      <c r="B4" s="701"/>
      <c r="C4" s="701"/>
      <c r="D4" s="701"/>
      <c r="E4" s="704"/>
      <c r="F4" s="746" t="s">
        <v>205</v>
      </c>
      <c r="G4" s="747"/>
      <c r="H4" s="747"/>
      <c r="I4" s="747"/>
      <c r="J4" s="747"/>
      <c r="K4" s="747"/>
      <c r="L4" s="747"/>
      <c r="M4" s="747"/>
      <c r="N4" s="747"/>
      <c r="O4" s="747"/>
      <c r="P4" s="747"/>
      <c r="Q4" s="747"/>
      <c r="R4" s="747"/>
      <c r="S4" s="747"/>
      <c r="T4" s="747"/>
      <c r="U4" s="747"/>
      <c r="V4" s="747"/>
      <c r="W4" s="747"/>
      <c r="X4" s="747"/>
      <c r="Y4" s="747"/>
      <c r="Z4" s="747"/>
      <c r="AA4" s="747"/>
      <c r="AB4" s="747"/>
      <c r="AC4" s="747"/>
      <c r="AD4" s="747"/>
      <c r="AE4" s="747"/>
      <c r="AF4" s="747"/>
      <c r="AG4" s="747"/>
      <c r="AH4" s="747"/>
      <c r="AI4" s="747"/>
      <c r="AJ4" s="747"/>
      <c r="AK4" s="747"/>
      <c r="AL4" s="747"/>
      <c r="AM4" s="747"/>
      <c r="AN4" s="747"/>
      <c r="AO4" s="747"/>
      <c r="AP4" s="747"/>
      <c r="AQ4" s="747"/>
      <c r="AR4" s="747"/>
      <c r="AS4" s="747"/>
      <c r="AT4" s="747"/>
      <c r="AU4" s="747"/>
      <c r="AV4" s="747"/>
      <c r="AW4" s="747"/>
      <c r="AX4" s="747"/>
      <c r="AY4" s="747"/>
      <c r="AZ4" s="747"/>
      <c r="BA4" s="747"/>
      <c r="BB4" s="747"/>
      <c r="BC4" s="747"/>
      <c r="BD4" s="747"/>
      <c r="BE4" s="747"/>
      <c r="BF4" s="747"/>
      <c r="BG4" s="747"/>
      <c r="BH4" s="747"/>
      <c r="BI4" s="747"/>
      <c r="BJ4" s="747"/>
      <c r="BK4" s="747"/>
      <c r="BL4" s="747"/>
      <c r="BM4" s="747"/>
      <c r="BN4" s="747"/>
      <c r="BO4" s="747"/>
      <c r="BP4" s="747"/>
      <c r="BQ4" s="747"/>
      <c r="BR4" s="747"/>
      <c r="BS4" s="747"/>
      <c r="BT4" s="747"/>
      <c r="BU4" s="747"/>
      <c r="BV4" s="747"/>
      <c r="BW4" s="747"/>
      <c r="BX4" s="747"/>
      <c r="BY4" s="747"/>
      <c r="BZ4" s="747"/>
      <c r="CA4" s="747"/>
      <c r="CB4" s="747"/>
      <c r="CC4" s="747"/>
      <c r="CD4" s="747"/>
      <c r="CE4" s="747"/>
      <c r="CF4" s="747"/>
      <c r="CG4" s="747"/>
      <c r="CH4" s="747"/>
      <c r="CI4" s="747"/>
      <c r="CJ4" s="747"/>
      <c r="CK4" s="747"/>
      <c r="CL4" s="747"/>
      <c r="CM4" s="747"/>
      <c r="CN4" s="747"/>
      <c r="CO4" s="747"/>
      <c r="CP4" s="747"/>
      <c r="CQ4" s="747"/>
      <c r="CR4" s="747"/>
      <c r="CS4" s="747"/>
      <c r="CT4" s="747"/>
      <c r="CU4" s="747"/>
      <c r="CV4" s="748"/>
      <c r="CW4" s="742"/>
      <c r="CX4" s="743"/>
      <c r="CY4" s="743"/>
      <c r="CZ4" s="743"/>
      <c r="DA4" s="743"/>
      <c r="DB4" s="743"/>
      <c r="DC4" s="743"/>
      <c r="DD4" s="743"/>
      <c r="DE4" s="743"/>
      <c r="DF4" s="743"/>
      <c r="DG4" s="743"/>
      <c r="DH4" s="743"/>
      <c r="DI4" s="743"/>
      <c r="DJ4" s="743"/>
      <c r="DK4" s="743"/>
      <c r="DL4" s="743"/>
      <c r="DM4" s="743"/>
      <c r="DN4" s="743"/>
      <c r="DO4" s="744"/>
      <c r="DP4" s="742" t="s">
        <v>205</v>
      </c>
      <c r="DQ4" s="743"/>
      <c r="DR4" s="743"/>
      <c r="DS4" s="743"/>
      <c r="DT4" s="743"/>
      <c r="DU4" s="743"/>
      <c r="DV4" s="743"/>
      <c r="DW4" s="743"/>
      <c r="DX4" s="743"/>
      <c r="DY4" s="743"/>
      <c r="DZ4" s="743"/>
      <c r="EA4" s="743"/>
      <c r="EB4" s="743"/>
      <c r="EC4" s="743"/>
      <c r="ED4" s="743"/>
      <c r="EE4" s="743"/>
      <c r="EF4" s="743"/>
      <c r="EG4" s="743"/>
      <c r="EH4" s="744"/>
      <c r="EI4" s="742" t="s">
        <v>206</v>
      </c>
      <c r="EJ4" s="743"/>
      <c r="EK4" s="743"/>
      <c r="EL4" s="743"/>
      <c r="EM4" s="743"/>
      <c r="EN4" s="743"/>
      <c r="EO4" s="743"/>
      <c r="EP4" s="743"/>
      <c r="EQ4" s="743"/>
      <c r="ER4" s="743"/>
      <c r="ES4" s="743"/>
      <c r="ET4" s="743"/>
      <c r="EU4" s="743"/>
      <c r="EV4" s="743"/>
      <c r="EW4" s="743"/>
      <c r="EX4" s="743"/>
      <c r="EY4" s="743"/>
      <c r="EZ4" s="743"/>
      <c r="FA4" s="744"/>
      <c r="FB4" s="1"/>
    </row>
    <row r="5" spans="1:160" ht="36" customHeight="1" thickBot="1" x14ac:dyDescent="0.3">
      <c r="A5" s="745" t="s">
        <v>5</v>
      </c>
      <c r="B5" s="701"/>
      <c r="C5" s="701"/>
      <c r="D5" s="701"/>
      <c r="E5" s="704"/>
      <c r="F5" s="706" t="str">
        <f>+GESTIÓN!G6</f>
        <v>Proyecto 7794 - Fortalecimiento de la gestión ambiental sectorial, el ecourbanismo y cambio climático en el D.C.</v>
      </c>
      <c r="G5" s="701"/>
      <c r="H5" s="701"/>
      <c r="I5" s="701"/>
      <c r="J5" s="701"/>
      <c r="K5" s="701"/>
      <c r="L5" s="701"/>
      <c r="M5" s="701"/>
      <c r="N5" s="701"/>
      <c r="O5" s="701"/>
      <c r="P5" s="701"/>
      <c r="Q5" s="701"/>
      <c r="R5" s="701"/>
      <c r="S5" s="701"/>
      <c r="T5" s="701"/>
      <c r="U5" s="701"/>
      <c r="V5" s="701"/>
      <c r="W5" s="701"/>
      <c r="X5" s="701"/>
      <c r="Y5" s="701"/>
      <c r="Z5" s="701"/>
      <c r="AA5" s="701"/>
      <c r="AB5" s="701"/>
      <c r="AC5" s="701"/>
      <c r="AD5" s="701"/>
      <c r="AE5" s="701"/>
      <c r="AF5" s="701"/>
      <c r="AG5" s="701"/>
      <c r="AH5" s="701"/>
      <c r="AI5" s="701"/>
      <c r="AJ5" s="701"/>
      <c r="AK5" s="701"/>
      <c r="AL5" s="701"/>
      <c r="AM5" s="701"/>
      <c r="AN5" s="701"/>
      <c r="AO5" s="701"/>
      <c r="AP5" s="701"/>
      <c r="AQ5" s="701"/>
      <c r="AR5" s="701"/>
      <c r="AS5" s="701"/>
      <c r="AT5" s="701"/>
      <c r="AU5" s="701"/>
      <c r="AV5" s="701"/>
      <c r="AW5" s="701"/>
      <c r="AX5" s="701"/>
      <c r="AY5" s="701"/>
      <c r="AZ5" s="701"/>
      <c r="BA5" s="701"/>
      <c r="BB5" s="701"/>
      <c r="BC5" s="701"/>
      <c r="BD5" s="701"/>
      <c r="BE5" s="701"/>
      <c r="BF5" s="701"/>
      <c r="BG5" s="701"/>
      <c r="BH5" s="701"/>
      <c r="BI5" s="701"/>
      <c r="BJ5" s="701"/>
      <c r="BK5" s="701"/>
      <c r="BL5" s="701"/>
      <c r="BM5" s="701"/>
      <c r="BN5" s="701"/>
      <c r="BO5" s="701"/>
      <c r="BP5" s="701"/>
      <c r="BQ5" s="701"/>
      <c r="BR5" s="701"/>
      <c r="BS5" s="701"/>
      <c r="BT5" s="701"/>
      <c r="BU5" s="701"/>
      <c r="BV5" s="701"/>
      <c r="BW5" s="701"/>
      <c r="BX5" s="701"/>
      <c r="BY5" s="701"/>
      <c r="BZ5" s="701"/>
      <c r="CA5" s="701"/>
      <c r="CB5" s="701"/>
      <c r="CC5" s="701"/>
      <c r="CD5" s="701"/>
      <c r="CE5" s="701"/>
      <c r="CF5" s="701"/>
      <c r="CG5" s="701"/>
      <c r="CH5" s="701"/>
      <c r="CI5" s="701"/>
      <c r="CJ5" s="701"/>
      <c r="CK5" s="701"/>
      <c r="CL5" s="701"/>
      <c r="CM5" s="701"/>
      <c r="CN5" s="701"/>
      <c r="CO5" s="701"/>
      <c r="CP5" s="701"/>
      <c r="CQ5" s="701"/>
      <c r="CR5" s="701"/>
      <c r="CS5" s="701"/>
      <c r="CT5" s="701"/>
      <c r="CU5" s="701"/>
      <c r="CV5" s="701"/>
      <c r="CW5" s="701"/>
      <c r="CX5" s="701"/>
      <c r="CY5" s="701"/>
      <c r="CZ5" s="701"/>
      <c r="DA5" s="701"/>
      <c r="DB5" s="701"/>
      <c r="DC5" s="701"/>
      <c r="DD5" s="701"/>
      <c r="DE5" s="701"/>
      <c r="DF5" s="701"/>
      <c r="DG5" s="701"/>
      <c r="DH5" s="701"/>
      <c r="DI5" s="701"/>
      <c r="DJ5" s="701"/>
      <c r="DK5" s="701"/>
      <c r="DL5" s="701"/>
      <c r="DM5" s="701"/>
      <c r="DN5" s="701"/>
      <c r="DO5" s="701"/>
      <c r="DP5" s="701"/>
      <c r="DQ5" s="701"/>
      <c r="DR5" s="701"/>
      <c r="DS5" s="701"/>
      <c r="DT5" s="701"/>
      <c r="DU5" s="701"/>
      <c r="DV5" s="701"/>
      <c r="DW5" s="701"/>
      <c r="DX5" s="701"/>
      <c r="DY5" s="701"/>
      <c r="DZ5" s="701"/>
      <c r="EA5" s="701"/>
      <c r="EB5" s="701"/>
      <c r="EC5" s="701"/>
      <c r="ED5" s="701"/>
      <c r="EE5" s="701"/>
      <c r="EF5" s="701"/>
      <c r="EG5" s="701"/>
      <c r="EH5" s="701"/>
      <c r="EI5" s="701"/>
      <c r="EJ5" s="701"/>
      <c r="EK5" s="701"/>
      <c r="EL5" s="701"/>
      <c r="EM5" s="701"/>
      <c r="EN5" s="701"/>
      <c r="EO5" s="701"/>
      <c r="EP5" s="701"/>
      <c r="EQ5" s="701"/>
      <c r="ER5" s="701"/>
      <c r="ES5" s="701"/>
      <c r="ET5" s="701"/>
      <c r="EU5" s="701"/>
      <c r="EV5" s="701"/>
      <c r="EW5" s="701"/>
      <c r="EX5" s="701"/>
      <c r="EY5" s="701"/>
      <c r="EZ5" s="701"/>
      <c r="FA5" s="704"/>
      <c r="FB5" s="1"/>
    </row>
    <row r="6" spans="1:160" ht="20.25" customHeight="1" x14ac:dyDescent="0.25">
      <c r="A6" s="1"/>
      <c r="B6" s="1"/>
      <c r="C6" s="1"/>
      <c r="D6" s="64"/>
      <c r="E6" s="64"/>
      <c r="F6" s="65"/>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7"/>
      <c r="AO6" s="66"/>
      <c r="AP6" s="68"/>
      <c r="AQ6" s="66"/>
      <c r="AR6" s="66"/>
      <c r="AS6" s="66"/>
      <c r="AT6" s="66"/>
      <c r="AU6" s="66"/>
      <c r="AV6" s="68"/>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8"/>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c r="EK6" s="66"/>
      <c r="EL6" s="66"/>
      <c r="EM6" s="66"/>
      <c r="EN6" s="66"/>
      <c r="EO6" s="66"/>
      <c r="EP6" s="66"/>
      <c r="EQ6" s="66"/>
      <c r="ER6" s="69"/>
      <c r="ES6" s="69"/>
      <c r="ET6" s="1"/>
      <c r="EU6" s="1"/>
      <c r="EV6" s="1"/>
      <c r="EW6" s="1"/>
      <c r="EX6" s="1"/>
      <c r="EY6" s="1"/>
      <c r="EZ6" s="1"/>
      <c r="FA6" s="1"/>
      <c r="FB6" s="1"/>
    </row>
    <row r="7" spans="1:160" ht="32.25" customHeight="1" thickBot="1" x14ac:dyDescent="0.3">
      <c r="A7" s="755" t="s">
        <v>207</v>
      </c>
      <c r="B7" s="686"/>
      <c r="C7" s="686"/>
      <c r="D7" s="686"/>
      <c r="E7" s="686"/>
      <c r="F7" s="686"/>
      <c r="G7" s="687"/>
      <c r="H7" s="754" t="s">
        <v>208</v>
      </c>
      <c r="I7" s="701"/>
      <c r="J7" s="701"/>
      <c r="K7" s="701"/>
      <c r="L7" s="701"/>
      <c r="M7" s="701"/>
      <c r="N7" s="701"/>
      <c r="O7" s="701"/>
      <c r="P7" s="701"/>
      <c r="Q7" s="701"/>
      <c r="R7" s="701"/>
      <c r="S7" s="701"/>
      <c r="T7" s="701"/>
      <c r="U7" s="701"/>
      <c r="V7" s="701"/>
      <c r="W7" s="701"/>
      <c r="X7" s="701"/>
      <c r="Y7" s="701"/>
      <c r="Z7" s="701"/>
      <c r="AA7" s="701"/>
      <c r="AB7" s="701"/>
      <c r="AC7" s="701"/>
      <c r="AD7" s="701"/>
      <c r="AE7" s="701"/>
      <c r="AF7" s="701"/>
      <c r="AG7" s="701"/>
      <c r="AH7" s="701"/>
      <c r="AI7" s="701"/>
      <c r="AJ7" s="701"/>
      <c r="AK7" s="701"/>
      <c r="AL7" s="701"/>
      <c r="AM7" s="701"/>
      <c r="AN7" s="701"/>
      <c r="AO7" s="701"/>
      <c r="AP7" s="701"/>
      <c r="AQ7" s="701"/>
      <c r="AR7" s="701"/>
      <c r="AS7" s="701"/>
      <c r="AT7" s="701"/>
      <c r="AU7" s="701"/>
      <c r="AV7" s="701"/>
      <c r="AW7" s="701"/>
      <c r="AX7" s="701"/>
      <c r="AY7" s="701"/>
      <c r="AZ7" s="701"/>
      <c r="BA7" s="701"/>
      <c r="BB7" s="701"/>
      <c r="BC7" s="701"/>
      <c r="BD7" s="701"/>
      <c r="BE7" s="701"/>
      <c r="BF7" s="701"/>
      <c r="BG7" s="701"/>
      <c r="BH7" s="701"/>
      <c r="BI7" s="701"/>
      <c r="BJ7" s="701"/>
      <c r="BK7" s="701"/>
      <c r="BL7" s="701"/>
      <c r="BM7" s="701"/>
      <c r="BN7" s="701"/>
      <c r="BO7" s="701"/>
      <c r="BP7" s="701"/>
      <c r="BQ7" s="701"/>
      <c r="BR7" s="701"/>
      <c r="BS7" s="701"/>
      <c r="BT7" s="701"/>
      <c r="BU7" s="701"/>
      <c r="BV7" s="701"/>
      <c r="BW7" s="701"/>
      <c r="BX7" s="701"/>
      <c r="BY7" s="701"/>
      <c r="BZ7" s="701"/>
      <c r="CA7" s="701"/>
      <c r="CB7" s="701"/>
      <c r="CC7" s="701"/>
      <c r="CD7" s="701"/>
      <c r="CE7" s="701"/>
      <c r="CF7" s="701"/>
      <c r="CG7" s="701"/>
      <c r="CH7" s="701"/>
      <c r="CI7" s="701"/>
      <c r="CJ7" s="701"/>
      <c r="CK7" s="701"/>
      <c r="CL7" s="701"/>
      <c r="CM7" s="701"/>
      <c r="CN7" s="701"/>
      <c r="CO7" s="701"/>
      <c r="CP7" s="701"/>
      <c r="CQ7" s="701"/>
      <c r="CR7" s="701"/>
      <c r="CS7" s="701"/>
      <c r="CT7" s="701"/>
      <c r="CU7" s="701"/>
      <c r="CV7" s="701"/>
      <c r="CW7" s="701"/>
      <c r="CX7" s="701"/>
      <c r="CY7" s="701"/>
      <c r="CZ7" s="701"/>
      <c r="DA7" s="701"/>
      <c r="DB7" s="701"/>
      <c r="DC7" s="701"/>
      <c r="DD7" s="701"/>
      <c r="DE7" s="701"/>
      <c r="DF7" s="701"/>
      <c r="DG7" s="701"/>
      <c r="DH7" s="701"/>
      <c r="DI7" s="701"/>
      <c r="DJ7" s="701"/>
      <c r="DK7" s="701"/>
      <c r="DL7" s="701"/>
      <c r="DM7" s="701"/>
      <c r="DN7" s="701"/>
      <c r="DO7" s="701"/>
      <c r="DP7" s="701"/>
      <c r="DQ7" s="701"/>
      <c r="DR7" s="701"/>
      <c r="DS7" s="701"/>
      <c r="DT7" s="701"/>
      <c r="DU7" s="701"/>
      <c r="DV7" s="701"/>
      <c r="DW7" s="701"/>
      <c r="DX7" s="701"/>
      <c r="DY7" s="701"/>
      <c r="DZ7" s="701"/>
      <c r="EA7" s="701"/>
      <c r="EB7" s="701"/>
      <c r="EC7" s="701"/>
      <c r="ED7" s="701"/>
      <c r="EE7" s="701"/>
      <c r="EF7" s="701"/>
      <c r="EG7" s="701"/>
      <c r="EH7" s="701"/>
      <c r="EI7" s="701"/>
      <c r="EJ7" s="701"/>
      <c r="EK7" s="701"/>
      <c r="EL7" s="701"/>
      <c r="EM7" s="701"/>
      <c r="EN7" s="701"/>
      <c r="EO7" s="701"/>
      <c r="EP7" s="701"/>
      <c r="EQ7" s="704"/>
      <c r="ER7" s="718" t="s">
        <v>13</v>
      </c>
      <c r="ES7" s="718" t="s">
        <v>14</v>
      </c>
      <c r="ET7" s="750" t="s">
        <v>15</v>
      </c>
      <c r="EU7" s="722" t="s">
        <v>209</v>
      </c>
      <c r="EV7" s="751" t="s">
        <v>17</v>
      </c>
      <c r="EW7" s="709" t="s">
        <v>1603</v>
      </c>
      <c r="EX7" s="709" t="s">
        <v>210</v>
      </c>
      <c r="EY7" s="709" t="s">
        <v>211</v>
      </c>
      <c r="EZ7" s="709" t="s">
        <v>212</v>
      </c>
      <c r="FA7" s="712" t="s">
        <v>213</v>
      </c>
    </row>
    <row r="8" spans="1:160" ht="34.5" customHeight="1" thickBot="1" x14ac:dyDescent="0.3">
      <c r="A8" s="691"/>
      <c r="B8" s="692"/>
      <c r="C8" s="692"/>
      <c r="D8" s="692"/>
      <c r="E8" s="692"/>
      <c r="F8" s="692"/>
      <c r="G8" s="860"/>
      <c r="H8" s="1128" t="s">
        <v>214</v>
      </c>
      <c r="I8" s="802"/>
      <c r="J8" s="802"/>
      <c r="K8" s="802"/>
      <c r="L8" s="802"/>
      <c r="M8" s="802"/>
      <c r="N8" s="802"/>
      <c r="O8" s="802"/>
      <c r="P8" s="802"/>
      <c r="Q8" s="802"/>
      <c r="R8" s="802"/>
      <c r="S8" s="802"/>
      <c r="T8" s="802"/>
      <c r="U8" s="802"/>
      <c r="V8" s="802"/>
      <c r="W8" s="802"/>
      <c r="X8" s="802"/>
      <c r="Y8" s="802"/>
      <c r="Z8" s="802"/>
      <c r="AA8" s="744"/>
      <c r="AB8" s="1128" t="s">
        <v>215</v>
      </c>
      <c r="AC8" s="802"/>
      <c r="AD8" s="802"/>
      <c r="AE8" s="802"/>
      <c r="AF8" s="802"/>
      <c r="AG8" s="802"/>
      <c r="AH8" s="802"/>
      <c r="AI8" s="802"/>
      <c r="AJ8" s="802"/>
      <c r="AK8" s="802"/>
      <c r="AL8" s="802"/>
      <c r="AM8" s="802"/>
      <c r="AN8" s="802"/>
      <c r="AO8" s="802"/>
      <c r="AP8" s="802"/>
      <c r="AQ8" s="802"/>
      <c r="AR8" s="802"/>
      <c r="AS8" s="802"/>
      <c r="AT8" s="802"/>
      <c r="AU8" s="802"/>
      <c r="AV8" s="802"/>
      <c r="AW8" s="802"/>
      <c r="AX8" s="802"/>
      <c r="AY8" s="802"/>
      <c r="AZ8" s="802"/>
      <c r="BA8" s="802"/>
      <c r="BB8" s="802"/>
      <c r="BC8" s="802"/>
      <c r="BD8" s="802"/>
      <c r="BE8" s="744"/>
      <c r="BF8" s="1128" t="s">
        <v>26</v>
      </c>
      <c r="BG8" s="802"/>
      <c r="BH8" s="802"/>
      <c r="BI8" s="802"/>
      <c r="BJ8" s="802"/>
      <c r="BK8" s="802"/>
      <c r="BL8" s="802"/>
      <c r="BM8" s="802"/>
      <c r="BN8" s="802"/>
      <c r="BO8" s="802"/>
      <c r="BP8" s="802"/>
      <c r="BQ8" s="802"/>
      <c r="BR8" s="802"/>
      <c r="BS8" s="802"/>
      <c r="BT8" s="802"/>
      <c r="BU8" s="802"/>
      <c r="BV8" s="802"/>
      <c r="BW8" s="802"/>
      <c r="BX8" s="802"/>
      <c r="BY8" s="802"/>
      <c r="BZ8" s="802"/>
      <c r="CA8" s="802"/>
      <c r="CB8" s="802"/>
      <c r="CC8" s="802"/>
      <c r="CD8" s="802"/>
      <c r="CE8" s="802"/>
      <c r="CF8" s="802"/>
      <c r="CG8" s="802"/>
      <c r="CH8" s="802"/>
      <c r="CI8" s="744"/>
      <c r="CJ8" s="1129" t="s">
        <v>27</v>
      </c>
      <c r="CK8" s="859"/>
      <c r="CL8" s="859"/>
      <c r="CM8" s="859"/>
      <c r="CN8" s="859"/>
      <c r="CO8" s="859"/>
      <c r="CP8" s="859"/>
      <c r="CQ8" s="859"/>
      <c r="CR8" s="859"/>
      <c r="CS8" s="859"/>
      <c r="CT8" s="859"/>
      <c r="CU8" s="859"/>
      <c r="CV8" s="859"/>
      <c r="CW8" s="859"/>
      <c r="CX8" s="859"/>
      <c r="CY8" s="859"/>
      <c r="CZ8" s="859"/>
      <c r="DA8" s="859"/>
      <c r="DB8" s="859"/>
      <c r="DC8" s="859"/>
      <c r="DD8" s="859"/>
      <c r="DE8" s="859"/>
      <c r="DF8" s="859"/>
      <c r="DG8" s="859"/>
      <c r="DH8" s="859"/>
      <c r="DI8" s="859"/>
      <c r="DJ8" s="859"/>
      <c r="DK8" s="859"/>
      <c r="DL8" s="859"/>
      <c r="DM8" s="859"/>
      <c r="DN8" s="1129" t="s">
        <v>28</v>
      </c>
      <c r="DO8" s="859"/>
      <c r="DP8" s="859"/>
      <c r="DQ8" s="859"/>
      <c r="DR8" s="859"/>
      <c r="DS8" s="859"/>
      <c r="DT8" s="859"/>
      <c r="DU8" s="859"/>
      <c r="DV8" s="859"/>
      <c r="DW8" s="859"/>
      <c r="DX8" s="859"/>
      <c r="DY8" s="859"/>
      <c r="DZ8" s="859"/>
      <c r="EA8" s="859"/>
      <c r="EB8" s="859"/>
      <c r="EC8" s="859"/>
      <c r="ED8" s="859"/>
      <c r="EE8" s="859"/>
      <c r="EF8" s="859"/>
      <c r="EG8" s="859"/>
      <c r="EH8" s="859"/>
      <c r="EI8" s="859"/>
      <c r="EJ8" s="859"/>
      <c r="EK8" s="859"/>
      <c r="EL8" s="859"/>
      <c r="EM8" s="859"/>
      <c r="EN8" s="859"/>
      <c r="EO8" s="859"/>
      <c r="EP8" s="859"/>
      <c r="EQ8" s="822"/>
      <c r="ER8" s="719"/>
      <c r="ES8" s="719"/>
      <c r="ET8" s="719"/>
      <c r="EU8" s="719"/>
      <c r="EV8" s="752"/>
      <c r="EW8" s="756"/>
      <c r="EX8" s="756"/>
      <c r="EY8" s="756"/>
      <c r="EZ8" s="756"/>
      <c r="FA8" s="733"/>
    </row>
    <row r="9" spans="1:160" ht="93" customHeight="1" thickBot="1" x14ac:dyDescent="0.3">
      <c r="A9" s="70" t="s">
        <v>216</v>
      </c>
      <c r="B9" s="71" t="s">
        <v>217</v>
      </c>
      <c r="C9" s="72" t="s">
        <v>218</v>
      </c>
      <c r="D9" s="72" t="s">
        <v>219</v>
      </c>
      <c r="E9" s="72" t="s">
        <v>220</v>
      </c>
      <c r="F9" s="1127" t="s">
        <v>221</v>
      </c>
      <c r="G9" s="1130" t="s">
        <v>222</v>
      </c>
      <c r="H9" s="1131" t="s">
        <v>223</v>
      </c>
      <c r="I9" s="1132" t="s">
        <v>224</v>
      </c>
      <c r="J9" s="1133" t="s">
        <v>225</v>
      </c>
      <c r="K9" s="1132" t="s">
        <v>226</v>
      </c>
      <c r="L9" s="1133" t="s">
        <v>227</v>
      </c>
      <c r="M9" s="1132" t="s">
        <v>228</v>
      </c>
      <c r="N9" s="1133" t="s">
        <v>229</v>
      </c>
      <c r="O9" s="1132" t="s">
        <v>230</v>
      </c>
      <c r="P9" s="1133" t="s">
        <v>231</v>
      </c>
      <c r="Q9" s="1132" t="s">
        <v>232</v>
      </c>
      <c r="R9" s="1133" t="s">
        <v>233</v>
      </c>
      <c r="S9" s="1132" t="s">
        <v>234</v>
      </c>
      <c r="T9" s="1133" t="s">
        <v>235</v>
      </c>
      <c r="U9" s="1132" t="s">
        <v>236</v>
      </c>
      <c r="V9" s="1134" t="s">
        <v>237</v>
      </c>
      <c r="W9" s="1135" t="s">
        <v>53</v>
      </c>
      <c r="X9" s="1136" t="s">
        <v>54</v>
      </c>
      <c r="Y9" s="1137" t="s">
        <v>55</v>
      </c>
      <c r="Z9" s="1138" t="s">
        <v>56</v>
      </c>
      <c r="AA9" s="1137" t="s">
        <v>57</v>
      </c>
      <c r="AB9" s="1131" t="s">
        <v>238</v>
      </c>
      <c r="AC9" s="1132" t="s">
        <v>239</v>
      </c>
      <c r="AD9" s="1133" t="s">
        <v>240</v>
      </c>
      <c r="AE9" s="1132" t="s">
        <v>241</v>
      </c>
      <c r="AF9" s="1133" t="s">
        <v>242</v>
      </c>
      <c r="AG9" s="1132" t="s">
        <v>243</v>
      </c>
      <c r="AH9" s="1133" t="s">
        <v>244</v>
      </c>
      <c r="AI9" s="1132" t="s">
        <v>245</v>
      </c>
      <c r="AJ9" s="1133" t="s">
        <v>246</v>
      </c>
      <c r="AK9" s="1132" t="s">
        <v>247</v>
      </c>
      <c r="AL9" s="1133" t="s">
        <v>248</v>
      </c>
      <c r="AM9" s="1132" t="s">
        <v>249</v>
      </c>
      <c r="AN9" s="1133" t="s">
        <v>250</v>
      </c>
      <c r="AO9" s="1132" t="s">
        <v>251</v>
      </c>
      <c r="AP9" s="1133" t="s">
        <v>252</v>
      </c>
      <c r="AQ9" s="1132" t="s">
        <v>253</v>
      </c>
      <c r="AR9" s="1133" t="s">
        <v>254</v>
      </c>
      <c r="AS9" s="1132" t="s">
        <v>255</v>
      </c>
      <c r="AT9" s="1133" t="s">
        <v>256</v>
      </c>
      <c r="AU9" s="1132" t="s">
        <v>257</v>
      </c>
      <c r="AV9" s="1133" t="s">
        <v>258</v>
      </c>
      <c r="AW9" s="1132" t="s">
        <v>259</v>
      </c>
      <c r="AX9" s="1133" t="s">
        <v>260</v>
      </c>
      <c r="AY9" s="1132" t="s">
        <v>261</v>
      </c>
      <c r="AZ9" s="1134" t="s">
        <v>262</v>
      </c>
      <c r="BA9" s="1135" t="s">
        <v>53</v>
      </c>
      <c r="BB9" s="1136" t="s">
        <v>83</v>
      </c>
      <c r="BC9" s="1137" t="s">
        <v>84</v>
      </c>
      <c r="BD9" s="1138" t="s">
        <v>85</v>
      </c>
      <c r="BE9" s="1137" t="s">
        <v>86</v>
      </c>
      <c r="BF9" s="1131" t="s">
        <v>263</v>
      </c>
      <c r="BG9" s="1139" t="s">
        <v>264</v>
      </c>
      <c r="BH9" s="1140" t="s">
        <v>265</v>
      </c>
      <c r="BI9" s="1139" t="s">
        <v>266</v>
      </c>
      <c r="BJ9" s="1140" t="s">
        <v>267</v>
      </c>
      <c r="BK9" s="1139" t="s">
        <v>268</v>
      </c>
      <c r="BL9" s="1140" t="s">
        <v>269</v>
      </c>
      <c r="BM9" s="1139" t="s">
        <v>270</v>
      </c>
      <c r="BN9" s="1140" t="s">
        <v>271</v>
      </c>
      <c r="BO9" s="1139" t="s">
        <v>272</v>
      </c>
      <c r="BP9" s="1140" t="s">
        <v>273</v>
      </c>
      <c r="BQ9" s="1139" t="s">
        <v>274</v>
      </c>
      <c r="BR9" s="1140" t="s">
        <v>275</v>
      </c>
      <c r="BS9" s="1139" t="s">
        <v>276</v>
      </c>
      <c r="BT9" s="1140" t="s">
        <v>277</v>
      </c>
      <c r="BU9" s="1139" t="s">
        <v>278</v>
      </c>
      <c r="BV9" s="1140" t="s">
        <v>279</v>
      </c>
      <c r="BW9" s="1139" t="s">
        <v>280</v>
      </c>
      <c r="BX9" s="1140" t="s">
        <v>281</v>
      </c>
      <c r="BY9" s="1139" t="s">
        <v>282</v>
      </c>
      <c r="BZ9" s="1140" t="s">
        <v>283</v>
      </c>
      <c r="CA9" s="1139" t="s">
        <v>284</v>
      </c>
      <c r="CB9" s="1140" t="s">
        <v>285</v>
      </c>
      <c r="CC9" s="1139" t="s">
        <v>286</v>
      </c>
      <c r="CD9" s="1141" t="s">
        <v>287</v>
      </c>
      <c r="CE9" s="1135" t="s">
        <v>53</v>
      </c>
      <c r="CF9" s="1138" t="s">
        <v>112</v>
      </c>
      <c r="CG9" s="1137" t="s">
        <v>113</v>
      </c>
      <c r="CH9" s="1138" t="s">
        <v>114</v>
      </c>
      <c r="CI9" s="1137" t="s">
        <v>115</v>
      </c>
      <c r="CJ9" s="1131" t="s">
        <v>288</v>
      </c>
      <c r="CK9" s="1139" t="s">
        <v>289</v>
      </c>
      <c r="CL9" s="1140" t="s">
        <v>290</v>
      </c>
      <c r="CM9" s="1139" t="s">
        <v>291</v>
      </c>
      <c r="CN9" s="1140" t="s">
        <v>292</v>
      </c>
      <c r="CO9" s="1139" t="s">
        <v>293</v>
      </c>
      <c r="CP9" s="1140" t="s">
        <v>294</v>
      </c>
      <c r="CQ9" s="1139" t="s">
        <v>295</v>
      </c>
      <c r="CR9" s="1140" t="s">
        <v>296</v>
      </c>
      <c r="CS9" s="1139" t="s">
        <v>297</v>
      </c>
      <c r="CT9" s="1140" t="s">
        <v>298</v>
      </c>
      <c r="CU9" s="1139" t="s">
        <v>299</v>
      </c>
      <c r="CV9" s="1140" t="s">
        <v>300</v>
      </c>
      <c r="CW9" s="1139" t="s">
        <v>301</v>
      </c>
      <c r="CX9" s="1140" t="s">
        <v>302</v>
      </c>
      <c r="CY9" s="1139" t="s">
        <v>303</v>
      </c>
      <c r="CZ9" s="1140" t="s">
        <v>304</v>
      </c>
      <c r="DA9" s="1139" t="s">
        <v>305</v>
      </c>
      <c r="DB9" s="1140" t="s">
        <v>306</v>
      </c>
      <c r="DC9" s="1139" t="s">
        <v>307</v>
      </c>
      <c r="DD9" s="1140" t="s">
        <v>308</v>
      </c>
      <c r="DE9" s="1139" t="s">
        <v>309</v>
      </c>
      <c r="DF9" s="1140" t="s">
        <v>310</v>
      </c>
      <c r="DG9" s="1139" t="s">
        <v>311</v>
      </c>
      <c r="DH9" s="1140" t="s">
        <v>312</v>
      </c>
      <c r="DI9" s="1142" t="s">
        <v>53</v>
      </c>
      <c r="DJ9" s="1143" t="s">
        <v>141</v>
      </c>
      <c r="DK9" s="1144" t="s">
        <v>142</v>
      </c>
      <c r="DL9" s="1145" t="s">
        <v>143</v>
      </c>
      <c r="DM9" s="1144" t="s">
        <v>144</v>
      </c>
      <c r="DN9" s="1131" t="s">
        <v>313</v>
      </c>
      <c r="DO9" s="1132" t="s">
        <v>314</v>
      </c>
      <c r="DP9" s="1133" t="s">
        <v>315</v>
      </c>
      <c r="DQ9" s="1132" t="s">
        <v>316</v>
      </c>
      <c r="DR9" s="1133" t="s">
        <v>317</v>
      </c>
      <c r="DS9" s="1132" t="s">
        <v>318</v>
      </c>
      <c r="DT9" s="1133" t="s">
        <v>319</v>
      </c>
      <c r="DU9" s="1132" t="s">
        <v>320</v>
      </c>
      <c r="DV9" s="1133" t="s">
        <v>321</v>
      </c>
      <c r="DW9" s="1132" t="s">
        <v>322</v>
      </c>
      <c r="DX9" s="1133" t="s">
        <v>323</v>
      </c>
      <c r="DY9" s="1132" t="s">
        <v>324</v>
      </c>
      <c r="DZ9" s="1133" t="s">
        <v>325</v>
      </c>
      <c r="EA9" s="1132" t="s">
        <v>326</v>
      </c>
      <c r="EB9" s="1133" t="s">
        <v>327</v>
      </c>
      <c r="EC9" s="1132" t="s">
        <v>328</v>
      </c>
      <c r="ED9" s="1133" t="s">
        <v>329</v>
      </c>
      <c r="EE9" s="1132" t="s">
        <v>330</v>
      </c>
      <c r="EF9" s="1133" t="s">
        <v>331</v>
      </c>
      <c r="EG9" s="1132" t="s">
        <v>332</v>
      </c>
      <c r="EH9" s="1133" t="s">
        <v>333</v>
      </c>
      <c r="EI9" s="1132" t="s">
        <v>334</v>
      </c>
      <c r="EJ9" s="1133" t="s">
        <v>335</v>
      </c>
      <c r="EK9" s="1132" t="s">
        <v>336</v>
      </c>
      <c r="EL9" s="1133" t="s">
        <v>337</v>
      </c>
      <c r="EM9" s="1142" t="s">
        <v>53</v>
      </c>
      <c r="EN9" s="1143" t="s">
        <v>170</v>
      </c>
      <c r="EO9" s="1144" t="s">
        <v>171</v>
      </c>
      <c r="EP9" s="1145" t="s">
        <v>172</v>
      </c>
      <c r="EQ9" s="1146" t="s">
        <v>173</v>
      </c>
      <c r="ER9" s="860"/>
      <c r="ES9" s="720"/>
      <c r="ET9" s="720"/>
      <c r="EU9" s="720"/>
      <c r="EV9" s="753"/>
      <c r="EW9" s="757"/>
      <c r="EX9" s="757"/>
      <c r="EY9" s="757"/>
      <c r="EZ9" s="757"/>
      <c r="FA9" s="734"/>
    </row>
    <row r="10" spans="1:160" ht="31.9" customHeight="1" x14ac:dyDescent="0.25">
      <c r="A10" s="759" t="s">
        <v>338</v>
      </c>
      <c r="B10" s="759">
        <v>1</v>
      </c>
      <c r="C10" s="758" t="s">
        <v>339</v>
      </c>
      <c r="D10" s="758" t="s">
        <v>177</v>
      </c>
      <c r="E10" s="758">
        <v>200</v>
      </c>
      <c r="F10" s="73" t="s">
        <v>340</v>
      </c>
      <c r="G10" s="993">
        <f>AA10+BE10+CI10+DM10+EP10</f>
        <v>595</v>
      </c>
      <c r="H10" s="993">
        <v>66</v>
      </c>
      <c r="I10" s="1439"/>
      <c r="J10" s="995"/>
      <c r="K10" s="1439">
        <v>66</v>
      </c>
      <c r="L10" s="998">
        <v>11</v>
      </c>
      <c r="M10" s="1439">
        <v>66</v>
      </c>
      <c r="N10" s="998">
        <v>22</v>
      </c>
      <c r="O10" s="1439">
        <v>66</v>
      </c>
      <c r="P10" s="998">
        <v>33</v>
      </c>
      <c r="Q10" s="1439">
        <v>66</v>
      </c>
      <c r="R10" s="998">
        <v>44</v>
      </c>
      <c r="S10" s="998">
        <v>66</v>
      </c>
      <c r="T10" s="998">
        <v>55</v>
      </c>
      <c r="U10" s="998">
        <v>66</v>
      </c>
      <c r="V10" s="993">
        <v>66</v>
      </c>
      <c r="W10" s="1001">
        <f t="shared" ref="W10:W15" si="0">+H10</f>
        <v>66</v>
      </c>
      <c r="X10" s="1001">
        <f t="shared" ref="X10:X15" si="1">+H10</f>
        <v>66</v>
      </c>
      <c r="Y10" s="1001">
        <f t="shared" ref="Y10:Y15" si="2">+V10</f>
        <v>66</v>
      </c>
      <c r="Z10" s="1001">
        <f t="shared" ref="Z10:AA15" si="3">+U10</f>
        <v>66</v>
      </c>
      <c r="AA10" s="1001">
        <f t="shared" si="3"/>
        <v>66</v>
      </c>
      <c r="AB10" s="993">
        <v>109</v>
      </c>
      <c r="AC10" s="993">
        <v>5</v>
      </c>
      <c r="AD10" s="993">
        <v>5</v>
      </c>
      <c r="AE10" s="993">
        <v>8</v>
      </c>
      <c r="AF10" s="993">
        <v>8</v>
      </c>
      <c r="AG10" s="993">
        <v>10</v>
      </c>
      <c r="AH10" s="993">
        <v>10</v>
      </c>
      <c r="AI10" s="993">
        <v>10</v>
      </c>
      <c r="AJ10" s="993">
        <v>10</v>
      </c>
      <c r="AK10" s="993">
        <v>10</v>
      </c>
      <c r="AL10" s="993">
        <v>10</v>
      </c>
      <c r="AM10" s="993">
        <v>10</v>
      </c>
      <c r="AN10" s="993">
        <v>10</v>
      </c>
      <c r="AO10" s="993">
        <v>10</v>
      </c>
      <c r="AP10" s="993">
        <v>10</v>
      </c>
      <c r="AQ10" s="993">
        <v>10</v>
      </c>
      <c r="AR10" s="993">
        <v>10</v>
      </c>
      <c r="AS10" s="993">
        <v>10</v>
      </c>
      <c r="AT10" s="993">
        <v>10</v>
      </c>
      <c r="AU10" s="993">
        <v>10</v>
      </c>
      <c r="AV10" s="993">
        <v>10</v>
      </c>
      <c r="AW10" s="993">
        <v>10</v>
      </c>
      <c r="AX10" s="993">
        <v>10</v>
      </c>
      <c r="AY10" s="993">
        <v>6</v>
      </c>
      <c r="AZ10" s="998">
        <v>10</v>
      </c>
      <c r="BA10" s="1001">
        <f t="shared" ref="BA10:BA15" si="4">AY10+AW10+AU10+AS10+AO10+AM10+AK10+AI10+AG10+AE10+AC10+AQ10</f>
        <v>109</v>
      </c>
      <c r="BB10" s="1001">
        <f t="shared" ref="BB10:BB15" si="5">AC10+AE10+AG10+AI10+AK10+AM10+AO10+AQ10+AS10+AU10+AW10+AY10</f>
        <v>109</v>
      </c>
      <c r="BC10" s="1001">
        <f t="shared" ref="BC10:BC15" si="6">+AN10+AD10+AF10+AH10+AJ10+AL10+AP10+AR10+AT10+AV10+AX10+AZ10</f>
        <v>113</v>
      </c>
      <c r="BD10" s="1001">
        <f t="shared" ref="BD10:BD15" si="7">BA10</f>
        <v>109</v>
      </c>
      <c r="BE10" s="1001">
        <f t="shared" ref="BE10:BE15" si="8">AF10+AH10+AJ10+AL10+AD10+AN10+AP10+AR10+AT10+AV10+AX10+AZ10</f>
        <v>113</v>
      </c>
      <c r="BF10" s="993">
        <v>150</v>
      </c>
      <c r="BG10" s="1001">
        <v>0</v>
      </c>
      <c r="BH10" s="1001">
        <v>0</v>
      </c>
      <c r="BI10" s="1001">
        <v>14</v>
      </c>
      <c r="BJ10" s="1001">
        <v>14</v>
      </c>
      <c r="BK10" s="1001">
        <v>14</v>
      </c>
      <c r="BL10" s="1001">
        <v>14</v>
      </c>
      <c r="BM10" s="1001">
        <v>14</v>
      </c>
      <c r="BN10" s="1001">
        <v>14</v>
      </c>
      <c r="BO10" s="1001">
        <v>14</v>
      </c>
      <c r="BP10" s="1001">
        <v>14</v>
      </c>
      <c r="BQ10" s="1001">
        <v>14</v>
      </c>
      <c r="BR10" s="1001">
        <v>14</v>
      </c>
      <c r="BS10" s="1001">
        <v>14</v>
      </c>
      <c r="BT10" s="1001">
        <v>14</v>
      </c>
      <c r="BU10" s="1001">
        <v>14</v>
      </c>
      <c r="BV10" s="1001">
        <v>14</v>
      </c>
      <c r="BW10" s="1001">
        <v>14</v>
      </c>
      <c r="BX10" s="1001">
        <v>14</v>
      </c>
      <c r="BY10" s="1001">
        <v>14</v>
      </c>
      <c r="BZ10" s="1001">
        <v>14</v>
      </c>
      <c r="CA10" s="1001">
        <v>14</v>
      </c>
      <c r="CB10" s="1001">
        <v>14</v>
      </c>
      <c r="CC10" s="1001">
        <v>10</v>
      </c>
      <c r="CD10" s="1001">
        <v>10</v>
      </c>
      <c r="CE10" s="1001">
        <f>CC10+CA10+BY10+BW10+BS10+BQ10+BO10+BM10+BK10+BI10+BG10+BU10</f>
        <v>150</v>
      </c>
      <c r="CF10" s="1001">
        <f t="shared" ref="CF10:CF15" si="9">+BG10+BI10+BK10+BM10+BO10+BQ10+BS10+BU10+BW10+BY10+CA10+CC10</f>
        <v>150</v>
      </c>
      <c r="CG10" s="1001">
        <f t="shared" ref="CG10:CG15" si="10">+BR10+BH10+BJ10+BL10+BN10+BP10+BT10+BV10+BX10+BZ10+CB10+CD10</f>
        <v>150</v>
      </c>
      <c r="CH10" s="1001">
        <f t="shared" ref="CH10:CH15" si="11">CE10</f>
        <v>150</v>
      </c>
      <c r="CI10" s="998">
        <f t="shared" ref="CI10:CI15" si="12">BJ10+BL10+BN10+BP10+BH10+BR10+BT10+BV10+BX10+BZ10+CB10+CD10</f>
        <v>150</v>
      </c>
      <c r="CJ10" s="993">
        <v>190</v>
      </c>
      <c r="CK10" s="993">
        <v>5</v>
      </c>
      <c r="CL10" s="993">
        <v>5</v>
      </c>
      <c r="CM10" s="993">
        <v>17</v>
      </c>
      <c r="CN10" s="993">
        <v>17</v>
      </c>
      <c r="CO10" s="993">
        <v>18</v>
      </c>
      <c r="CP10" s="993">
        <v>18</v>
      </c>
      <c r="CQ10" s="993">
        <v>17</v>
      </c>
      <c r="CR10" s="993">
        <v>17</v>
      </c>
      <c r="CS10" s="993">
        <v>18</v>
      </c>
      <c r="CT10" s="993">
        <v>18</v>
      </c>
      <c r="CU10" s="993">
        <v>17</v>
      </c>
      <c r="CV10" s="993">
        <v>18</v>
      </c>
      <c r="CW10" s="993">
        <v>18</v>
      </c>
      <c r="CX10" s="993">
        <v>18</v>
      </c>
      <c r="CY10" s="993">
        <v>17</v>
      </c>
      <c r="CZ10" s="993">
        <v>18</v>
      </c>
      <c r="DA10" s="993">
        <v>18</v>
      </c>
      <c r="DB10" s="993">
        <v>18</v>
      </c>
      <c r="DC10" s="993">
        <v>17</v>
      </c>
      <c r="DD10" s="993">
        <v>18</v>
      </c>
      <c r="DE10" s="993">
        <v>18</v>
      </c>
      <c r="DF10" s="993">
        <v>10</v>
      </c>
      <c r="DG10" s="993">
        <v>10</v>
      </c>
      <c r="DH10" s="993">
        <v>10</v>
      </c>
      <c r="DI10" s="1001">
        <f t="shared" ref="DI10:DI15" si="13">DG10+DE10+DC10+DA10+CW10+CY10+CU10+CS10+CQ10+CO10+CM10+CK10</f>
        <v>190</v>
      </c>
      <c r="DJ10" s="993">
        <f t="shared" ref="DJ10:DK15" si="14">CK10+CM10+CO10+CQ10+CS10+CU10+CW10+CY10+DA10+DC10+DE10+DG10</f>
        <v>190</v>
      </c>
      <c r="DK10" s="993">
        <f t="shared" si="14"/>
        <v>185</v>
      </c>
      <c r="DL10" s="1001">
        <f t="shared" ref="DL10:DL15" si="15">DI10</f>
        <v>190</v>
      </c>
      <c r="DM10" s="998">
        <f t="shared" ref="DM10:DM15" si="16">CN10+CP10+CR10+CT10+CL10+CV10+CX10+CZ10+DB10+DD10+DF10+DH10</f>
        <v>185</v>
      </c>
      <c r="DN10" s="993">
        <v>81</v>
      </c>
      <c r="DO10" s="1440">
        <v>12</v>
      </c>
      <c r="DP10" s="1440">
        <v>12</v>
      </c>
      <c r="DQ10" s="1440">
        <v>14</v>
      </c>
      <c r="DR10" s="1440">
        <v>14</v>
      </c>
      <c r="DS10" s="1440">
        <v>14</v>
      </c>
      <c r="DT10" s="1440">
        <v>14</v>
      </c>
      <c r="DU10" s="1440">
        <v>14</v>
      </c>
      <c r="DV10" s="1440"/>
      <c r="DW10" s="1440">
        <v>14</v>
      </c>
      <c r="DX10" s="1440"/>
      <c r="DY10" s="1440">
        <v>13</v>
      </c>
      <c r="DZ10" s="993"/>
      <c r="EA10" s="993"/>
      <c r="EB10" s="993"/>
      <c r="EC10" s="993"/>
      <c r="ED10" s="993"/>
      <c r="EE10" s="993"/>
      <c r="EF10" s="993"/>
      <c r="EG10" s="993"/>
      <c r="EH10" s="993"/>
      <c r="EI10" s="993"/>
      <c r="EJ10" s="993"/>
      <c r="EK10" s="993"/>
      <c r="EL10" s="993"/>
      <c r="EM10" s="1001">
        <f t="shared" ref="EM10:EM15" si="17">EK10+EI10+EG10+EE10+EA10+EC10+DY10+DW10+DU10+DS10+DQ10+DO10</f>
        <v>81</v>
      </c>
      <c r="EN10" s="993">
        <f>DO10+DQ10+DS10</f>
        <v>40</v>
      </c>
      <c r="EO10" s="993">
        <f t="shared" ref="EO10:EO15" si="18">DP10+DR10+DT10+DV10+DX10+DZ10+EB10+ED10+EF10+EH10+EJ10+EL10</f>
        <v>40</v>
      </c>
      <c r="EP10" s="1001">
        <f t="shared" ref="EP10:EP15" si="19">EM10</f>
        <v>81</v>
      </c>
      <c r="EQ10" s="998">
        <f t="shared" ref="EQ10:EQ15" si="20">DR10+DT10+DV10+DX10+DP10+DZ10+EB10+ED10+EF10+EH10+EJ10+EL10</f>
        <v>40</v>
      </c>
      <c r="ER10" s="1007">
        <f>DT10/DS10</f>
        <v>1</v>
      </c>
      <c r="ES10" s="1007">
        <f>EO10/EN10</f>
        <v>1</v>
      </c>
      <c r="ET10" s="1016">
        <f>EQ10/EP10</f>
        <v>0.49382716049382713</v>
      </c>
      <c r="EU10" s="1016">
        <f>(AA10+BE10+CI10+DM10+EO10)/(Z10+BD10+CH10+DL10+EN10)</f>
        <v>0.99819819819819822</v>
      </c>
      <c r="EV10" s="1016">
        <f>(AA10+BE10+CI10+DM10+EQ10)/G10</f>
        <v>0.93109243697478994</v>
      </c>
      <c r="EW10" s="1441" t="s">
        <v>1511</v>
      </c>
      <c r="EX10" s="1072" t="s">
        <v>178</v>
      </c>
      <c r="EY10" s="1072" t="s">
        <v>178</v>
      </c>
      <c r="EZ10" s="1011" t="s">
        <v>341</v>
      </c>
      <c r="FA10" s="1011" t="s">
        <v>342</v>
      </c>
      <c r="FB10" s="776"/>
      <c r="FC10" s="75"/>
      <c r="FD10" s="75"/>
    </row>
    <row r="11" spans="1:160" ht="31.9" customHeight="1" x14ac:dyDescent="0.25">
      <c r="A11" s="710"/>
      <c r="B11" s="710"/>
      <c r="C11" s="710"/>
      <c r="D11" s="710"/>
      <c r="E11" s="710"/>
      <c r="F11" s="76" t="s">
        <v>343</v>
      </c>
      <c r="G11" s="641">
        <f>AA11+BE11+CI11+DM11+EP11</f>
        <v>3553452633</v>
      </c>
      <c r="H11" s="1012">
        <v>370304000</v>
      </c>
      <c r="I11" s="1012"/>
      <c r="J11" s="1012"/>
      <c r="K11" s="1012">
        <v>370304000</v>
      </c>
      <c r="L11" s="1012">
        <v>140580000</v>
      </c>
      <c r="M11" s="1012">
        <v>361860000</v>
      </c>
      <c r="N11" s="1012">
        <v>262457000</v>
      </c>
      <c r="O11" s="1012">
        <v>361860000</v>
      </c>
      <c r="P11" s="1012">
        <v>262457000</v>
      </c>
      <c r="Q11" s="1012">
        <v>384597000</v>
      </c>
      <c r="R11" s="1012">
        <v>262457000</v>
      </c>
      <c r="S11" s="1012">
        <v>384597000</v>
      </c>
      <c r="T11" s="1012">
        <v>312457000</v>
      </c>
      <c r="U11" s="1012">
        <v>384597000</v>
      </c>
      <c r="V11" s="1012">
        <v>384597000</v>
      </c>
      <c r="W11" s="1012">
        <f t="shared" si="0"/>
        <v>370304000</v>
      </c>
      <c r="X11" s="1012">
        <f t="shared" si="1"/>
        <v>370304000</v>
      </c>
      <c r="Y11" s="1012">
        <f t="shared" si="2"/>
        <v>384597000</v>
      </c>
      <c r="Z11" s="1012">
        <f t="shared" si="3"/>
        <v>384597000</v>
      </c>
      <c r="AA11" s="1012">
        <f t="shared" si="3"/>
        <v>384597000</v>
      </c>
      <c r="AB11" s="1012">
        <v>574654000</v>
      </c>
      <c r="AC11" s="1012">
        <v>0</v>
      </c>
      <c r="AD11" s="1012">
        <v>0</v>
      </c>
      <c r="AE11" s="1012">
        <v>308440000</v>
      </c>
      <c r="AF11" s="1012">
        <v>308440000</v>
      </c>
      <c r="AG11" s="1012">
        <f>495849000-AF11</f>
        <v>187409000</v>
      </c>
      <c r="AH11" s="1012">
        <v>187409000</v>
      </c>
      <c r="AI11" s="1012">
        <f>495849000-AF11-AH11</f>
        <v>0</v>
      </c>
      <c r="AJ11" s="1012">
        <v>0</v>
      </c>
      <c r="AK11" s="1012">
        <v>0</v>
      </c>
      <c r="AL11" s="1012">
        <v>0</v>
      </c>
      <c r="AM11" s="1012">
        <v>8622572</v>
      </c>
      <c r="AN11" s="1012">
        <v>60358000</v>
      </c>
      <c r="AO11" s="1012">
        <v>8622572</v>
      </c>
      <c r="AP11" s="1012">
        <v>0</v>
      </c>
      <c r="AQ11" s="1012">
        <v>0</v>
      </c>
      <c r="AR11" s="1012">
        <v>0</v>
      </c>
      <c r="AS11" s="1012">
        <v>76578856</v>
      </c>
      <c r="AT11" s="1012">
        <v>16491500</v>
      </c>
      <c r="AU11" s="1012">
        <f>15666000</f>
        <v>15666000</v>
      </c>
      <c r="AV11" s="1012">
        <v>0</v>
      </c>
      <c r="AW11" s="1012">
        <v>0</v>
      </c>
      <c r="AX11" s="1012">
        <v>11263000</v>
      </c>
      <c r="AY11" s="1012">
        <v>0</v>
      </c>
      <c r="AZ11" s="1012">
        <v>6961000</v>
      </c>
      <c r="BA11" s="1012">
        <f t="shared" si="4"/>
        <v>605339000</v>
      </c>
      <c r="BB11" s="1012">
        <f t="shared" si="5"/>
        <v>605339000</v>
      </c>
      <c r="BC11" s="1012">
        <f t="shared" si="6"/>
        <v>590922500</v>
      </c>
      <c r="BD11" s="1012">
        <f t="shared" si="7"/>
        <v>605339000</v>
      </c>
      <c r="BE11" s="1012">
        <f t="shared" si="8"/>
        <v>590922500</v>
      </c>
      <c r="BF11" s="1012">
        <v>971277000</v>
      </c>
      <c r="BG11" s="1012">
        <v>966887466</v>
      </c>
      <c r="BH11" s="1012">
        <v>966887466</v>
      </c>
      <c r="BI11" s="1012">
        <v>0</v>
      </c>
      <c r="BJ11" s="1012">
        <v>0</v>
      </c>
      <c r="BK11" s="1012">
        <f>4389534-835200</f>
        <v>3554334</v>
      </c>
      <c r="BL11" s="1012">
        <v>0</v>
      </c>
      <c r="BM11" s="1012">
        <v>0</v>
      </c>
      <c r="BN11" s="1012"/>
      <c r="BO11" s="1012">
        <v>0</v>
      </c>
      <c r="BP11" s="1012"/>
      <c r="BQ11" s="1012">
        <v>0</v>
      </c>
      <c r="BR11" s="1012">
        <v>3500000</v>
      </c>
      <c r="BS11" s="1012">
        <v>417600</v>
      </c>
      <c r="BT11" s="1012">
        <v>0</v>
      </c>
      <c r="BU11" s="1012"/>
      <c r="BV11" s="1012">
        <v>0</v>
      </c>
      <c r="BW11" s="1012">
        <v>22976000</v>
      </c>
      <c r="BX11" s="1012">
        <v>23393600</v>
      </c>
      <c r="BY11" s="1012">
        <v>23257000</v>
      </c>
      <c r="BZ11" s="1012">
        <v>0</v>
      </c>
      <c r="CA11" s="1012">
        <v>21744668</v>
      </c>
      <c r="CB11" s="1012">
        <v>33335333</v>
      </c>
      <c r="CC11" s="1012">
        <v>0</v>
      </c>
      <c r="CD11" s="1012">
        <v>11720667</v>
      </c>
      <c r="CE11" s="1012">
        <f>CC11+CA11+BY11+BW11+BS11+BQ11+BO11+BM11+BK11+BI11+BG11+BU11</f>
        <v>1038837068</v>
      </c>
      <c r="CF11" s="1012">
        <f t="shared" si="9"/>
        <v>1038837068</v>
      </c>
      <c r="CG11" s="1012">
        <f t="shared" si="10"/>
        <v>1038837066</v>
      </c>
      <c r="CH11" s="1012">
        <f t="shared" si="11"/>
        <v>1038837068</v>
      </c>
      <c r="CI11" s="1012">
        <f t="shared" si="12"/>
        <v>1038837066</v>
      </c>
      <c r="CJ11" s="1012">
        <v>825557000</v>
      </c>
      <c r="CK11" s="1012">
        <v>382172000</v>
      </c>
      <c r="CL11" s="1012">
        <v>382172000</v>
      </c>
      <c r="CM11" s="1012">
        <v>385623000</v>
      </c>
      <c r="CN11" s="1012">
        <v>385623000</v>
      </c>
      <c r="CO11" s="1012">
        <v>0</v>
      </c>
      <c r="CP11" s="1012">
        <v>0</v>
      </c>
      <c r="CQ11" s="1012">
        <v>0</v>
      </c>
      <c r="CR11" s="1012">
        <v>0</v>
      </c>
      <c r="CS11" s="1012">
        <v>28460000</v>
      </c>
      <c r="CT11" s="1012">
        <v>0</v>
      </c>
      <c r="CU11" s="1012"/>
      <c r="CV11" s="1012">
        <v>15734000</v>
      </c>
      <c r="CW11" s="1012">
        <f>500000+37830067</f>
        <v>38330067</v>
      </c>
      <c r="CX11" s="1012">
        <v>0</v>
      </c>
      <c r="CY11" s="1012"/>
      <c r="CZ11" s="1012">
        <v>0</v>
      </c>
      <c r="DA11" s="1012">
        <v>-10146501</v>
      </c>
      <c r="DB11" s="1012">
        <v>28460000</v>
      </c>
      <c r="DC11" s="1012">
        <v>0</v>
      </c>
      <c r="DD11" s="1012">
        <v>0</v>
      </c>
      <c r="DE11" s="1012">
        <v>-2059767</v>
      </c>
      <c r="DF11" s="1012"/>
      <c r="DG11" s="1012">
        <f>+CJ11-796755000</f>
        <v>28802000</v>
      </c>
      <c r="DH11" s="1012">
        <v>37830067</v>
      </c>
      <c r="DI11" s="1012">
        <f t="shared" si="13"/>
        <v>851180799</v>
      </c>
      <c r="DJ11" s="1012">
        <f t="shared" si="14"/>
        <v>851180799</v>
      </c>
      <c r="DK11" s="1012">
        <f t="shared" si="14"/>
        <v>849819067</v>
      </c>
      <c r="DL11" s="1012">
        <f t="shared" si="15"/>
        <v>851180799</v>
      </c>
      <c r="DM11" s="1012">
        <f t="shared" si="16"/>
        <v>849819067</v>
      </c>
      <c r="DN11" s="1012">
        <v>689277000</v>
      </c>
      <c r="DO11" s="1014">
        <v>61986000</v>
      </c>
      <c r="DP11" s="1014">
        <v>61986000</v>
      </c>
      <c r="DQ11" s="1014">
        <v>283225000</v>
      </c>
      <c r="DR11" s="1014">
        <v>145590000</v>
      </c>
      <c r="DS11" s="1014"/>
      <c r="DT11" s="1014">
        <v>0</v>
      </c>
      <c r="DU11" s="1014">
        <v>46914000</v>
      </c>
      <c r="DV11" s="1014"/>
      <c r="DW11" s="1014"/>
      <c r="DX11" s="1014"/>
      <c r="DY11" s="1014">
        <f>DN11-DQ11-DP11-DU11</f>
        <v>297152000</v>
      </c>
      <c r="DZ11" s="1015"/>
      <c r="EA11" s="1015"/>
      <c r="EB11" s="1015"/>
      <c r="EC11" s="1015"/>
      <c r="ED11" s="1015"/>
      <c r="EE11" s="1015"/>
      <c r="EF11" s="1015"/>
      <c r="EG11" s="1015"/>
      <c r="EH11" s="1015"/>
      <c r="EI11" s="1015"/>
      <c r="EJ11" s="1015"/>
      <c r="EK11" s="1015"/>
      <c r="EL11" s="1015"/>
      <c r="EM11" s="643">
        <f t="shared" si="17"/>
        <v>689277000</v>
      </c>
      <c r="EN11" s="643">
        <f>DO11+DQ11+DS11</f>
        <v>345211000</v>
      </c>
      <c r="EO11" s="643">
        <f>DP11+DR11+DT11+DV11+DX11+DZ11+EB11+ED11+EF11+EH11+EJ11+EL11</f>
        <v>207576000</v>
      </c>
      <c r="EP11" s="641">
        <f t="shared" si="19"/>
        <v>689277000</v>
      </c>
      <c r="EQ11" s="641">
        <f t="shared" si="20"/>
        <v>207576000</v>
      </c>
      <c r="ER11" s="1007">
        <f>IFERROR(DT11/DS11,0)</f>
        <v>0</v>
      </c>
      <c r="ES11" s="1007">
        <f t="shared" ref="ES11:ES74" si="21">EO11/EN11</f>
        <v>0.60130181251466497</v>
      </c>
      <c r="ET11" s="1016">
        <f t="shared" ref="ET11:ET74" si="22">EQ11/EP11</f>
        <v>0.30115033578662859</v>
      </c>
      <c r="EU11" s="1016">
        <f t="shared" ref="EU11:EU74" si="23">(AA11+BE11+CI11+DM11+EO11)/(Z11+BD11+CH11+DL11+EN11)</f>
        <v>0.95243243668882493</v>
      </c>
      <c r="EV11" s="1016">
        <f t="shared" ref="EV11:EV74" si="24">(AA11+BE11+CI11+DM11+EQ11)/G11</f>
        <v>0.86444141803761032</v>
      </c>
      <c r="EW11" s="1073"/>
      <c r="EX11" s="1073"/>
      <c r="EY11" s="1073"/>
      <c r="EZ11" s="1018"/>
      <c r="FA11" s="1018"/>
      <c r="FB11" s="777"/>
      <c r="FC11" s="77"/>
      <c r="FD11" s="77"/>
    </row>
    <row r="12" spans="1:160" ht="31.9" customHeight="1" x14ac:dyDescent="0.25">
      <c r="A12" s="710"/>
      <c r="B12" s="710"/>
      <c r="C12" s="710"/>
      <c r="D12" s="710"/>
      <c r="E12" s="710"/>
      <c r="F12" s="78" t="s">
        <v>344</v>
      </c>
      <c r="G12" s="1015"/>
      <c r="H12" s="1102"/>
      <c r="I12" s="1015"/>
      <c r="J12" s="1015"/>
      <c r="K12" s="1015"/>
      <c r="L12" s="1015"/>
      <c r="M12" s="1015"/>
      <c r="N12" s="1015"/>
      <c r="O12" s="1015"/>
      <c r="P12" s="1015"/>
      <c r="Q12" s="1015"/>
      <c r="R12" s="1015"/>
      <c r="S12" s="1015"/>
      <c r="T12" s="1015"/>
      <c r="U12" s="1015"/>
      <c r="V12" s="1015"/>
      <c r="W12" s="1024">
        <f t="shared" si="0"/>
        <v>0</v>
      </c>
      <c r="X12" s="1024">
        <f t="shared" si="1"/>
        <v>0</v>
      </c>
      <c r="Y12" s="1024">
        <f t="shared" si="2"/>
        <v>0</v>
      </c>
      <c r="Z12" s="1012">
        <f t="shared" si="3"/>
        <v>0</v>
      </c>
      <c r="AA12" s="1012">
        <f t="shared" si="3"/>
        <v>0</v>
      </c>
      <c r="AB12" s="1012"/>
      <c r="AC12" s="1012"/>
      <c r="AD12" s="1012"/>
      <c r="AE12" s="1012"/>
      <c r="AF12" s="1012"/>
      <c r="AG12" s="1012">
        <v>12993393</v>
      </c>
      <c r="AH12" s="1012">
        <v>12993393</v>
      </c>
      <c r="AI12" s="1012">
        <f>53643627-AH12</f>
        <v>40650234</v>
      </c>
      <c r="AJ12" s="1012">
        <v>40650234</v>
      </c>
      <c r="AK12" s="1012">
        <v>65525280</v>
      </c>
      <c r="AL12" s="1012">
        <v>65525280</v>
      </c>
      <c r="AM12" s="1012">
        <v>61997237</v>
      </c>
      <c r="AN12" s="1012">
        <v>54622860</v>
      </c>
      <c r="AO12" s="1012">
        <v>58997237</v>
      </c>
      <c r="AP12" s="1012">
        <v>51317000</v>
      </c>
      <c r="AQ12" s="1012">
        <v>58997237</v>
      </c>
      <c r="AR12" s="1012">
        <v>51317000</v>
      </c>
      <c r="AS12" s="1012">
        <v>58997225</v>
      </c>
      <c r="AT12" s="1012">
        <v>51317000</v>
      </c>
      <c r="AU12" s="1012">
        <v>63829963</v>
      </c>
      <c r="AV12" s="1012">
        <v>51317000</v>
      </c>
      <c r="AW12" s="1012">
        <v>51988050</v>
      </c>
      <c r="AX12" s="1012">
        <v>51317000</v>
      </c>
      <c r="AY12" s="1012">
        <v>51988050</v>
      </c>
      <c r="AZ12" s="1012">
        <v>96653000</v>
      </c>
      <c r="BA12" s="1012">
        <f t="shared" si="4"/>
        <v>525963906</v>
      </c>
      <c r="BB12" s="1012">
        <f t="shared" si="5"/>
        <v>525963906</v>
      </c>
      <c r="BC12" s="1012">
        <f t="shared" si="6"/>
        <v>527029767</v>
      </c>
      <c r="BD12" s="1012">
        <f t="shared" si="7"/>
        <v>525963906</v>
      </c>
      <c r="BE12" s="1012">
        <f t="shared" si="8"/>
        <v>527029767</v>
      </c>
      <c r="BF12" s="1012"/>
      <c r="BG12" s="1012">
        <v>0</v>
      </c>
      <c r="BH12" s="1012">
        <v>0</v>
      </c>
      <c r="BI12" s="1012">
        <v>57430134</v>
      </c>
      <c r="BJ12" s="1012">
        <v>5150933</v>
      </c>
      <c r="BK12" s="1012">
        <v>96252167</v>
      </c>
      <c r="BL12" s="1012">
        <f>59114600-5150933</f>
        <v>53963667</v>
      </c>
      <c r="BM12" s="1012">
        <v>96252167</v>
      </c>
      <c r="BN12" s="1012">
        <v>70757833</v>
      </c>
      <c r="BO12" s="1012">
        <v>96252167</v>
      </c>
      <c r="BP12" s="1012">
        <v>105738000</v>
      </c>
      <c r="BQ12" s="1012">
        <v>96252167</v>
      </c>
      <c r="BR12" s="1012">
        <v>80961995</v>
      </c>
      <c r="BS12" s="1012">
        <v>96252167</v>
      </c>
      <c r="BT12" s="1012">
        <v>102485178.99318039</v>
      </c>
      <c r="BU12" s="1012">
        <v>96252167</v>
      </c>
      <c r="BV12" s="1012">
        <v>56582488</v>
      </c>
      <c r="BW12" s="1012">
        <v>96252167</v>
      </c>
      <c r="BX12" s="1012">
        <v>58174868.891945243</v>
      </c>
      <c r="BY12" s="1012">
        <v>90955567</v>
      </c>
      <c r="BZ12" s="1012">
        <v>74552414.108054757</v>
      </c>
      <c r="CA12" s="1012">
        <f>78717835+11488000</f>
        <v>90205835</v>
      </c>
      <c r="CB12" s="1012">
        <v>76230341</v>
      </c>
      <c r="CC12" s="1012">
        <v>126486391</v>
      </c>
      <c r="CD12" s="1012">
        <v>108169239</v>
      </c>
      <c r="CE12" s="1012">
        <v>1038837068</v>
      </c>
      <c r="CF12" s="1012">
        <f t="shared" si="9"/>
        <v>1038843096</v>
      </c>
      <c r="CG12" s="1012">
        <f t="shared" si="10"/>
        <v>792766957.99318039</v>
      </c>
      <c r="CH12" s="1012">
        <f t="shared" si="11"/>
        <v>1038837068</v>
      </c>
      <c r="CI12" s="1012">
        <f t="shared" si="12"/>
        <v>792766957.99318039</v>
      </c>
      <c r="CJ12" s="1012">
        <v>825557000</v>
      </c>
      <c r="CK12" s="1012">
        <v>0</v>
      </c>
      <c r="CL12" s="1012">
        <v>0</v>
      </c>
      <c r="CM12" s="1012">
        <v>0</v>
      </c>
      <c r="CN12" s="1012">
        <v>0</v>
      </c>
      <c r="CO12" s="1012">
        <v>28632200</v>
      </c>
      <c r="CP12" s="1012">
        <v>28632200</v>
      </c>
      <c r="CQ12" s="1012">
        <v>52344000</v>
      </c>
      <c r="CR12" s="1012">
        <v>50282367</v>
      </c>
      <c r="CS12" s="1012">
        <v>52344000</v>
      </c>
      <c r="CT12" s="1012">
        <v>52344000</v>
      </c>
      <c r="CU12" s="1012">
        <v>57422000</v>
      </c>
      <c r="CV12" s="1012">
        <v>124115892.30402701</v>
      </c>
      <c r="CW12" s="1012">
        <v>57422000</v>
      </c>
      <c r="CX12" s="1012">
        <v>78008365</v>
      </c>
      <c r="CY12" s="1012">
        <v>57422000</v>
      </c>
      <c r="CZ12" s="1012">
        <v>94249173.677300334</v>
      </c>
      <c r="DA12" s="1012">
        <v>52344000</v>
      </c>
      <c r="DB12" s="1012">
        <v>83627967</v>
      </c>
      <c r="DC12" s="1012">
        <v>52344000</v>
      </c>
      <c r="DD12" s="1012">
        <v>62929386</v>
      </c>
      <c r="DE12" s="1012">
        <v>52344000</v>
      </c>
      <c r="DF12" s="1012">
        <v>61063341</v>
      </c>
      <c r="DG12" s="1012">
        <f>362938800+25623799</f>
        <v>388562599</v>
      </c>
      <c r="DH12" s="1012">
        <v>88893142</v>
      </c>
      <c r="DI12" s="1012">
        <f t="shared" si="13"/>
        <v>851180799</v>
      </c>
      <c r="DJ12" s="1012">
        <f t="shared" si="14"/>
        <v>851180799</v>
      </c>
      <c r="DK12" s="1012">
        <f t="shared" si="14"/>
        <v>724145833.9813273</v>
      </c>
      <c r="DL12" s="1012">
        <f t="shared" si="15"/>
        <v>851180799</v>
      </c>
      <c r="DM12" s="1012">
        <f t="shared" si="16"/>
        <v>724145833.9813273</v>
      </c>
      <c r="DN12" s="1012">
        <v>689277000</v>
      </c>
      <c r="DO12" s="1014"/>
      <c r="DP12" s="1014"/>
      <c r="DQ12" s="1014">
        <v>11939000</v>
      </c>
      <c r="DR12" s="1014"/>
      <c r="DS12" s="1014">
        <f>11939000+46486000</f>
        <v>58425000</v>
      </c>
      <c r="DT12" s="1014">
        <v>34331299</v>
      </c>
      <c r="DU12" s="1014">
        <v>46486000</v>
      </c>
      <c r="DV12" s="1014"/>
      <c r="DW12" s="1014">
        <v>62124000</v>
      </c>
      <c r="DX12" s="1014"/>
      <c r="DY12" s="1014">
        <v>525941000</v>
      </c>
      <c r="DZ12" s="1015"/>
      <c r="EA12" s="1015"/>
      <c r="EB12" s="1015"/>
      <c r="EC12" s="1015"/>
      <c r="ED12" s="1015"/>
      <c r="EE12" s="1015"/>
      <c r="EF12" s="1015"/>
      <c r="EG12" s="1015"/>
      <c r="EH12" s="1015"/>
      <c r="EI12" s="1015"/>
      <c r="EJ12" s="1015"/>
      <c r="EK12" s="1015"/>
      <c r="EL12" s="1015"/>
      <c r="EM12" s="643">
        <f t="shared" si="17"/>
        <v>704915000</v>
      </c>
      <c r="EN12" s="643">
        <f t="shared" ref="EN12:EN15" si="25">DO12+DQ12+DS12</f>
        <v>70364000</v>
      </c>
      <c r="EO12" s="643">
        <f t="shared" si="18"/>
        <v>34331299</v>
      </c>
      <c r="EP12" s="641">
        <f t="shared" si="19"/>
        <v>704915000</v>
      </c>
      <c r="EQ12" s="641">
        <f t="shared" si="20"/>
        <v>34331299</v>
      </c>
      <c r="ER12" s="1007">
        <f t="shared" ref="ER12:ER75" si="26">IFERROR(DT12/DS12,0)</f>
        <v>0.58761316217372705</v>
      </c>
      <c r="ES12" s="1007">
        <f t="shared" si="21"/>
        <v>0.4879099965891649</v>
      </c>
      <c r="ET12" s="1016">
        <f t="shared" si="22"/>
        <v>4.8702749976947575E-2</v>
      </c>
      <c r="EU12" s="1016">
        <f t="shared" si="23"/>
        <v>0.83587483307556332</v>
      </c>
      <c r="EV12" s="1016">
        <f>IFERROR((AA12+BE12+CI12+DM12+EQ12)/G12,0)</f>
        <v>0</v>
      </c>
      <c r="EW12" s="1073"/>
      <c r="EX12" s="1073"/>
      <c r="EY12" s="1073"/>
      <c r="EZ12" s="1018"/>
      <c r="FA12" s="1018"/>
      <c r="FB12" s="777"/>
      <c r="FC12" s="77"/>
      <c r="FD12" s="77"/>
    </row>
    <row r="13" spans="1:160" ht="31.9" customHeight="1" x14ac:dyDescent="0.25">
      <c r="A13" s="710"/>
      <c r="B13" s="710"/>
      <c r="C13" s="710"/>
      <c r="D13" s="710"/>
      <c r="E13" s="710"/>
      <c r="F13" s="79" t="s">
        <v>345</v>
      </c>
      <c r="G13" s="1020">
        <f>AA13+BE13+CI13+DM13+EP13</f>
        <v>5</v>
      </c>
      <c r="H13" s="1058"/>
      <c r="I13" s="1023"/>
      <c r="J13" s="1023"/>
      <c r="K13" s="1023"/>
      <c r="L13" s="1023"/>
      <c r="M13" s="1023"/>
      <c r="N13" s="1023"/>
      <c r="O13" s="1023"/>
      <c r="P13" s="1023"/>
      <c r="Q13" s="1023"/>
      <c r="R13" s="1020"/>
      <c r="S13" s="1023"/>
      <c r="T13" s="1023"/>
      <c r="U13" s="1023"/>
      <c r="V13" s="1442"/>
      <c r="W13" s="1024">
        <f t="shared" si="0"/>
        <v>0</v>
      </c>
      <c r="X13" s="1024">
        <f t="shared" si="1"/>
        <v>0</v>
      </c>
      <c r="Y13" s="1024">
        <f t="shared" si="2"/>
        <v>0</v>
      </c>
      <c r="Z13" s="1024">
        <f t="shared" si="3"/>
        <v>0</v>
      </c>
      <c r="AA13" s="1024">
        <f t="shared" si="3"/>
        <v>0</v>
      </c>
      <c r="AB13" s="1025"/>
      <c r="AC13" s="1025"/>
      <c r="AD13" s="1025"/>
      <c r="AE13" s="1025"/>
      <c r="AF13" s="1025"/>
      <c r="AG13" s="1025"/>
      <c r="AH13" s="1025"/>
      <c r="AI13" s="1025"/>
      <c r="AJ13" s="1025"/>
      <c r="AK13" s="1023"/>
      <c r="AL13" s="1023"/>
      <c r="AM13" s="1023"/>
      <c r="AN13" s="1023"/>
      <c r="AO13" s="1023"/>
      <c r="AP13" s="1023"/>
      <c r="AQ13" s="1023"/>
      <c r="AR13" s="1023"/>
      <c r="AS13" s="1023"/>
      <c r="AT13" s="1023"/>
      <c r="AU13" s="1023"/>
      <c r="AV13" s="1023"/>
      <c r="AW13" s="1023"/>
      <c r="AX13" s="1023"/>
      <c r="AY13" s="1442"/>
      <c r="AZ13" s="1023"/>
      <c r="BA13" s="1024">
        <f t="shared" si="4"/>
        <v>0</v>
      </c>
      <c r="BB13" s="1024">
        <f t="shared" si="5"/>
        <v>0</v>
      </c>
      <c r="BC13" s="1024">
        <f t="shared" si="6"/>
        <v>0</v>
      </c>
      <c r="BD13" s="1024">
        <f t="shared" si="7"/>
        <v>0</v>
      </c>
      <c r="BE13" s="1024">
        <f t="shared" si="8"/>
        <v>0</v>
      </c>
      <c r="BF13" s="1442">
        <v>0</v>
      </c>
      <c r="BG13" s="1023">
        <v>0</v>
      </c>
      <c r="BH13" s="1442">
        <v>0</v>
      </c>
      <c r="BI13" s="1023"/>
      <c r="BJ13" s="1442"/>
      <c r="BK13" s="1023"/>
      <c r="BL13" s="1442"/>
      <c r="BM13" s="1023"/>
      <c r="BN13" s="1442"/>
      <c r="BO13" s="1023"/>
      <c r="BP13" s="1442"/>
      <c r="BQ13" s="1023"/>
      <c r="BR13" s="1442"/>
      <c r="BS13" s="1023"/>
      <c r="BT13" s="1442"/>
      <c r="BU13" s="1023"/>
      <c r="BV13" s="1442"/>
      <c r="BW13" s="1023"/>
      <c r="BX13" s="1442"/>
      <c r="BY13" s="1023"/>
      <c r="BZ13" s="1442"/>
      <c r="CA13" s="1023"/>
      <c r="CB13" s="1442"/>
      <c r="CC13" s="1059"/>
      <c r="CD13" s="1442"/>
      <c r="CE13" s="1024">
        <f>CC13+CA13+BY13+BW13+BS13+BQ13+BO13+BM13+BK13+BI13+BG13+BU13</f>
        <v>0</v>
      </c>
      <c r="CF13" s="1024">
        <f t="shared" si="9"/>
        <v>0</v>
      </c>
      <c r="CG13" s="1024">
        <f t="shared" si="10"/>
        <v>0</v>
      </c>
      <c r="CH13" s="1024">
        <f t="shared" si="11"/>
        <v>0</v>
      </c>
      <c r="CI13" s="1024">
        <f t="shared" si="12"/>
        <v>0</v>
      </c>
      <c r="CJ13" s="1023"/>
      <c r="CK13" s="1225"/>
      <c r="CL13" s="1225"/>
      <c r="CM13" s="1023"/>
      <c r="CN13" s="1225"/>
      <c r="CO13" s="1023"/>
      <c r="CP13" s="1023"/>
      <c r="CQ13" s="1023"/>
      <c r="CR13" s="1023"/>
      <c r="CS13" s="1023"/>
      <c r="CT13" s="1023"/>
      <c r="CU13" s="1023"/>
      <c r="CV13" s="1023"/>
      <c r="CW13" s="1023"/>
      <c r="CX13" s="1023"/>
      <c r="CY13" s="1023"/>
      <c r="CZ13" s="1023"/>
      <c r="DA13" s="1023"/>
      <c r="DB13" s="1023"/>
      <c r="DC13" s="1023"/>
      <c r="DD13" s="1023"/>
      <c r="DE13" s="1023"/>
      <c r="DF13" s="1023"/>
      <c r="DG13" s="1023"/>
      <c r="DH13" s="1023"/>
      <c r="DI13" s="1024">
        <f t="shared" si="13"/>
        <v>0</v>
      </c>
      <c r="DJ13" s="1020">
        <f t="shared" si="14"/>
        <v>0</v>
      </c>
      <c r="DK13" s="1020">
        <f t="shared" si="14"/>
        <v>0</v>
      </c>
      <c r="DL13" s="1024">
        <f t="shared" si="15"/>
        <v>0</v>
      </c>
      <c r="DM13" s="1006">
        <f t="shared" si="16"/>
        <v>0</v>
      </c>
      <c r="DN13" s="1442">
        <v>5</v>
      </c>
      <c r="DO13" s="1443">
        <v>5</v>
      </c>
      <c r="DP13" s="1443">
        <v>5</v>
      </c>
      <c r="DQ13" s="1443"/>
      <c r="DR13" s="1443"/>
      <c r="DS13" s="1443"/>
      <c r="DT13" s="1443"/>
      <c r="DU13" s="1443"/>
      <c r="DV13" s="1443"/>
      <c r="DW13" s="1443"/>
      <c r="DX13" s="1443"/>
      <c r="DY13" s="1443"/>
      <c r="DZ13" s="1442"/>
      <c r="EA13" s="1442"/>
      <c r="EB13" s="1442"/>
      <c r="EC13" s="1442"/>
      <c r="ED13" s="1442"/>
      <c r="EE13" s="1442"/>
      <c r="EF13" s="1442"/>
      <c r="EG13" s="1023"/>
      <c r="EH13" s="1442"/>
      <c r="EI13" s="1023"/>
      <c r="EJ13" s="1442"/>
      <c r="EK13" s="1023"/>
      <c r="EL13" s="1442"/>
      <c r="EM13" s="1024">
        <f t="shared" si="17"/>
        <v>5</v>
      </c>
      <c r="EN13" s="1020">
        <f t="shared" si="25"/>
        <v>5</v>
      </c>
      <c r="EO13" s="1020">
        <f t="shared" si="18"/>
        <v>5</v>
      </c>
      <c r="EP13" s="1024">
        <f t="shared" si="19"/>
        <v>5</v>
      </c>
      <c r="EQ13" s="1006">
        <f t="shared" si="20"/>
        <v>5</v>
      </c>
      <c r="ER13" s="1007">
        <f t="shared" si="26"/>
        <v>0</v>
      </c>
      <c r="ES13" s="1007">
        <f t="shared" si="21"/>
        <v>1</v>
      </c>
      <c r="ET13" s="1016">
        <f t="shared" si="22"/>
        <v>1</v>
      </c>
      <c r="EU13" s="1016">
        <f t="shared" si="23"/>
        <v>1</v>
      </c>
      <c r="EV13" s="1016">
        <f>IFERROR((AA13+BE13+CI13+DM13+EQ13)/G13,0)</f>
        <v>1</v>
      </c>
      <c r="EW13" s="1073"/>
      <c r="EX13" s="1073"/>
      <c r="EY13" s="1073"/>
      <c r="EZ13" s="1018"/>
      <c r="FA13" s="1018"/>
      <c r="FB13" s="777"/>
      <c r="FC13" s="75"/>
      <c r="FD13" s="75"/>
    </row>
    <row r="14" spans="1:160" ht="31.9" customHeight="1" x14ac:dyDescent="0.25">
      <c r="A14" s="710"/>
      <c r="B14" s="710"/>
      <c r="C14" s="710"/>
      <c r="D14" s="710"/>
      <c r="E14" s="710"/>
      <c r="F14" s="80" t="s">
        <v>346</v>
      </c>
      <c r="G14" s="641">
        <f>AA14+BE14+CI14+DM14+EP14</f>
        <v>544226847</v>
      </c>
      <c r="H14" s="1102"/>
      <c r="I14" s="1015"/>
      <c r="J14" s="1015"/>
      <c r="K14" s="1015"/>
      <c r="L14" s="1015"/>
      <c r="M14" s="1015"/>
      <c r="N14" s="1015"/>
      <c r="O14" s="1015"/>
      <c r="P14" s="1015"/>
      <c r="Q14" s="1015"/>
      <c r="R14" s="1103"/>
      <c r="S14" s="1015"/>
      <c r="T14" s="1015"/>
      <c r="U14" s="1015"/>
      <c r="V14" s="1015"/>
      <c r="W14" s="1024">
        <f t="shared" si="0"/>
        <v>0</v>
      </c>
      <c r="X14" s="1024">
        <f t="shared" si="1"/>
        <v>0</v>
      </c>
      <c r="Y14" s="1024">
        <f t="shared" si="2"/>
        <v>0</v>
      </c>
      <c r="Z14" s="1012">
        <f t="shared" si="3"/>
        <v>0</v>
      </c>
      <c r="AA14" s="1012">
        <f t="shared" si="3"/>
        <v>0</v>
      </c>
      <c r="AB14" s="1012">
        <v>108646338</v>
      </c>
      <c r="AC14" s="1012">
        <v>6777000</v>
      </c>
      <c r="AD14" s="1012">
        <v>6777000</v>
      </c>
      <c r="AE14" s="1012">
        <f>72661243-AD14</f>
        <v>65884243</v>
      </c>
      <c r="AF14" s="1012">
        <v>65884243</v>
      </c>
      <c r="AG14" s="1012">
        <f>108646338-AF14-AD14</f>
        <v>35985095</v>
      </c>
      <c r="AH14" s="1012">
        <v>35985095</v>
      </c>
      <c r="AI14" s="1012">
        <v>0</v>
      </c>
      <c r="AJ14" s="1012">
        <v>0</v>
      </c>
      <c r="AK14" s="1012">
        <v>0</v>
      </c>
      <c r="AL14" s="1012">
        <v>0</v>
      </c>
      <c r="AM14" s="1012">
        <v>0</v>
      </c>
      <c r="AN14" s="1012">
        <v>0</v>
      </c>
      <c r="AO14" s="1012">
        <v>0</v>
      </c>
      <c r="AP14" s="1012">
        <v>0</v>
      </c>
      <c r="AQ14" s="1012"/>
      <c r="AR14" s="1012"/>
      <c r="AS14" s="1012"/>
      <c r="AT14" s="1012">
        <v>0</v>
      </c>
      <c r="AU14" s="1012"/>
      <c r="AV14" s="1012">
        <v>0</v>
      </c>
      <c r="AW14" s="1012"/>
      <c r="AX14" s="1012">
        <v>0</v>
      </c>
      <c r="AY14" s="1012"/>
      <c r="AZ14" s="1012">
        <v>0</v>
      </c>
      <c r="BA14" s="1012">
        <f t="shared" si="4"/>
        <v>108646338</v>
      </c>
      <c r="BB14" s="1012">
        <f t="shared" si="5"/>
        <v>108646338</v>
      </c>
      <c r="BC14" s="1012">
        <f t="shared" si="6"/>
        <v>108646338</v>
      </c>
      <c r="BD14" s="1012">
        <f t="shared" si="7"/>
        <v>108646338</v>
      </c>
      <c r="BE14" s="1012">
        <f t="shared" si="8"/>
        <v>108646338</v>
      </c>
      <c r="BF14" s="1012">
        <v>63892733</v>
      </c>
      <c r="BG14" s="1012">
        <v>38157867</v>
      </c>
      <c r="BH14" s="1012">
        <v>38157867</v>
      </c>
      <c r="BI14" s="1012">
        <v>25734866</v>
      </c>
      <c r="BJ14" s="1012">
        <v>5734866</v>
      </c>
      <c r="BK14" s="1012">
        <v>0</v>
      </c>
      <c r="BL14" s="1012">
        <v>11447384</v>
      </c>
      <c r="BM14" s="1012">
        <v>0</v>
      </c>
      <c r="BN14" s="1012">
        <v>0</v>
      </c>
      <c r="BO14" s="1012">
        <v>0</v>
      </c>
      <c r="BP14" s="1012">
        <v>8552616</v>
      </c>
      <c r="BQ14" s="1012">
        <v>0</v>
      </c>
      <c r="BR14" s="1012">
        <v>0</v>
      </c>
      <c r="BS14" s="1012">
        <v>0</v>
      </c>
      <c r="BT14" s="1012">
        <v>0</v>
      </c>
      <c r="BU14" s="1012"/>
      <c r="BV14" s="1012">
        <v>0</v>
      </c>
      <c r="BW14" s="1012"/>
      <c r="BX14" s="1012"/>
      <c r="BY14" s="1012">
        <v>0</v>
      </c>
      <c r="BZ14" s="1012">
        <v>0</v>
      </c>
      <c r="CA14" s="1012"/>
      <c r="CB14" s="1012">
        <v>0</v>
      </c>
      <c r="CC14" s="1012"/>
      <c r="CD14" s="1012"/>
      <c r="CE14" s="1012">
        <f>CC14+CA14+BY14+BW14+BS14+BQ14+BO14+BM14+BK14+BI14+BG14+BU14</f>
        <v>63892733</v>
      </c>
      <c r="CF14" s="1012">
        <f t="shared" si="9"/>
        <v>63892733</v>
      </c>
      <c r="CG14" s="1012">
        <f t="shared" si="10"/>
        <v>63892733</v>
      </c>
      <c r="CH14" s="1012">
        <f t="shared" si="11"/>
        <v>63892733</v>
      </c>
      <c r="CI14" s="1012">
        <f t="shared" si="12"/>
        <v>63892733</v>
      </c>
      <c r="CJ14" s="1012">
        <v>246070108</v>
      </c>
      <c r="CK14" s="1012">
        <v>53090449</v>
      </c>
      <c r="CL14" s="1012">
        <v>53090449</v>
      </c>
      <c r="CM14" s="1012">
        <v>32146223</v>
      </c>
      <c r="CN14" s="1012">
        <v>32146223</v>
      </c>
      <c r="CO14" s="1012">
        <v>25775341</v>
      </c>
      <c r="CP14" s="1012">
        <v>25775341</v>
      </c>
      <c r="CQ14" s="1012">
        <v>80000000</v>
      </c>
      <c r="CR14" s="1012">
        <v>37237086</v>
      </c>
      <c r="CS14" s="1012">
        <v>30116190</v>
      </c>
      <c r="CT14" s="1012">
        <v>40396340</v>
      </c>
      <c r="CU14" s="1012">
        <f>24941905-51709</f>
        <v>24890196</v>
      </c>
      <c r="CV14" s="1012">
        <v>57331732</v>
      </c>
      <c r="CW14" s="1012"/>
      <c r="CX14" s="1012"/>
      <c r="CY14" s="1012"/>
      <c r="CZ14" s="1012"/>
      <c r="DA14" s="1012"/>
      <c r="DB14" s="1012"/>
      <c r="DC14" s="1012"/>
      <c r="DD14" s="1012">
        <v>37372</v>
      </c>
      <c r="DE14" s="1012"/>
      <c r="DF14" s="1012"/>
      <c r="DG14" s="1012">
        <v>-3856</v>
      </c>
      <c r="DH14" s="1012">
        <v>0</v>
      </c>
      <c r="DI14" s="1012">
        <f t="shared" si="13"/>
        <v>246014543</v>
      </c>
      <c r="DJ14" s="1012">
        <f t="shared" si="14"/>
        <v>246014543</v>
      </c>
      <c r="DK14" s="1012">
        <f t="shared" si="14"/>
        <v>246014543</v>
      </c>
      <c r="DL14" s="1012">
        <f t="shared" si="15"/>
        <v>246014543</v>
      </c>
      <c r="DM14" s="1012">
        <f t="shared" si="16"/>
        <v>246014543</v>
      </c>
      <c r="DN14" s="1012">
        <v>125673233</v>
      </c>
      <c r="DO14" s="1014">
        <v>51565843</v>
      </c>
      <c r="DP14" s="1014">
        <v>51565843</v>
      </c>
      <c r="DQ14" s="1014">
        <v>33548657</v>
      </c>
      <c r="DR14" s="1014">
        <v>63416918</v>
      </c>
      <c r="DS14" s="1014">
        <v>26934632</v>
      </c>
      <c r="DT14" s="1014">
        <v>6351682</v>
      </c>
      <c r="DU14" s="1014"/>
      <c r="DV14" s="1014"/>
      <c r="DW14" s="1014"/>
      <c r="DX14" s="1014"/>
      <c r="DY14" s="1014">
        <f>13293901+330200</f>
        <v>13624101</v>
      </c>
      <c r="DZ14" s="1015"/>
      <c r="EA14" s="1015"/>
      <c r="EB14" s="1015"/>
      <c r="EC14" s="1015"/>
      <c r="ED14" s="1015"/>
      <c r="EE14" s="1015"/>
      <c r="EF14" s="1015"/>
      <c r="EG14" s="1015"/>
      <c r="EH14" s="1015"/>
      <c r="EI14" s="1015"/>
      <c r="EJ14" s="1015"/>
      <c r="EK14" s="1015"/>
      <c r="EL14" s="1015"/>
      <c r="EM14" s="643">
        <f t="shared" si="17"/>
        <v>125673233</v>
      </c>
      <c r="EN14" s="643">
        <f t="shared" si="25"/>
        <v>112049132</v>
      </c>
      <c r="EO14" s="643">
        <f t="shared" si="18"/>
        <v>121334443</v>
      </c>
      <c r="EP14" s="641">
        <f t="shared" si="19"/>
        <v>125673233</v>
      </c>
      <c r="EQ14" s="641">
        <f t="shared" si="20"/>
        <v>121334443</v>
      </c>
      <c r="ER14" s="1007">
        <f t="shared" si="26"/>
        <v>0.23581840657782144</v>
      </c>
      <c r="ES14" s="1007">
        <f t="shared" si="21"/>
        <v>1.0828682099920239</v>
      </c>
      <c r="ET14" s="1016">
        <f t="shared" si="22"/>
        <v>0.96547562359599681</v>
      </c>
      <c r="EU14" s="1016">
        <f t="shared" si="23"/>
        <v>1.0174995532345021</v>
      </c>
      <c r="EV14" s="1016">
        <f t="shared" si="24"/>
        <v>0.9920276075612271</v>
      </c>
      <c r="EW14" s="1073"/>
      <c r="EX14" s="1073"/>
      <c r="EY14" s="1073"/>
      <c r="EZ14" s="1018"/>
      <c r="FA14" s="1018"/>
      <c r="FB14" s="777"/>
      <c r="FC14" s="77"/>
      <c r="FD14" s="77"/>
    </row>
    <row r="15" spans="1:160" ht="31.9" customHeight="1" thickBot="1" x14ac:dyDescent="0.3">
      <c r="A15" s="710"/>
      <c r="B15" s="710"/>
      <c r="C15" s="710"/>
      <c r="D15" s="710"/>
      <c r="E15" s="710"/>
      <c r="F15" s="79" t="s">
        <v>347</v>
      </c>
      <c r="G15" s="1033">
        <f>G10+G13</f>
        <v>600</v>
      </c>
      <c r="H15" s="1444">
        <v>66</v>
      </c>
      <c r="I15" s="1033"/>
      <c r="J15" s="1033"/>
      <c r="K15" s="1033">
        <v>66</v>
      </c>
      <c r="L15" s="1039">
        <v>11</v>
      </c>
      <c r="M15" s="1033">
        <v>66</v>
      </c>
      <c r="N15" s="1039">
        <v>22</v>
      </c>
      <c r="O15" s="1033">
        <v>66</v>
      </c>
      <c r="P15" s="1039">
        <v>33</v>
      </c>
      <c r="Q15" s="1033">
        <v>66</v>
      </c>
      <c r="R15" s="1039">
        <v>44</v>
      </c>
      <c r="S15" s="1033">
        <v>66</v>
      </c>
      <c r="T15" s="1033">
        <v>55</v>
      </c>
      <c r="U15" s="1033">
        <v>66</v>
      </c>
      <c r="V15" s="1039">
        <v>66</v>
      </c>
      <c r="W15" s="1038">
        <f t="shared" si="0"/>
        <v>66</v>
      </c>
      <c r="X15" s="1038">
        <f t="shared" si="1"/>
        <v>66</v>
      </c>
      <c r="Y15" s="1038">
        <f t="shared" si="2"/>
        <v>66</v>
      </c>
      <c r="Z15" s="1038">
        <f t="shared" si="3"/>
        <v>66</v>
      </c>
      <c r="AA15" s="1038">
        <f t="shared" si="3"/>
        <v>66</v>
      </c>
      <c r="AB15" s="1033">
        <v>109</v>
      </c>
      <c r="AC15" s="1033">
        <v>5</v>
      </c>
      <c r="AD15" s="1033">
        <v>5</v>
      </c>
      <c r="AE15" s="1033">
        <v>8</v>
      </c>
      <c r="AF15" s="1033">
        <v>8</v>
      </c>
      <c r="AG15" s="1033">
        <v>10</v>
      </c>
      <c r="AH15" s="1033">
        <v>10</v>
      </c>
      <c r="AI15" s="1033">
        <v>10</v>
      </c>
      <c r="AJ15" s="1033">
        <v>10</v>
      </c>
      <c r="AK15" s="1039">
        <v>10</v>
      </c>
      <c r="AL15" s="1039">
        <v>10</v>
      </c>
      <c r="AM15" s="1039">
        <v>10</v>
      </c>
      <c r="AN15" s="1039">
        <f>+AN10</f>
        <v>10</v>
      </c>
      <c r="AO15" s="1039">
        <v>10</v>
      </c>
      <c r="AP15" s="1039">
        <v>10</v>
      </c>
      <c r="AQ15" s="1039">
        <v>10</v>
      </c>
      <c r="AR15" s="1039">
        <v>10</v>
      </c>
      <c r="AS15" s="1039">
        <v>10</v>
      </c>
      <c r="AT15" s="1039">
        <v>10</v>
      </c>
      <c r="AU15" s="1039">
        <v>10</v>
      </c>
      <c r="AV15" s="1039">
        <v>10</v>
      </c>
      <c r="AW15" s="1039">
        <v>10</v>
      </c>
      <c r="AX15" s="1039">
        <v>10</v>
      </c>
      <c r="AY15" s="1033">
        <v>6</v>
      </c>
      <c r="AZ15" s="1039">
        <v>10</v>
      </c>
      <c r="BA15" s="1038">
        <f t="shared" si="4"/>
        <v>109</v>
      </c>
      <c r="BB15" s="1038">
        <f t="shared" si="5"/>
        <v>109</v>
      </c>
      <c r="BC15" s="1038">
        <f t="shared" si="6"/>
        <v>113</v>
      </c>
      <c r="BD15" s="1038">
        <f t="shared" si="7"/>
        <v>109</v>
      </c>
      <c r="BE15" s="1038">
        <f t="shared" si="8"/>
        <v>113</v>
      </c>
      <c r="BF15" s="1033">
        <v>150</v>
      </c>
      <c r="BG15" s="1039">
        <f t="shared" ref="BG15:CD15" si="27">+BG10</f>
        <v>0</v>
      </c>
      <c r="BH15" s="1039">
        <f t="shared" si="27"/>
        <v>0</v>
      </c>
      <c r="BI15" s="1039">
        <f t="shared" si="27"/>
        <v>14</v>
      </c>
      <c r="BJ15" s="1039">
        <f t="shared" si="27"/>
        <v>14</v>
      </c>
      <c r="BK15" s="1039">
        <f t="shared" si="27"/>
        <v>14</v>
      </c>
      <c r="BL15" s="1039">
        <f t="shared" si="27"/>
        <v>14</v>
      </c>
      <c r="BM15" s="1039">
        <f t="shared" si="27"/>
        <v>14</v>
      </c>
      <c r="BN15" s="1039">
        <f t="shared" si="27"/>
        <v>14</v>
      </c>
      <c r="BO15" s="1039">
        <f t="shared" si="27"/>
        <v>14</v>
      </c>
      <c r="BP15" s="1039">
        <f t="shared" si="27"/>
        <v>14</v>
      </c>
      <c r="BQ15" s="1039">
        <f t="shared" si="27"/>
        <v>14</v>
      </c>
      <c r="BR15" s="1039">
        <f t="shared" si="27"/>
        <v>14</v>
      </c>
      <c r="BS15" s="1039">
        <f t="shared" si="27"/>
        <v>14</v>
      </c>
      <c r="BT15" s="1039">
        <f t="shared" si="27"/>
        <v>14</v>
      </c>
      <c r="BU15" s="1039">
        <f t="shared" si="27"/>
        <v>14</v>
      </c>
      <c r="BV15" s="1039">
        <f t="shared" si="27"/>
        <v>14</v>
      </c>
      <c r="BW15" s="1039">
        <f t="shared" si="27"/>
        <v>14</v>
      </c>
      <c r="BX15" s="1039">
        <f t="shared" si="27"/>
        <v>14</v>
      </c>
      <c r="BY15" s="1039">
        <f t="shared" si="27"/>
        <v>14</v>
      </c>
      <c r="BZ15" s="1039">
        <f t="shared" si="27"/>
        <v>14</v>
      </c>
      <c r="CA15" s="1039">
        <f t="shared" si="27"/>
        <v>14</v>
      </c>
      <c r="CB15" s="1039">
        <f t="shared" si="27"/>
        <v>14</v>
      </c>
      <c r="CC15" s="1039">
        <f t="shared" si="27"/>
        <v>10</v>
      </c>
      <c r="CD15" s="1039">
        <f t="shared" si="27"/>
        <v>10</v>
      </c>
      <c r="CE15" s="1038">
        <f>CC15+CA15+BY15+BW15+BS15+BQ15+BO15+BM15+BK15+BI15+BG15+BU15</f>
        <v>150</v>
      </c>
      <c r="CF15" s="1038">
        <f t="shared" si="9"/>
        <v>150</v>
      </c>
      <c r="CG15" s="1038">
        <f t="shared" si="10"/>
        <v>150</v>
      </c>
      <c r="CH15" s="1038">
        <f t="shared" si="11"/>
        <v>150</v>
      </c>
      <c r="CI15" s="1038">
        <f t="shared" si="12"/>
        <v>150</v>
      </c>
      <c r="CJ15" s="1033">
        <v>190</v>
      </c>
      <c r="CK15" s="1039">
        <f t="shared" ref="CK15:DH15" si="28">+CK10</f>
        <v>5</v>
      </c>
      <c r="CL15" s="1039">
        <f t="shared" si="28"/>
        <v>5</v>
      </c>
      <c r="CM15" s="1039">
        <f t="shared" si="28"/>
        <v>17</v>
      </c>
      <c r="CN15" s="1039">
        <f t="shared" si="28"/>
        <v>17</v>
      </c>
      <c r="CO15" s="1039">
        <f t="shared" si="28"/>
        <v>18</v>
      </c>
      <c r="CP15" s="1039">
        <f t="shared" si="28"/>
        <v>18</v>
      </c>
      <c r="CQ15" s="1039">
        <f t="shared" si="28"/>
        <v>17</v>
      </c>
      <c r="CR15" s="1039">
        <f t="shared" si="28"/>
        <v>17</v>
      </c>
      <c r="CS15" s="1039">
        <f t="shared" si="28"/>
        <v>18</v>
      </c>
      <c r="CT15" s="1039">
        <f t="shared" si="28"/>
        <v>18</v>
      </c>
      <c r="CU15" s="1039">
        <f t="shared" si="28"/>
        <v>17</v>
      </c>
      <c r="CV15" s="1039">
        <f t="shared" si="28"/>
        <v>18</v>
      </c>
      <c r="CW15" s="1039">
        <f t="shared" si="28"/>
        <v>18</v>
      </c>
      <c r="CX15" s="1039">
        <f t="shared" si="28"/>
        <v>18</v>
      </c>
      <c r="CY15" s="1039">
        <f t="shared" si="28"/>
        <v>17</v>
      </c>
      <c r="CZ15" s="1039">
        <f t="shared" si="28"/>
        <v>18</v>
      </c>
      <c r="DA15" s="1039">
        <f t="shared" si="28"/>
        <v>18</v>
      </c>
      <c r="DB15" s="1039">
        <f t="shared" si="28"/>
        <v>18</v>
      </c>
      <c r="DC15" s="1039">
        <f t="shared" si="28"/>
        <v>17</v>
      </c>
      <c r="DD15" s="1039">
        <f t="shared" si="28"/>
        <v>18</v>
      </c>
      <c r="DE15" s="1039">
        <f t="shared" si="28"/>
        <v>18</v>
      </c>
      <c r="DF15" s="1039">
        <f t="shared" si="28"/>
        <v>10</v>
      </c>
      <c r="DG15" s="1039">
        <f t="shared" si="28"/>
        <v>10</v>
      </c>
      <c r="DH15" s="1039">
        <f t="shared" si="28"/>
        <v>10</v>
      </c>
      <c r="DI15" s="1038">
        <f t="shared" si="13"/>
        <v>190</v>
      </c>
      <c r="DJ15" s="1033">
        <f t="shared" si="14"/>
        <v>190</v>
      </c>
      <c r="DK15" s="1033">
        <f t="shared" si="14"/>
        <v>185</v>
      </c>
      <c r="DL15" s="1038">
        <f t="shared" si="15"/>
        <v>190</v>
      </c>
      <c r="DM15" s="1039">
        <f t="shared" si="16"/>
        <v>185</v>
      </c>
      <c r="DN15" s="1033">
        <f>+DN10+DN13</f>
        <v>86</v>
      </c>
      <c r="DO15" s="1033">
        <f t="shared" ref="DO15:DZ15" si="29">+DO10+DO13</f>
        <v>17</v>
      </c>
      <c r="DP15" s="1033">
        <f t="shared" si="29"/>
        <v>17</v>
      </c>
      <c r="DQ15" s="1033">
        <f t="shared" si="29"/>
        <v>14</v>
      </c>
      <c r="DR15" s="1033">
        <f t="shared" si="29"/>
        <v>14</v>
      </c>
      <c r="DS15" s="1033">
        <f t="shared" si="29"/>
        <v>14</v>
      </c>
      <c r="DT15" s="1033">
        <f t="shared" si="29"/>
        <v>14</v>
      </c>
      <c r="DU15" s="1033">
        <f t="shared" si="29"/>
        <v>14</v>
      </c>
      <c r="DV15" s="1033">
        <f t="shared" si="29"/>
        <v>0</v>
      </c>
      <c r="DW15" s="1033">
        <f t="shared" si="29"/>
        <v>14</v>
      </c>
      <c r="DX15" s="1033">
        <f t="shared" si="29"/>
        <v>0</v>
      </c>
      <c r="DY15" s="1033">
        <f t="shared" si="29"/>
        <v>13</v>
      </c>
      <c r="DZ15" s="1033">
        <f t="shared" si="29"/>
        <v>0</v>
      </c>
      <c r="EA15" s="1033"/>
      <c r="EB15" s="1033"/>
      <c r="EC15" s="1033"/>
      <c r="ED15" s="1033"/>
      <c r="EE15" s="1033"/>
      <c r="EF15" s="1033"/>
      <c r="EG15" s="1033"/>
      <c r="EH15" s="1033"/>
      <c r="EI15" s="1033"/>
      <c r="EJ15" s="1033"/>
      <c r="EK15" s="1033"/>
      <c r="EL15" s="1033"/>
      <c r="EM15" s="1038">
        <f t="shared" si="17"/>
        <v>86</v>
      </c>
      <c r="EN15" s="1033">
        <f t="shared" si="25"/>
        <v>45</v>
      </c>
      <c r="EO15" s="1033">
        <f t="shared" si="18"/>
        <v>45</v>
      </c>
      <c r="EP15" s="1038">
        <f t="shared" si="19"/>
        <v>86</v>
      </c>
      <c r="EQ15" s="1039">
        <f t="shared" si="20"/>
        <v>45</v>
      </c>
      <c r="ER15" s="1045">
        <f t="shared" si="26"/>
        <v>1</v>
      </c>
      <c r="ES15" s="1045">
        <f t="shared" si="21"/>
        <v>1</v>
      </c>
      <c r="ET15" s="1046">
        <f t="shared" si="22"/>
        <v>0.52325581395348841</v>
      </c>
      <c r="EU15" s="1046">
        <f t="shared" si="23"/>
        <v>0.99821428571428572</v>
      </c>
      <c r="EV15" s="1046">
        <f t="shared" si="24"/>
        <v>0.93166666666666664</v>
      </c>
      <c r="EW15" s="1073"/>
      <c r="EX15" s="1073"/>
      <c r="EY15" s="1073"/>
      <c r="EZ15" s="1018"/>
      <c r="FA15" s="1018"/>
      <c r="FB15" s="777"/>
      <c r="FC15" s="75"/>
      <c r="FD15" s="75"/>
    </row>
    <row r="16" spans="1:160" ht="31.9" customHeight="1" thickBot="1" x14ac:dyDescent="0.3">
      <c r="A16" s="710"/>
      <c r="B16" s="731"/>
      <c r="C16" s="731"/>
      <c r="D16" s="731"/>
      <c r="E16" s="731"/>
      <c r="F16" s="81" t="s">
        <v>348</v>
      </c>
      <c r="G16" s="646">
        <f>G11+G14</f>
        <v>4097679480</v>
      </c>
      <c r="H16" s="647">
        <f t="shared" ref="H16:DM16" si="30">H11+H14</f>
        <v>370304000</v>
      </c>
      <c r="I16" s="647">
        <f t="shared" si="30"/>
        <v>0</v>
      </c>
      <c r="J16" s="647">
        <f t="shared" si="30"/>
        <v>0</v>
      </c>
      <c r="K16" s="647">
        <f t="shared" si="30"/>
        <v>370304000</v>
      </c>
      <c r="L16" s="647">
        <f t="shared" si="30"/>
        <v>140580000</v>
      </c>
      <c r="M16" s="647">
        <f t="shared" si="30"/>
        <v>361860000</v>
      </c>
      <c r="N16" s="647">
        <f t="shared" si="30"/>
        <v>262457000</v>
      </c>
      <c r="O16" s="647">
        <f t="shared" si="30"/>
        <v>361860000</v>
      </c>
      <c r="P16" s="647">
        <f t="shared" si="30"/>
        <v>262457000</v>
      </c>
      <c r="Q16" s="647">
        <f t="shared" si="30"/>
        <v>384597000</v>
      </c>
      <c r="R16" s="647">
        <f t="shared" si="30"/>
        <v>262457000</v>
      </c>
      <c r="S16" s="647">
        <f t="shared" si="30"/>
        <v>384597000</v>
      </c>
      <c r="T16" s="647">
        <f t="shared" si="30"/>
        <v>312457000</v>
      </c>
      <c r="U16" s="647">
        <f t="shared" si="30"/>
        <v>384597000</v>
      </c>
      <c r="V16" s="647">
        <f t="shared" si="30"/>
        <v>384597000</v>
      </c>
      <c r="W16" s="647">
        <f t="shared" si="30"/>
        <v>370304000</v>
      </c>
      <c r="X16" s="647">
        <f t="shared" si="30"/>
        <v>370304000</v>
      </c>
      <c r="Y16" s="647">
        <f t="shared" si="30"/>
        <v>384597000</v>
      </c>
      <c r="Z16" s="647">
        <f t="shared" si="30"/>
        <v>384597000</v>
      </c>
      <c r="AA16" s="647">
        <f t="shared" si="30"/>
        <v>384597000</v>
      </c>
      <c r="AB16" s="647">
        <f t="shared" si="30"/>
        <v>683300338</v>
      </c>
      <c r="AC16" s="647">
        <f t="shared" si="30"/>
        <v>6777000</v>
      </c>
      <c r="AD16" s="647">
        <f t="shared" si="30"/>
        <v>6777000</v>
      </c>
      <c r="AE16" s="647">
        <f t="shared" si="30"/>
        <v>374324243</v>
      </c>
      <c r="AF16" s="647">
        <f t="shared" si="30"/>
        <v>374324243</v>
      </c>
      <c r="AG16" s="647">
        <f t="shared" si="30"/>
        <v>223394095</v>
      </c>
      <c r="AH16" s="647">
        <f t="shared" si="30"/>
        <v>223394095</v>
      </c>
      <c r="AI16" s="647">
        <f t="shared" si="30"/>
        <v>0</v>
      </c>
      <c r="AJ16" s="647">
        <f t="shared" si="30"/>
        <v>0</v>
      </c>
      <c r="AK16" s="647">
        <f t="shared" si="30"/>
        <v>0</v>
      </c>
      <c r="AL16" s="647">
        <f t="shared" si="30"/>
        <v>0</v>
      </c>
      <c r="AM16" s="647">
        <f t="shared" si="30"/>
        <v>8622572</v>
      </c>
      <c r="AN16" s="647">
        <f t="shared" si="30"/>
        <v>60358000</v>
      </c>
      <c r="AO16" s="647">
        <f t="shared" si="30"/>
        <v>8622572</v>
      </c>
      <c r="AP16" s="647">
        <f t="shared" si="30"/>
        <v>0</v>
      </c>
      <c r="AQ16" s="647">
        <f t="shared" si="30"/>
        <v>0</v>
      </c>
      <c r="AR16" s="647">
        <f t="shared" si="30"/>
        <v>0</v>
      </c>
      <c r="AS16" s="647">
        <f t="shared" si="30"/>
        <v>76578856</v>
      </c>
      <c r="AT16" s="647">
        <f t="shared" si="30"/>
        <v>16491500</v>
      </c>
      <c r="AU16" s="647">
        <f t="shared" si="30"/>
        <v>15666000</v>
      </c>
      <c r="AV16" s="647">
        <f t="shared" si="30"/>
        <v>0</v>
      </c>
      <c r="AW16" s="647">
        <f t="shared" si="30"/>
        <v>0</v>
      </c>
      <c r="AX16" s="647">
        <f t="shared" si="30"/>
        <v>11263000</v>
      </c>
      <c r="AY16" s="647">
        <f t="shared" si="30"/>
        <v>0</v>
      </c>
      <c r="AZ16" s="647">
        <f t="shared" si="30"/>
        <v>6961000</v>
      </c>
      <c r="BA16" s="647">
        <f t="shared" si="30"/>
        <v>713985338</v>
      </c>
      <c r="BB16" s="647">
        <f t="shared" si="30"/>
        <v>713985338</v>
      </c>
      <c r="BC16" s="647">
        <f t="shared" si="30"/>
        <v>699568838</v>
      </c>
      <c r="BD16" s="647">
        <f t="shared" si="30"/>
        <v>713985338</v>
      </c>
      <c r="BE16" s="647">
        <f t="shared" si="30"/>
        <v>699568838</v>
      </c>
      <c r="BF16" s="647">
        <f t="shared" si="30"/>
        <v>1035169733</v>
      </c>
      <c r="BG16" s="647">
        <f t="shared" si="30"/>
        <v>1005045333</v>
      </c>
      <c r="BH16" s="647">
        <f t="shared" si="30"/>
        <v>1005045333</v>
      </c>
      <c r="BI16" s="647">
        <f t="shared" si="30"/>
        <v>25734866</v>
      </c>
      <c r="BJ16" s="647">
        <f t="shared" si="30"/>
        <v>5734866</v>
      </c>
      <c r="BK16" s="647">
        <f t="shared" si="30"/>
        <v>3554334</v>
      </c>
      <c r="BL16" s="647">
        <f t="shared" si="30"/>
        <v>11447384</v>
      </c>
      <c r="BM16" s="647">
        <f t="shared" si="30"/>
        <v>0</v>
      </c>
      <c r="BN16" s="647">
        <f t="shared" si="30"/>
        <v>0</v>
      </c>
      <c r="BO16" s="647">
        <f t="shared" si="30"/>
        <v>0</v>
      </c>
      <c r="BP16" s="647">
        <f t="shared" si="30"/>
        <v>8552616</v>
      </c>
      <c r="BQ16" s="647">
        <f t="shared" si="30"/>
        <v>0</v>
      </c>
      <c r="BR16" s="647">
        <f t="shared" si="30"/>
        <v>3500000</v>
      </c>
      <c r="BS16" s="647">
        <f t="shared" si="30"/>
        <v>417600</v>
      </c>
      <c r="BT16" s="647">
        <f t="shared" si="30"/>
        <v>0</v>
      </c>
      <c r="BU16" s="647">
        <f t="shared" si="30"/>
        <v>0</v>
      </c>
      <c r="BV16" s="647">
        <f t="shared" si="30"/>
        <v>0</v>
      </c>
      <c r="BW16" s="647">
        <f t="shared" si="30"/>
        <v>22976000</v>
      </c>
      <c r="BX16" s="647">
        <f t="shared" si="30"/>
        <v>23393600</v>
      </c>
      <c r="BY16" s="647">
        <f t="shared" si="30"/>
        <v>23257000</v>
      </c>
      <c r="BZ16" s="647">
        <f t="shared" si="30"/>
        <v>0</v>
      </c>
      <c r="CA16" s="647">
        <f t="shared" si="30"/>
        <v>21744668</v>
      </c>
      <c r="CB16" s="647">
        <f t="shared" si="30"/>
        <v>33335333</v>
      </c>
      <c r="CC16" s="647">
        <f t="shared" si="30"/>
        <v>0</v>
      </c>
      <c r="CD16" s="647">
        <f t="shared" si="30"/>
        <v>11720667</v>
      </c>
      <c r="CE16" s="647">
        <f t="shared" si="30"/>
        <v>1102729801</v>
      </c>
      <c r="CF16" s="647">
        <f t="shared" si="30"/>
        <v>1102729801</v>
      </c>
      <c r="CG16" s="647">
        <f t="shared" si="30"/>
        <v>1102729799</v>
      </c>
      <c r="CH16" s="647">
        <f t="shared" si="30"/>
        <v>1102729801</v>
      </c>
      <c r="CI16" s="647">
        <f t="shared" si="30"/>
        <v>1102729799</v>
      </c>
      <c r="CJ16" s="647">
        <f t="shared" si="30"/>
        <v>1071627108</v>
      </c>
      <c r="CK16" s="647">
        <f t="shared" si="30"/>
        <v>435262449</v>
      </c>
      <c r="CL16" s="647">
        <f t="shared" si="30"/>
        <v>435262449</v>
      </c>
      <c r="CM16" s="647">
        <f t="shared" si="30"/>
        <v>417769223</v>
      </c>
      <c r="CN16" s="647">
        <f t="shared" si="30"/>
        <v>417769223</v>
      </c>
      <c r="CO16" s="647">
        <f t="shared" si="30"/>
        <v>25775341</v>
      </c>
      <c r="CP16" s="647">
        <f t="shared" si="30"/>
        <v>25775341</v>
      </c>
      <c r="CQ16" s="647">
        <f t="shared" si="30"/>
        <v>80000000</v>
      </c>
      <c r="CR16" s="647">
        <f t="shared" si="30"/>
        <v>37237086</v>
      </c>
      <c r="CS16" s="647">
        <f t="shared" si="30"/>
        <v>58576190</v>
      </c>
      <c r="CT16" s="647">
        <f t="shared" si="30"/>
        <v>40396340</v>
      </c>
      <c r="CU16" s="647">
        <f t="shared" si="30"/>
        <v>24890196</v>
      </c>
      <c r="CV16" s="647">
        <f t="shared" si="30"/>
        <v>73065732</v>
      </c>
      <c r="CW16" s="647">
        <f t="shared" si="30"/>
        <v>38330067</v>
      </c>
      <c r="CX16" s="647">
        <f t="shared" si="30"/>
        <v>0</v>
      </c>
      <c r="CY16" s="647">
        <f t="shared" si="30"/>
        <v>0</v>
      </c>
      <c r="CZ16" s="647">
        <f t="shared" si="30"/>
        <v>0</v>
      </c>
      <c r="DA16" s="647">
        <f t="shared" si="30"/>
        <v>-10146501</v>
      </c>
      <c r="DB16" s="647">
        <f t="shared" si="30"/>
        <v>28460000</v>
      </c>
      <c r="DC16" s="647">
        <f t="shared" si="30"/>
        <v>0</v>
      </c>
      <c r="DD16" s="647">
        <f t="shared" si="30"/>
        <v>37372</v>
      </c>
      <c r="DE16" s="647">
        <f t="shared" si="30"/>
        <v>-2059767</v>
      </c>
      <c r="DF16" s="647">
        <f t="shared" si="30"/>
        <v>0</v>
      </c>
      <c r="DG16" s="647">
        <f t="shared" si="30"/>
        <v>28798144</v>
      </c>
      <c r="DH16" s="647">
        <f t="shared" si="30"/>
        <v>37830067</v>
      </c>
      <c r="DI16" s="647">
        <f t="shared" si="30"/>
        <v>1097195342</v>
      </c>
      <c r="DJ16" s="647">
        <f t="shared" si="30"/>
        <v>1097195342</v>
      </c>
      <c r="DK16" s="647">
        <f t="shared" si="30"/>
        <v>1095833610</v>
      </c>
      <c r="DL16" s="647">
        <f t="shared" si="30"/>
        <v>1097195342</v>
      </c>
      <c r="DM16" s="647">
        <f t="shared" si="30"/>
        <v>1095833610</v>
      </c>
      <c r="DN16" s="647">
        <f>+DN11+DN14</f>
        <v>814950233</v>
      </c>
      <c r="DO16" s="647">
        <f t="shared" ref="DO16:EQ16" si="31">+DO11+DO14</f>
        <v>113551843</v>
      </c>
      <c r="DP16" s="647">
        <f t="shared" si="31"/>
        <v>113551843</v>
      </c>
      <c r="DQ16" s="647">
        <f t="shared" si="31"/>
        <v>316773657</v>
      </c>
      <c r="DR16" s="647">
        <f t="shared" si="31"/>
        <v>209006918</v>
      </c>
      <c r="DS16" s="647">
        <f t="shared" si="31"/>
        <v>26934632</v>
      </c>
      <c r="DT16" s="647">
        <f t="shared" si="31"/>
        <v>6351682</v>
      </c>
      <c r="DU16" s="647">
        <f t="shared" si="31"/>
        <v>46914000</v>
      </c>
      <c r="DV16" s="647">
        <f t="shared" si="31"/>
        <v>0</v>
      </c>
      <c r="DW16" s="647">
        <f t="shared" si="31"/>
        <v>0</v>
      </c>
      <c r="DX16" s="647">
        <f t="shared" si="31"/>
        <v>0</v>
      </c>
      <c r="DY16" s="647">
        <f t="shared" si="31"/>
        <v>310776101</v>
      </c>
      <c r="DZ16" s="647">
        <f t="shared" si="31"/>
        <v>0</v>
      </c>
      <c r="EA16" s="647">
        <f t="shared" si="31"/>
        <v>0</v>
      </c>
      <c r="EB16" s="647">
        <f t="shared" si="31"/>
        <v>0</v>
      </c>
      <c r="EC16" s="647">
        <f t="shared" si="31"/>
        <v>0</v>
      </c>
      <c r="ED16" s="647">
        <f t="shared" si="31"/>
        <v>0</v>
      </c>
      <c r="EE16" s="647">
        <f t="shared" si="31"/>
        <v>0</v>
      </c>
      <c r="EF16" s="647">
        <f t="shared" si="31"/>
        <v>0</v>
      </c>
      <c r="EG16" s="647">
        <f t="shared" si="31"/>
        <v>0</v>
      </c>
      <c r="EH16" s="647">
        <f t="shared" si="31"/>
        <v>0</v>
      </c>
      <c r="EI16" s="647">
        <f t="shared" si="31"/>
        <v>0</v>
      </c>
      <c r="EJ16" s="647">
        <f t="shared" si="31"/>
        <v>0</v>
      </c>
      <c r="EK16" s="647">
        <f t="shared" si="31"/>
        <v>0</v>
      </c>
      <c r="EL16" s="647">
        <f t="shared" si="31"/>
        <v>0</v>
      </c>
      <c r="EM16" s="647">
        <f t="shared" si="31"/>
        <v>814950233</v>
      </c>
      <c r="EN16" s="647">
        <f t="shared" si="31"/>
        <v>457260132</v>
      </c>
      <c r="EO16" s="647">
        <f t="shared" si="31"/>
        <v>328910443</v>
      </c>
      <c r="EP16" s="647">
        <f t="shared" si="31"/>
        <v>814950233</v>
      </c>
      <c r="EQ16" s="647">
        <f t="shared" si="31"/>
        <v>328910443</v>
      </c>
      <c r="ER16" s="648">
        <f t="shared" si="26"/>
        <v>0.23581840657782144</v>
      </c>
      <c r="ES16" s="648">
        <f>EO16/EN16</f>
        <v>0.71930706392745392</v>
      </c>
      <c r="ET16" s="649">
        <f>EQ16/EP16</f>
        <v>0.40359574079660393</v>
      </c>
      <c r="EU16" s="649">
        <f t="shared" si="23"/>
        <v>0.96162490924594912</v>
      </c>
      <c r="EV16" s="650">
        <f t="shared" si="24"/>
        <v>0.88138657687301591</v>
      </c>
      <c r="EW16" s="1076"/>
      <c r="EX16" s="1076"/>
      <c r="EY16" s="1076"/>
      <c r="EZ16" s="1048"/>
      <c r="FA16" s="1048"/>
      <c r="FB16" s="778"/>
      <c r="FC16" s="77"/>
      <c r="FD16" s="77"/>
    </row>
    <row r="17" spans="1:160" ht="31.9" customHeight="1" x14ac:dyDescent="0.25">
      <c r="A17" s="710"/>
      <c r="B17" s="759">
        <v>2</v>
      </c>
      <c r="C17" s="758" t="s">
        <v>349</v>
      </c>
      <c r="D17" s="758" t="s">
        <v>177</v>
      </c>
      <c r="E17" s="758">
        <v>200</v>
      </c>
      <c r="F17" s="73" t="s">
        <v>340</v>
      </c>
      <c r="G17" s="993">
        <f>AA17+BE17+CI17+DM17+EP17</f>
        <v>397</v>
      </c>
      <c r="H17" s="1049">
        <v>20</v>
      </c>
      <c r="I17" s="993"/>
      <c r="J17" s="993"/>
      <c r="K17" s="993">
        <v>20</v>
      </c>
      <c r="L17" s="993">
        <v>0</v>
      </c>
      <c r="M17" s="993">
        <v>20</v>
      </c>
      <c r="N17" s="998">
        <v>0</v>
      </c>
      <c r="O17" s="993">
        <v>20</v>
      </c>
      <c r="P17" s="998">
        <v>2</v>
      </c>
      <c r="Q17" s="993">
        <v>20</v>
      </c>
      <c r="R17" s="999">
        <v>6</v>
      </c>
      <c r="S17" s="993">
        <v>20</v>
      </c>
      <c r="T17" s="998">
        <v>12</v>
      </c>
      <c r="U17" s="993">
        <v>20</v>
      </c>
      <c r="V17" s="993">
        <v>20</v>
      </c>
      <c r="W17" s="1001">
        <f t="shared" ref="W17:W22" si="32">+H17</f>
        <v>20</v>
      </c>
      <c r="X17" s="1001">
        <f t="shared" ref="X17:X22" si="33">+H17</f>
        <v>20</v>
      </c>
      <c r="Y17" s="1001">
        <f t="shared" ref="Y17:Y22" si="34">+V17</f>
        <v>20</v>
      </c>
      <c r="Z17" s="1001">
        <f t="shared" ref="Z17:AA22" si="35">+U17</f>
        <v>20</v>
      </c>
      <c r="AA17" s="1001">
        <f t="shared" si="35"/>
        <v>20</v>
      </c>
      <c r="AB17" s="993">
        <v>77</v>
      </c>
      <c r="AC17" s="993">
        <v>5</v>
      </c>
      <c r="AD17" s="993">
        <v>5</v>
      </c>
      <c r="AE17" s="993">
        <v>6</v>
      </c>
      <c r="AF17" s="993">
        <v>6</v>
      </c>
      <c r="AG17" s="993">
        <v>7</v>
      </c>
      <c r="AH17" s="993">
        <v>7</v>
      </c>
      <c r="AI17" s="998">
        <v>7</v>
      </c>
      <c r="AJ17" s="998">
        <v>7</v>
      </c>
      <c r="AK17" s="998">
        <v>7</v>
      </c>
      <c r="AL17" s="998">
        <v>7</v>
      </c>
      <c r="AM17" s="998">
        <v>7</v>
      </c>
      <c r="AN17" s="998">
        <v>7</v>
      </c>
      <c r="AO17" s="998">
        <v>7</v>
      </c>
      <c r="AP17" s="998">
        <v>7</v>
      </c>
      <c r="AQ17" s="998">
        <v>7</v>
      </c>
      <c r="AR17" s="998">
        <v>7</v>
      </c>
      <c r="AS17" s="998">
        <v>7</v>
      </c>
      <c r="AT17" s="998">
        <v>7</v>
      </c>
      <c r="AU17" s="998">
        <v>6</v>
      </c>
      <c r="AV17" s="998">
        <v>7</v>
      </c>
      <c r="AW17" s="998">
        <v>6</v>
      </c>
      <c r="AX17" s="998">
        <v>5</v>
      </c>
      <c r="AY17" s="993">
        <v>5</v>
      </c>
      <c r="AZ17" s="998">
        <v>6</v>
      </c>
      <c r="BA17" s="1001">
        <f t="shared" ref="BA17:BA22" si="36">AY17+AW17+AU17+AS17+AO17+AM17+AK17+AI17+AG17+AE17+AC17+AQ17</f>
        <v>77</v>
      </c>
      <c r="BB17" s="1001">
        <f t="shared" ref="BB17:BB22" si="37">AC17+AE17+AG17+AI17+AK17+AM17+AO17+AQ17+AS17+AU17+AW17+AY17</f>
        <v>77</v>
      </c>
      <c r="BC17" s="1001">
        <f t="shared" ref="BC17:BC22" si="38">+AN17+AD17+AF17+AH17+AJ17+AL17+AP17+AR17+AT17+AV17+AX17+AZ17</f>
        <v>78</v>
      </c>
      <c r="BD17" s="1001">
        <f t="shared" ref="BD17:BD22" si="39">BA17</f>
        <v>77</v>
      </c>
      <c r="BE17" s="1001">
        <f t="shared" ref="BE17:BE22" si="40">AF17+AH17+AJ17+AL17+AD17+AN17+AP17+AR17+AT17+AV17+AX17+AZ17</f>
        <v>78</v>
      </c>
      <c r="BF17" s="993">
        <v>100</v>
      </c>
      <c r="BG17" s="993">
        <v>0</v>
      </c>
      <c r="BH17" s="993">
        <v>0</v>
      </c>
      <c r="BI17" s="993">
        <v>10</v>
      </c>
      <c r="BJ17" s="993">
        <v>10</v>
      </c>
      <c r="BK17" s="993">
        <v>9</v>
      </c>
      <c r="BL17" s="993">
        <v>10</v>
      </c>
      <c r="BM17" s="993">
        <v>9</v>
      </c>
      <c r="BN17" s="993">
        <v>10</v>
      </c>
      <c r="BO17" s="993">
        <v>9</v>
      </c>
      <c r="BP17" s="993">
        <v>10</v>
      </c>
      <c r="BQ17" s="993">
        <v>9</v>
      </c>
      <c r="BR17" s="993">
        <v>10</v>
      </c>
      <c r="BS17" s="993">
        <v>9</v>
      </c>
      <c r="BT17" s="993">
        <v>10</v>
      </c>
      <c r="BU17" s="993">
        <v>9</v>
      </c>
      <c r="BV17" s="993">
        <v>10</v>
      </c>
      <c r="BW17" s="993">
        <v>9</v>
      </c>
      <c r="BX17" s="993">
        <v>10</v>
      </c>
      <c r="BY17" s="993">
        <v>9</v>
      </c>
      <c r="BZ17" s="993">
        <v>10</v>
      </c>
      <c r="CA17" s="993">
        <v>9</v>
      </c>
      <c r="CB17" s="993">
        <v>9</v>
      </c>
      <c r="CC17" s="993">
        <v>18</v>
      </c>
      <c r="CD17" s="993">
        <v>10</v>
      </c>
      <c r="CE17" s="1001">
        <f t="shared" ref="CE17:CE22" si="41">CC17+CA17+BY17+BW17+BS17+BQ17+BO17+BM17+BK17+BI17+BG17+BU17</f>
        <v>109</v>
      </c>
      <c r="CF17" s="1001">
        <f t="shared" ref="CF17:CF22" si="42">+BG17+BI17+BK17+BM17+BO17+BQ17+BS17+BU17+BW17+BY17+CA17+CC17</f>
        <v>109</v>
      </c>
      <c r="CG17" s="1001">
        <f t="shared" ref="CG17:CG22" si="43">+BR17+BH17+BJ17+BL17+BN17+BP17+BT17+BV17+BX17+BZ17+CB17+CD17</f>
        <v>109</v>
      </c>
      <c r="CH17" s="1001">
        <f t="shared" ref="CH17:CH22" si="44">CE17</f>
        <v>109</v>
      </c>
      <c r="CI17" s="1001">
        <f t="shared" ref="CI17:CI22" si="45">BJ17+BL17+BN17+BP17+BH17+BR17+BT17+BV17+BX17+BZ17+CB17+CD17</f>
        <v>109</v>
      </c>
      <c r="CJ17" s="993">
        <v>140</v>
      </c>
      <c r="CK17" s="993">
        <v>0</v>
      </c>
      <c r="CL17" s="993">
        <v>0</v>
      </c>
      <c r="CM17" s="993">
        <v>13</v>
      </c>
      <c r="CN17" s="993">
        <v>13</v>
      </c>
      <c r="CO17" s="993">
        <v>13</v>
      </c>
      <c r="CP17" s="993">
        <v>13</v>
      </c>
      <c r="CQ17" s="993">
        <v>13</v>
      </c>
      <c r="CR17" s="993">
        <v>13</v>
      </c>
      <c r="CS17" s="993">
        <v>13</v>
      </c>
      <c r="CT17" s="993">
        <v>13</v>
      </c>
      <c r="CU17" s="993">
        <v>13</v>
      </c>
      <c r="CV17" s="993">
        <v>13</v>
      </c>
      <c r="CW17" s="993">
        <v>13</v>
      </c>
      <c r="CX17" s="993">
        <v>13</v>
      </c>
      <c r="CY17" s="993">
        <v>13</v>
      </c>
      <c r="CZ17" s="993">
        <v>13</v>
      </c>
      <c r="DA17" s="993">
        <v>13</v>
      </c>
      <c r="DB17" s="993">
        <v>13</v>
      </c>
      <c r="DC17" s="993">
        <v>13</v>
      </c>
      <c r="DD17" s="993">
        <v>13</v>
      </c>
      <c r="DE17" s="993">
        <v>13</v>
      </c>
      <c r="DF17" s="993">
        <v>10</v>
      </c>
      <c r="DG17" s="993">
        <v>10</v>
      </c>
      <c r="DH17" s="993">
        <v>10</v>
      </c>
      <c r="DI17" s="993">
        <f t="shared" ref="DI17:DI22" si="46">DG17+DE17+DC17+DA17+CY17+CW17+CU17+CS17+CQ17+CO17+CM17+CK17</f>
        <v>140</v>
      </c>
      <c r="DJ17" s="993">
        <f t="shared" ref="DJ17:DK22" si="47">CK17+CM17+CO17+CQ17+CS17+CU17+CW17+CY17+DA17+DC17+DE17+DG17</f>
        <v>140</v>
      </c>
      <c r="DK17" s="993">
        <f t="shared" si="47"/>
        <v>137</v>
      </c>
      <c r="DL17" s="993">
        <f t="shared" ref="DL17:DL22" si="48">DI17</f>
        <v>140</v>
      </c>
      <c r="DM17" s="993">
        <f t="shared" ref="DM17:DM22" si="49">CN17+CP17+CR17+CT17+CL17+CV17+CX17+CZ17+DB17+DD17+DF17+DH17</f>
        <v>137</v>
      </c>
      <c r="DN17" s="993">
        <v>53</v>
      </c>
      <c r="DO17" s="1051">
        <v>7</v>
      </c>
      <c r="DP17" s="1051">
        <v>7</v>
      </c>
      <c r="DQ17" s="1051">
        <v>10</v>
      </c>
      <c r="DR17" s="1051">
        <v>10</v>
      </c>
      <c r="DS17" s="1051">
        <v>10</v>
      </c>
      <c r="DT17" s="1051">
        <v>10</v>
      </c>
      <c r="DU17" s="1051">
        <v>10</v>
      </c>
      <c r="DV17" s="1051"/>
      <c r="DW17" s="1051">
        <v>10</v>
      </c>
      <c r="DX17" s="1051"/>
      <c r="DY17" s="1051">
        <v>6</v>
      </c>
      <c r="DZ17" s="998"/>
      <c r="EA17" s="998"/>
      <c r="EB17" s="998"/>
      <c r="EC17" s="998"/>
      <c r="ED17" s="998"/>
      <c r="EE17" s="998"/>
      <c r="EF17" s="998"/>
      <c r="EG17" s="993"/>
      <c r="EH17" s="993"/>
      <c r="EI17" s="993"/>
      <c r="EJ17" s="993"/>
      <c r="EK17" s="993"/>
      <c r="EL17" s="993"/>
      <c r="EM17" s="993">
        <f>EK17+EI17+EG17+EE17+EC17+EA17+DY17+DW17+DU17+DS17+DQ17+DO17</f>
        <v>53</v>
      </c>
      <c r="EN17" s="993">
        <f>DO17+DQ17+DS17</f>
        <v>27</v>
      </c>
      <c r="EO17" s="993">
        <f t="shared" ref="EO17:EO22" si="50">DP17+DR17+DT17+DV17</f>
        <v>27</v>
      </c>
      <c r="EP17" s="1052">
        <f>DQ17+DS17+DU17+DW17+DY17+EA17+EC17+EE17+EG17+EI17+EK17+DO17</f>
        <v>53</v>
      </c>
      <c r="EQ17" s="998">
        <f t="shared" ref="EQ17:EQ78" si="51">DR17+DT17+DV17+DX17+DP17+DZ17+EB17+ED17+EF17+EH17+EJ17+EL17</f>
        <v>27</v>
      </c>
      <c r="ER17" s="1008">
        <f t="shared" si="26"/>
        <v>1</v>
      </c>
      <c r="ES17" s="1008">
        <f t="shared" si="21"/>
        <v>1</v>
      </c>
      <c r="ET17" s="1009">
        <f t="shared" si="22"/>
        <v>0.50943396226415094</v>
      </c>
      <c r="EU17" s="1009">
        <f t="shared" si="23"/>
        <v>0.99463806970509383</v>
      </c>
      <c r="EV17" s="1009">
        <f t="shared" si="24"/>
        <v>0.93450881612090675</v>
      </c>
      <c r="EW17" s="1441" t="s">
        <v>1604</v>
      </c>
      <c r="EX17" s="1072" t="s">
        <v>178</v>
      </c>
      <c r="EY17" s="1072" t="s">
        <v>178</v>
      </c>
      <c r="EZ17" s="1011" t="s">
        <v>350</v>
      </c>
      <c r="FA17" s="1011" t="s">
        <v>342</v>
      </c>
      <c r="FB17" s="776"/>
      <c r="FC17" s="75"/>
      <c r="FD17" s="75"/>
    </row>
    <row r="18" spans="1:160" ht="31.9" customHeight="1" x14ac:dyDescent="0.25">
      <c r="A18" s="710"/>
      <c r="B18" s="710"/>
      <c r="C18" s="710"/>
      <c r="D18" s="710"/>
      <c r="E18" s="710"/>
      <c r="F18" s="76" t="s">
        <v>343</v>
      </c>
      <c r="G18" s="641">
        <f>AA18+BE18+CI18+DM18+EP18</f>
        <v>992144500</v>
      </c>
      <c r="H18" s="1012">
        <v>151328000</v>
      </c>
      <c r="I18" s="1012"/>
      <c r="J18" s="1012"/>
      <c r="K18" s="1012">
        <v>151328000</v>
      </c>
      <c r="L18" s="1012">
        <v>0</v>
      </c>
      <c r="M18" s="1012">
        <v>142884000</v>
      </c>
      <c r="N18" s="1012">
        <v>71774000</v>
      </c>
      <c r="O18" s="1012">
        <v>142884000</v>
      </c>
      <c r="P18" s="1012">
        <v>71774000</v>
      </c>
      <c r="Q18" s="1012">
        <v>140462163</v>
      </c>
      <c r="R18" s="1012">
        <v>71774000</v>
      </c>
      <c r="S18" s="1012">
        <v>140462163</v>
      </c>
      <c r="T18" s="1012">
        <v>121774000</v>
      </c>
      <c r="U18" s="1012">
        <v>140462163</v>
      </c>
      <c r="V18" s="1012">
        <v>138662000</v>
      </c>
      <c r="W18" s="1012">
        <f t="shared" si="32"/>
        <v>151328000</v>
      </c>
      <c r="X18" s="1012">
        <f t="shared" si="33"/>
        <v>151328000</v>
      </c>
      <c r="Y18" s="1012">
        <f t="shared" si="34"/>
        <v>138662000</v>
      </c>
      <c r="Z18" s="1012">
        <f t="shared" si="35"/>
        <v>140462163</v>
      </c>
      <c r="AA18" s="1012">
        <f t="shared" si="35"/>
        <v>138662000</v>
      </c>
      <c r="AB18" s="1012">
        <v>198130000</v>
      </c>
      <c r="AC18" s="1012">
        <v>0</v>
      </c>
      <c r="AD18" s="1012">
        <v>0</v>
      </c>
      <c r="AE18" s="1012">
        <v>129690000</v>
      </c>
      <c r="AF18" s="1012">
        <v>129690000</v>
      </c>
      <c r="AG18" s="1012">
        <f>168597000-AF18</f>
        <v>38907000</v>
      </c>
      <c r="AH18" s="1012">
        <v>38907000</v>
      </c>
      <c r="AI18" s="1012">
        <f>168597000-AF18-AH18</f>
        <v>0</v>
      </c>
      <c r="AJ18" s="1012">
        <v>0</v>
      </c>
      <c r="AK18" s="1012">
        <f>168597000-AF18-AH18</f>
        <v>0</v>
      </c>
      <c r="AL18" s="1012">
        <v>0</v>
      </c>
      <c r="AM18" s="1012">
        <v>0</v>
      </c>
      <c r="AN18" s="1012">
        <v>0</v>
      </c>
      <c r="AO18" s="1012">
        <v>0</v>
      </c>
      <c r="AP18" s="1012">
        <v>0</v>
      </c>
      <c r="AQ18" s="1012">
        <v>0</v>
      </c>
      <c r="AR18" s="1012">
        <v>0</v>
      </c>
      <c r="AS18" s="1012">
        <v>4323000</v>
      </c>
      <c r="AT18" s="1012">
        <v>0</v>
      </c>
      <c r="AU18" s="1012">
        <v>0</v>
      </c>
      <c r="AV18" s="1012">
        <v>0</v>
      </c>
      <c r="AW18" s="1012">
        <v>0</v>
      </c>
      <c r="AX18" s="1012">
        <v>0</v>
      </c>
      <c r="AY18" s="1012">
        <v>0</v>
      </c>
      <c r="AZ18" s="1012">
        <v>4323000</v>
      </c>
      <c r="BA18" s="1012">
        <f t="shared" si="36"/>
        <v>172920000</v>
      </c>
      <c r="BB18" s="1012">
        <f t="shared" si="37"/>
        <v>172920000</v>
      </c>
      <c r="BC18" s="1012">
        <f t="shared" si="38"/>
        <v>172920000</v>
      </c>
      <c r="BD18" s="1012">
        <f t="shared" si="39"/>
        <v>172920000</v>
      </c>
      <c r="BE18" s="1012">
        <f t="shared" si="40"/>
        <v>172920000</v>
      </c>
      <c r="BF18" s="1012">
        <v>132270000</v>
      </c>
      <c r="BG18" s="1012">
        <v>132270000</v>
      </c>
      <c r="BH18" s="1012">
        <v>132270000</v>
      </c>
      <c r="BI18" s="1012">
        <v>0</v>
      </c>
      <c r="BJ18" s="1012">
        <v>0</v>
      </c>
      <c r="BK18" s="1012">
        <v>0</v>
      </c>
      <c r="BL18" s="1012">
        <v>0</v>
      </c>
      <c r="BM18" s="1012">
        <v>0</v>
      </c>
      <c r="BN18" s="1012">
        <v>0</v>
      </c>
      <c r="BO18" s="1012">
        <v>0</v>
      </c>
      <c r="BP18" s="1012">
        <v>0</v>
      </c>
      <c r="BQ18" s="1012">
        <v>0</v>
      </c>
      <c r="BR18" s="1012">
        <v>0</v>
      </c>
      <c r="BS18" s="1012">
        <v>0</v>
      </c>
      <c r="BT18" s="1012">
        <v>0</v>
      </c>
      <c r="BU18" s="1012">
        <v>0</v>
      </c>
      <c r="BV18" s="1012">
        <v>0</v>
      </c>
      <c r="BW18" s="1012">
        <v>0</v>
      </c>
      <c r="BX18" s="1012">
        <v>0</v>
      </c>
      <c r="BY18" s="1012">
        <v>0</v>
      </c>
      <c r="BZ18" s="1012">
        <v>0</v>
      </c>
      <c r="CA18" s="1012">
        <v>8818000</v>
      </c>
      <c r="CB18" s="1012">
        <v>6613500</v>
      </c>
      <c r="CC18" s="1012">
        <v>0</v>
      </c>
      <c r="CD18" s="1012">
        <v>0</v>
      </c>
      <c r="CE18" s="1012">
        <f t="shared" si="41"/>
        <v>141088000</v>
      </c>
      <c r="CF18" s="1012">
        <f t="shared" si="42"/>
        <v>141088000</v>
      </c>
      <c r="CG18" s="1012">
        <f t="shared" si="43"/>
        <v>138883500</v>
      </c>
      <c r="CH18" s="1012">
        <f t="shared" si="44"/>
        <v>141088000</v>
      </c>
      <c r="CI18" s="1012">
        <f t="shared" si="45"/>
        <v>138883500</v>
      </c>
      <c r="CJ18" s="1012">
        <v>180497000</v>
      </c>
      <c r="CK18" s="1012">
        <v>0</v>
      </c>
      <c r="CL18" s="1012">
        <v>0</v>
      </c>
      <c r="CM18" s="1012">
        <v>44090000</v>
      </c>
      <c r="CN18" s="1012">
        <v>44090000</v>
      </c>
      <c r="CO18" s="1012">
        <v>88180000</v>
      </c>
      <c r="CP18" s="1012">
        <v>88180000</v>
      </c>
      <c r="CQ18" s="1012">
        <v>0</v>
      </c>
      <c r="CR18" s="1012">
        <v>0</v>
      </c>
      <c r="CS18" s="1012">
        <v>35000000</v>
      </c>
      <c r="CT18" s="1012">
        <v>0</v>
      </c>
      <c r="CU18" s="1012"/>
      <c r="CV18" s="1012"/>
      <c r="CW18" s="1012">
        <v>-8818000</v>
      </c>
      <c r="CX18" s="1012">
        <v>0</v>
      </c>
      <c r="CY18" s="1012"/>
      <c r="CZ18" s="1012">
        <v>0</v>
      </c>
      <c r="DA18" s="1012"/>
      <c r="DB18" s="1012"/>
      <c r="DC18" s="1012"/>
      <c r="DD18" s="1012"/>
      <c r="DE18" s="1012"/>
      <c r="DF18" s="1012"/>
      <c r="DG18" s="1012">
        <v>13227000</v>
      </c>
      <c r="DH18" s="1012">
        <v>22409000</v>
      </c>
      <c r="DI18" s="1012">
        <f t="shared" si="46"/>
        <v>171679000</v>
      </c>
      <c r="DJ18" s="1012">
        <f t="shared" si="47"/>
        <v>171679000</v>
      </c>
      <c r="DK18" s="1012">
        <f t="shared" si="47"/>
        <v>154679000</v>
      </c>
      <c r="DL18" s="642">
        <f t="shared" si="48"/>
        <v>171679000</v>
      </c>
      <c r="DM18" s="1012">
        <f t="shared" si="49"/>
        <v>154679000</v>
      </c>
      <c r="DN18" s="1012">
        <v>387000000</v>
      </c>
      <c r="DO18" s="1056">
        <v>8818000</v>
      </c>
      <c r="DP18" s="1056">
        <v>8818000</v>
      </c>
      <c r="DQ18" s="1056">
        <v>49502000</v>
      </c>
      <c r="DR18" s="1056">
        <v>0</v>
      </c>
      <c r="DS18" s="1056"/>
      <c r="DT18" s="1014">
        <v>95120000</v>
      </c>
      <c r="DU18" s="1056">
        <v>14580000</v>
      </c>
      <c r="DV18" s="1056"/>
      <c r="DW18" s="1056">
        <v>10622000</v>
      </c>
      <c r="DX18" s="1056"/>
      <c r="DY18" s="1014">
        <f>DN18-DQ18-DP18-DU18-DW18</f>
        <v>303478000</v>
      </c>
      <c r="DZ18" s="1055"/>
      <c r="EA18" s="1055"/>
      <c r="EB18" s="1055"/>
      <c r="EC18" s="1055"/>
      <c r="ED18" s="1055"/>
      <c r="EE18" s="1055"/>
      <c r="EF18" s="1055"/>
      <c r="EG18" s="1055"/>
      <c r="EH18" s="1055"/>
      <c r="EI18" s="1055"/>
      <c r="EJ18" s="1055"/>
      <c r="EK18" s="1055"/>
      <c r="EL18" s="1055"/>
      <c r="EM18" s="643">
        <f>EK18+EI18+EG18+EE18+EC18+EA18+DY18+DW18+DU18+DS18+DQ18+DO18</f>
        <v>387000000</v>
      </c>
      <c r="EN18" s="643">
        <f>DO18+DQ18+DS18</f>
        <v>58320000</v>
      </c>
      <c r="EO18" s="643">
        <f t="shared" si="50"/>
        <v>103938000</v>
      </c>
      <c r="EP18" s="641">
        <f>DQ18+DS18+DU18+DW18+DY18+EA18+EC18+EE18+EG18+EI18+EK18+DO18</f>
        <v>387000000</v>
      </c>
      <c r="EQ18" s="641">
        <f t="shared" si="51"/>
        <v>103938000</v>
      </c>
      <c r="ER18" s="1007">
        <f t="shared" si="26"/>
        <v>0</v>
      </c>
      <c r="ES18" s="1007">
        <f t="shared" si="21"/>
        <v>1.782201646090535</v>
      </c>
      <c r="ET18" s="1016">
        <f t="shared" si="22"/>
        <v>0.26857364341085271</v>
      </c>
      <c r="EU18" s="1016">
        <f t="shared" si="23"/>
        <v>1.0359597456401406</v>
      </c>
      <c r="EV18" s="1016">
        <f t="shared" si="24"/>
        <v>0.71469680071804054</v>
      </c>
      <c r="EW18" s="1073"/>
      <c r="EX18" s="1073"/>
      <c r="EY18" s="1073"/>
      <c r="EZ18" s="1018"/>
      <c r="FA18" s="1018"/>
      <c r="FB18" s="777"/>
      <c r="FC18" s="82"/>
      <c r="FD18" s="82"/>
    </row>
    <row r="19" spans="1:160" ht="31.9" customHeight="1" x14ac:dyDescent="0.25">
      <c r="A19" s="710"/>
      <c r="B19" s="710"/>
      <c r="C19" s="710"/>
      <c r="D19" s="710"/>
      <c r="E19" s="710"/>
      <c r="F19" s="78" t="s">
        <v>344</v>
      </c>
      <c r="G19" s="1015"/>
      <c r="H19" s="1012"/>
      <c r="I19" s="1012"/>
      <c r="J19" s="1012"/>
      <c r="K19" s="1012"/>
      <c r="L19" s="1012"/>
      <c r="M19" s="1012"/>
      <c r="N19" s="1012"/>
      <c r="O19" s="1012"/>
      <c r="P19" s="1012"/>
      <c r="Q19" s="1012"/>
      <c r="R19" s="1012"/>
      <c r="S19" s="1012"/>
      <c r="T19" s="1012"/>
      <c r="U19" s="1012"/>
      <c r="V19" s="1012"/>
      <c r="W19" s="1012">
        <f t="shared" si="32"/>
        <v>0</v>
      </c>
      <c r="X19" s="1012">
        <f t="shared" si="33"/>
        <v>0</v>
      </c>
      <c r="Y19" s="1012">
        <f t="shared" si="34"/>
        <v>0</v>
      </c>
      <c r="Z19" s="1012">
        <f t="shared" si="35"/>
        <v>0</v>
      </c>
      <c r="AA19" s="1012">
        <f t="shared" si="35"/>
        <v>0</v>
      </c>
      <c r="AB19" s="1012"/>
      <c r="AC19" s="1012"/>
      <c r="AD19" s="1012"/>
      <c r="AE19" s="1012"/>
      <c r="AF19" s="1012"/>
      <c r="AG19" s="1012">
        <v>7349100</v>
      </c>
      <c r="AH19" s="1012">
        <v>7349100</v>
      </c>
      <c r="AI19" s="1012">
        <f>22047300-AH19</f>
        <v>14698200</v>
      </c>
      <c r="AJ19" s="1012">
        <v>14698200</v>
      </c>
      <c r="AK19" s="1012">
        <v>17292000</v>
      </c>
      <c r="AL19" s="1012">
        <v>17292000</v>
      </c>
      <c r="AM19" s="1012">
        <v>17394640</v>
      </c>
      <c r="AN19" s="1012">
        <v>17292000</v>
      </c>
      <c r="AO19" s="1012">
        <v>17394640</v>
      </c>
      <c r="AP19" s="1012">
        <v>17292000</v>
      </c>
      <c r="AQ19" s="1012">
        <v>17394640</v>
      </c>
      <c r="AR19" s="1012">
        <v>17292000</v>
      </c>
      <c r="AS19" s="1012">
        <v>17394640</v>
      </c>
      <c r="AT19" s="1012">
        <v>17292000</v>
      </c>
      <c r="AU19" s="1012">
        <v>17394640</v>
      </c>
      <c r="AV19" s="1012">
        <v>17292000</v>
      </c>
      <c r="AW19" s="1012">
        <v>17394640</v>
      </c>
      <c r="AX19" s="1012">
        <v>17292000</v>
      </c>
      <c r="AY19" s="1012">
        <v>17394640</v>
      </c>
      <c r="AZ19" s="1012">
        <v>12969000</v>
      </c>
      <c r="BA19" s="1012">
        <f t="shared" si="36"/>
        <v>161101780</v>
      </c>
      <c r="BB19" s="1012">
        <f t="shared" si="37"/>
        <v>161101780</v>
      </c>
      <c r="BC19" s="1012">
        <f t="shared" si="38"/>
        <v>156060300</v>
      </c>
      <c r="BD19" s="1012">
        <f t="shared" si="39"/>
        <v>161101780</v>
      </c>
      <c r="BE19" s="1012">
        <f t="shared" si="40"/>
        <v>156060300</v>
      </c>
      <c r="BF19" s="1012"/>
      <c r="BG19" s="1012">
        <v>0</v>
      </c>
      <c r="BH19" s="1012">
        <v>0</v>
      </c>
      <c r="BI19" s="1012">
        <v>6613500</v>
      </c>
      <c r="BJ19" s="1012">
        <v>2792367</v>
      </c>
      <c r="BK19" s="1012">
        <v>13227000</v>
      </c>
      <c r="BL19" s="1012">
        <f>16460267-2792367</f>
        <v>13667900</v>
      </c>
      <c r="BM19" s="1012">
        <v>13227000</v>
      </c>
      <c r="BN19" s="1012">
        <v>13227000</v>
      </c>
      <c r="BO19" s="1012">
        <v>13227000</v>
      </c>
      <c r="BP19" s="1012">
        <v>13227000</v>
      </c>
      <c r="BQ19" s="1012">
        <v>13227000</v>
      </c>
      <c r="BR19" s="1012">
        <v>13227000</v>
      </c>
      <c r="BS19" s="1012">
        <v>13227000</v>
      </c>
      <c r="BT19" s="1012">
        <v>13227000</v>
      </c>
      <c r="BU19" s="1012">
        <v>13227000</v>
      </c>
      <c r="BV19" s="1012">
        <v>13227000</v>
      </c>
      <c r="BW19" s="1012">
        <v>13227000</v>
      </c>
      <c r="BX19" s="1012">
        <v>13227000</v>
      </c>
      <c r="BY19" s="1012">
        <v>13227000</v>
      </c>
      <c r="BZ19" s="1012">
        <v>8818000</v>
      </c>
      <c r="CA19" s="1012">
        <v>13227000</v>
      </c>
      <c r="CB19" s="1012">
        <v>13227000</v>
      </c>
      <c r="CC19" s="1012">
        <f>6613500+8818000</f>
        <v>15431500</v>
      </c>
      <c r="CD19" s="1012">
        <v>12639133</v>
      </c>
      <c r="CE19" s="1012">
        <f t="shared" si="41"/>
        <v>141088000</v>
      </c>
      <c r="CF19" s="1012">
        <f t="shared" si="42"/>
        <v>141088000</v>
      </c>
      <c r="CG19" s="1012">
        <f t="shared" si="43"/>
        <v>130506400</v>
      </c>
      <c r="CH19" s="1012">
        <f t="shared" si="44"/>
        <v>141088000</v>
      </c>
      <c r="CI19" s="1012">
        <f t="shared" si="45"/>
        <v>130506400</v>
      </c>
      <c r="CJ19" s="1012">
        <v>180497000</v>
      </c>
      <c r="CK19" s="1012"/>
      <c r="CL19" s="1012"/>
      <c r="CM19" s="1012"/>
      <c r="CN19" s="1012"/>
      <c r="CO19" s="1012">
        <v>0</v>
      </c>
      <c r="CP19" s="1012">
        <v>0</v>
      </c>
      <c r="CQ19" s="1012">
        <v>13227000</v>
      </c>
      <c r="CR19" s="1012">
        <v>7936200</v>
      </c>
      <c r="CS19" s="1012">
        <v>13227000</v>
      </c>
      <c r="CT19" s="1012">
        <v>15872400</v>
      </c>
      <c r="CU19" s="1012">
        <v>13227000</v>
      </c>
      <c r="CV19" s="1012">
        <v>13227000</v>
      </c>
      <c r="CW19" s="1012">
        <v>13227000</v>
      </c>
      <c r="CX19" s="1012">
        <v>13227000</v>
      </c>
      <c r="CY19" s="1012">
        <v>13227000</v>
      </c>
      <c r="CZ19" s="1012">
        <v>13227000</v>
      </c>
      <c r="DA19" s="1012">
        <v>13227000</v>
      </c>
      <c r="DB19" s="1012">
        <v>8818000</v>
      </c>
      <c r="DC19" s="1012">
        <v>13227000</v>
      </c>
      <c r="DD19" s="1012">
        <v>13227000</v>
      </c>
      <c r="DE19" s="1012">
        <v>13227000</v>
      </c>
      <c r="DF19" s="1012">
        <v>13227000</v>
      </c>
      <c r="DG19" s="1012">
        <f>74681000-8818000</f>
        <v>65863000</v>
      </c>
      <c r="DH19" s="1012">
        <v>13227000</v>
      </c>
      <c r="DI19" s="1012">
        <f>DG19+DE19+DC19+DA19+CY19+CW19+CU19+CS19+CQ19+CO19+CM19+CK19</f>
        <v>171679000</v>
      </c>
      <c r="DJ19" s="1012">
        <f t="shared" si="47"/>
        <v>171679000</v>
      </c>
      <c r="DK19" s="1012">
        <f t="shared" si="47"/>
        <v>111988600</v>
      </c>
      <c r="DL19" s="642">
        <f t="shared" si="48"/>
        <v>171679000</v>
      </c>
      <c r="DM19" s="1012">
        <f t="shared" si="49"/>
        <v>111988600</v>
      </c>
      <c r="DN19" s="1055">
        <v>387000000</v>
      </c>
      <c r="DO19" s="1056"/>
      <c r="DP19" s="1056"/>
      <c r="DQ19" s="1056">
        <v>4409000</v>
      </c>
      <c r="DR19" s="1056"/>
      <c r="DS19" s="1056">
        <f>4409000+9720000</f>
        <v>14129000</v>
      </c>
      <c r="DT19" s="1056">
        <v>4409000</v>
      </c>
      <c r="DU19" s="1056">
        <v>9720000</v>
      </c>
      <c r="DV19" s="1056"/>
      <c r="DW19" s="1056">
        <f>9720000+4860000</f>
        <v>14580000</v>
      </c>
      <c r="DX19" s="1056"/>
      <c r="DY19" s="1056">
        <f>+EM18-42838000</f>
        <v>344162000</v>
      </c>
      <c r="DZ19" s="1055"/>
      <c r="EA19" s="1055"/>
      <c r="EB19" s="1055"/>
      <c r="EC19" s="1055"/>
      <c r="ED19" s="1055"/>
      <c r="EE19" s="1055"/>
      <c r="EF19" s="1055"/>
      <c r="EG19" s="1055"/>
      <c r="EH19" s="1055"/>
      <c r="EI19" s="1055"/>
      <c r="EJ19" s="1055"/>
      <c r="EK19" s="1055"/>
      <c r="EL19" s="1055"/>
      <c r="EM19" s="643">
        <f>EI19+EG19+EE19+EC19+EA19+DY19+DW19+DU19+DS19+DQ19+DO19+EK19</f>
        <v>387000000</v>
      </c>
      <c r="EN19" s="643">
        <f t="shared" ref="EN19:EN22" si="52">DO19+DQ19+DS19</f>
        <v>18538000</v>
      </c>
      <c r="EO19" s="643">
        <f t="shared" si="50"/>
        <v>4409000</v>
      </c>
      <c r="EP19" s="641">
        <f>DQ19+DS19+DU19+DW19+DY19+EA19+EC19+EE19+EG19+EI19+EK19</f>
        <v>387000000</v>
      </c>
      <c r="EQ19" s="641">
        <f t="shared" si="51"/>
        <v>4409000</v>
      </c>
      <c r="ER19" s="1007">
        <f t="shared" si="26"/>
        <v>0.31205322386580792</v>
      </c>
      <c r="ES19" s="1007">
        <f t="shared" si="21"/>
        <v>0.23783579674182759</v>
      </c>
      <c r="ET19" s="1016">
        <f t="shared" si="22"/>
        <v>1.1392764857881137E-2</v>
      </c>
      <c r="EU19" s="1016">
        <f t="shared" si="23"/>
        <v>0.81835652222335364</v>
      </c>
      <c r="EV19" s="1016">
        <f>IFERROR((AA19+BE19+CI19+DM19+EQ19)/G19,0)</f>
        <v>0</v>
      </c>
      <c r="EW19" s="1073"/>
      <c r="EX19" s="1073"/>
      <c r="EY19" s="1073"/>
      <c r="EZ19" s="1018"/>
      <c r="FA19" s="1018"/>
      <c r="FB19" s="777"/>
      <c r="FC19" s="82"/>
      <c r="FD19" s="82"/>
    </row>
    <row r="20" spans="1:160" ht="31.9" customHeight="1" x14ac:dyDescent="0.25">
      <c r="A20" s="710"/>
      <c r="B20" s="710"/>
      <c r="C20" s="710"/>
      <c r="D20" s="710"/>
      <c r="E20" s="710"/>
      <c r="F20" s="79" t="s">
        <v>345</v>
      </c>
      <c r="G20" s="1020">
        <f>AA20+BE20+CI20+DM20+EP20</f>
        <v>3</v>
      </c>
      <c r="H20" s="1058"/>
      <c r="I20" s="1023"/>
      <c r="J20" s="1023"/>
      <c r="K20" s="1023"/>
      <c r="L20" s="1023"/>
      <c r="M20" s="1023"/>
      <c r="N20" s="1023"/>
      <c r="O20" s="1023"/>
      <c r="P20" s="1023"/>
      <c r="Q20" s="1023"/>
      <c r="R20" s="1023"/>
      <c r="S20" s="1023"/>
      <c r="T20" s="1023"/>
      <c r="U20" s="1023"/>
      <c r="V20" s="1023"/>
      <c r="W20" s="1024">
        <f t="shared" si="32"/>
        <v>0</v>
      </c>
      <c r="X20" s="1024">
        <f t="shared" si="33"/>
        <v>0</v>
      </c>
      <c r="Y20" s="1024">
        <f t="shared" si="34"/>
        <v>0</v>
      </c>
      <c r="Z20" s="1024">
        <f t="shared" si="35"/>
        <v>0</v>
      </c>
      <c r="AA20" s="1024">
        <f t="shared" si="35"/>
        <v>0</v>
      </c>
      <c r="AB20" s="1025"/>
      <c r="AC20" s="1025"/>
      <c r="AD20" s="1025"/>
      <c r="AE20" s="1025"/>
      <c r="AF20" s="1025"/>
      <c r="AG20" s="1015"/>
      <c r="AH20" s="1015"/>
      <c r="AI20" s="1025"/>
      <c r="AJ20" s="1025"/>
      <c r="AK20" s="1023"/>
      <c r="AL20" s="1023"/>
      <c r="AM20" s="1023"/>
      <c r="AN20" s="1023"/>
      <c r="AO20" s="1023"/>
      <c r="AP20" s="1023"/>
      <c r="AQ20" s="1023"/>
      <c r="AR20" s="1023"/>
      <c r="AS20" s="1023"/>
      <c r="AT20" s="1023"/>
      <c r="AU20" s="1023"/>
      <c r="AV20" s="1023"/>
      <c r="AW20" s="1023"/>
      <c r="AX20" s="1023"/>
      <c r="AY20" s="1059"/>
      <c r="AZ20" s="1023"/>
      <c r="BA20" s="1024">
        <f t="shared" si="36"/>
        <v>0</v>
      </c>
      <c r="BB20" s="1024">
        <f t="shared" si="37"/>
        <v>0</v>
      </c>
      <c r="BC20" s="1024">
        <f t="shared" si="38"/>
        <v>0</v>
      </c>
      <c r="BD20" s="1024">
        <f t="shared" si="39"/>
        <v>0</v>
      </c>
      <c r="BE20" s="1024">
        <f t="shared" si="40"/>
        <v>0</v>
      </c>
      <c r="BF20" s="1023"/>
      <c r="BG20" s="1023"/>
      <c r="BH20" s="1023"/>
      <c r="BI20" s="1023"/>
      <c r="BJ20" s="1030"/>
      <c r="BK20" s="1023"/>
      <c r="BL20" s="1023"/>
      <c r="BM20" s="1023"/>
      <c r="BN20" s="1023"/>
      <c r="BO20" s="1023"/>
      <c r="BP20" s="1023"/>
      <c r="BQ20" s="1023"/>
      <c r="BR20" s="1023"/>
      <c r="BS20" s="1023"/>
      <c r="BT20" s="1023"/>
      <c r="BU20" s="1023"/>
      <c r="BV20" s="1023"/>
      <c r="BW20" s="1023"/>
      <c r="BX20" s="1023"/>
      <c r="BY20" s="1023"/>
      <c r="BZ20" s="1023"/>
      <c r="CA20" s="1023"/>
      <c r="CB20" s="1023"/>
      <c r="CC20" s="1023"/>
      <c r="CD20" s="1023"/>
      <c r="CE20" s="1024">
        <f t="shared" si="41"/>
        <v>0</v>
      </c>
      <c r="CF20" s="1024">
        <f t="shared" si="42"/>
        <v>0</v>
      </c>
      <c r="CG20" s="1024">
        <f t="shared" si="43"/>
        <v>0</v>
      </c>
      <c r="CH20" s="1024">
        <f t="shared" si="44"/>
        <v>0</v>
      </c>
      <c r="CI20" s="1024">
        <f t="shared" si="45"/>
        <v>0</v>
      </c>
      <c r="CJ20" s="1023"/>
      <c r="CK20" s="1023"/>
      <c r="CL20" s="1023"/>
      <c r="CM20" s="1023"/>
      <c r="CN20" s="1023"/>
      <c r="CO20" s="1023"/>
      <c r="CP20" s="1023"/>
      <c r="CQ20" s="1023"/>
      <c r="CR20" s="1023"/>
      <c r="CS20" s="1023"/>
      <c r="CT20" s="1023"/>
      <c r="CU20" s="1023"/>
      <c r="CV20" s="1023"/>
      <c r="CW20" s="1023"/>
      <c r="CX20" s="1023"/>
      <c r="CY20" s="1023"/>
      <c r="CZ20" s="1023"/>
      <c r="DA20" s="1023"/>
      <c r="DB20" s="1023"/>
      <c r="DC20" s="1023"/>
      <c r="DD20" s="1023"/>
      <c r="DE20" s="1023"/>
      <c r="DF20" s="1023"/>
      <c r="DG20" s="1023"/>
      <c r="DH20" s="1023"/>
      <c r="DI20" s="1445">
        <f t="shared" si="46"/>
        <v>0</v>
      </c>
      <c r="DJ20" s="1020">
        <f t="shared" si="47"/>
        <v>0</v>
      </c>
      <c r="DK20" s="1020">
        <f t="shared" si="47"/>
        <v>0</v>
      </c>
      <c r="DL20" s="1445">
        <f t="shared" si="48"/>
        <v>0</v>
      </c>
      <c r="DM20" s="1020">
        <f t="shared" si="49"/>
        <v>0</v>
      </c>
      <c r="DN20" s="1023">
        <v>3</v>
      </c>
      <c r="DO20" s="1060">
        <v>3</v>
      </c>
      <c r="DP20" s="1060">
        <v>3</v>
      </c>
      <c r="DQ20" s="1060"/>
      <c r="DR20" s="1060"/>
      <c r="DS20" s="1060"/>
      <c r="DT20" s="1060"/>
      <c r="DU20" s="1060"/>
      <c r="DV20" s="1060"/>
      <c r="DW20" s="1060"/>
      <c r="DX20" s="1060"/>
      <c r="DY20" s="1060"/>
      <c r="DZ20" s="1023"/>
      <c r="EA20" s="1023"/>
      <c r="EB20" s="1023"/>
      <c r="EC20" s="1023"/>
      <c r="ED20" s="1023"/>
      <c r="EE20" s="1023"/>
      <c r="EF20" s="1023"/>
      <c r="EG20" s="1023"/>
      <c r="EH20" s="1023"/>
      <c r="EI20" s="1023"/>
      <c r="EJ20" s="1023"/>
      <c r="EK20" s="1023"/>
      <c r="EL20" s="1023"/>
      <c r="EM20" s="1006">
        <f>EI20+EG20+EE20+EC20+EA20+DY20+DW20+DU20+DS20+DQ20+DO20+EK20</f>
        <v>3</v>
      </c>
      <c r="EN20" s="1020">
        <f t="shared" si="52"/>
        <v>3</v>
      </c>
      <c r="EO20" s="1030">
        <f t="shared" si="50"/>
        <v>3</v>
      </c>
      <c r="EP20" s="1031">
        <f>DO20+DQ20+DS20+DU20+DW20+DY20+EA20+EC20+EE20+EG20+EI20+EK20</f>
        <v>3</v>
      </c>
      <c r="EQ20" s="1006">
        <f t="shared" si="51"/>
        <v>3</v>
      </c>
      <c r="ER20" s="1007">
        <f t="shared" si="26"/>
        <v>0</v>
      </c>
      <c r="ES20" s="1007">
        <f t="shared" si="21"/>
        <v>1</v>
      </c>
      <c r="ET20" s="1016">
        <f t="shared" si="22"/>
        <v>1</v>
      </c>
      <c r="EU20" s="1016">
        <f t="shared" si="23"/>
        <v>1</v>
      </c>
      <c r="EV20" s="1016">
        <f>IFERROR((AA20+BE20+CI20+DM20+EQ20)/G20,0)</f>
        <v>1</v>
      </c>
      <c r="EW20" s="1073"/>
      <c r="EX20" s="1073"/>
      <c r="EY20" s="1073"/>
      <c r="EZ20" s="1018"/>
      <c r="FA20" s="1018"/>
      <c r="FB20" s="777"/>
      <c r="FC20" s="83"/>
      <c r="FD20" s="83"/>
    </row>
    <row r="21" spans="1:160" ht="31.9" customHeight="1" x14ac:dyDescent="0.25">
      <c r="A21" s="710"/>
      <c r="B21" s="710"/>
      <c r="C21" s="710"/>
      <c r="D21" s="710"/>
      <c r="E21" s="710"/>
      <c r="F21" s="80" t="s">
        <v>346</v>
      </c>
      <c r="G21" s="641">
        <f>AA21+BE21+CI21+DM21+EP21</f>
        <v>109785371</v>
      </c>
      <c r="H21" s="1012"/>
      <c r="I21" s="1012"/>
      <c r="J21" s="1012"/>
      <c r="K21" s="1012"/>
      <c r="L21" s="1012"/>
      <c r="M21" s="1012"/>
      <c r="N21" s="1012"/>
      <c r="O21" s="1012"/>
      <c r="P21" s="1012"/>
      <c r="Q21" s="1012"/>
      <c r="R21" s="1012"/>
      <c r="S21" s="1012"/>
      <c r="T21" s="1012"/>
      <c r="U21" s="1012"/>
      <c r="V21" s="1012"/>
      <c r="W21" s="1012">
        <f t="shared" si="32"/>
        <v>0</v>
      </c>
      <c r="X21" s="1012">
        <f t="shared" si="33"/>
        <v>0</v>
      </c>
      <c r="Y21" s="1012">
        <f t="shared" si="34"/>
        <v>0</v>
      </c>
      <c r="Z21" s="1012">
        <f t="shared" si="35"/>
        <v>0</v>
      </c>
      <c r="AA21" s="1012">
        <f t="shared" si="35"/>
        <v>0</v>
      </c>
      <c r="AB21" s="1012">
        <v>41858171</v>
      </c>
      <c r="AC21" s="1012">
        <v>0</v>
      </c>
      <c r="AD21" s="1012">
        <v>0</v>
      </c>
      <c r="AE21" s="1012">
        <v>19427343</v>
      </c>
      <c r="AF21" s="1012">
        <v>19427343</v>
      </c>
      <c r="AG21" s="1012">
        <f>41858171-AF21</f>
        <v>22430828</v>
      </c>
      <c r="AH21" s="1012">
        <v>22430828</v>
      </c>
      <c r="AI21" s="1012">
        <f>41858171-AF21-AH21</f>
        <v>0</v>
      </c>
      <c r="AJ21" s="1012">
        <v>0</v>
      </c>
      <c r="AK21" s="1012">
        <v>0</v>
      </c>
      <c r="AL21" s="1012">
        <v>0</v>
      </c>
      <c r="AM21" s="1012">
        <v>0</v>
      </c>
      <c r="AN21" s="1012">
        <v>0</v>
      </c>
      <c r="AO21" s="1012">
        <v>0</v>
      </c>
      <c r="AP21" s="1012">
        <v>0</v>
      </c>
      <c r="AQ21" s="1012"/>
      <c r="AR21" s="1012"/>
      <c r="AS21" s="1012"/>
      <c r="AT21" s="1012">
        <v>0</v>
      </c>
      <c r="AU21" s="1012"/>
      <c r="AV21" s="1012">
        <v>0</v>
      </c>
      <c r="AW21" s="1012"/>
      <c r="AX21" s="1012">
        <v>0</v>
      </c>
      <c r="AY21" s="1012"/>
      <c r="AZ21" s="1012">
        <v>0</v>
      </c>
      <c r="BA21" s="1012">
        <f t="shared" si="36"/>
        <v>41858171</v>
      </c>
      <c r="BB21" s="1012">
        <f t="shared" si="37"/>
        <v>41858171</v>
      </c>
      <c r="BC21" s="1012">
        <f t="shared" si="38"/>
        <v>41858171</v>
      </c>
      <c r="BD21" s="1012">
        <f t="shared" si="39"/>
        <v>41858171</v>
      </c>
      <c r="BE21" s="1012">
        <f t="shared" si="40"/>
        <v>41858171</v>
      </c>
      <c r="BF21" s="1012">
        <v>16859700</v>
      </c>
      <c r="BG21" s="1012">
        <v>13257200</v>
      </c>
      <c r="BH21" s="1012">
        <v>13257200</v>
      </c>
      <c r="BI21" s="1012">
        <v>3602500</v>
      </c>
      <c r="BJ21" s="1012">
        <v>3602500</v>
      </c>
      <c r="BK21" s="1012">
        <v>0</v>
      </c>
      <c r="BL21" s="1012">
        <v>0</v>
      </c>
      <c r="BM21" s="1012">
        <v>0</v>
      </c>
      <c r="BN21" s="1012">
        <v>0</v>
      </c>
      <c r="BO21" s="1012">
        <v>0</v>
      </c>
      <c r="BP21" s="1012"/>
      <c r="BQ21" s="1012">
        <v>0</v>
      </c>
      <c r="BR21" s="1012">
        <v>0</v>
      </c>
      <c r="BS21" s="1012">
        <v>0</v>
      </c>
      <c r="BT21" s="1012">
        <v>0</v>
      </c>
      <c r="BU21" s="1012"/>
      <c r="BV21" s="1012">
        <v>0</v>
      </c>
      <c r="BW21" s="1012"/>
      <c r="BX21" s="1012"/>
      <c r="BY21" s="1012">
        <v>0</v>
      </c>
      <c r="BZ21" s="1012">
        <v>0</v>
      </c>
      <c r="CA21" s="1012"/>
      <c r="CB21" s="1012">
        <v>0</v>
      </c>
      <c r="CC21" s="1012"/>
      <c r="CD21" s="1012"/>
      <c r="CE21" s="1012">
        <f t="shared" si="41"/>
        <v>16859700</v>
      </c>
      <c r="CF21" s="1012">
        <f t="shared" si="42"/>
        <v>16859700</v>
      </c>
      <c r="CG21" s="1012">
        <f t="shared" si="43"/>
        <v>16859700</v>
      </c>
      <c r="CH21" s="1012">
        <f t="shared" si="44"/>
        <v>16859700</v>
      </c>
      <c r="CI21" s="1012">
        <f t="shared" si="45"/>
        <v>16859700</v>
      </c>
      <c r="CJ21" s="1012">
        <v>8377100</v>
      </c>
      <c r="CK21" s="1012">
        <v>8377100</v>
      </c>
      <c r="CL21" s="1012">
        <v>8377100</v>
      </c>
      <c r="CM21" s="1012">
        <v>0</v>
      </c>
      <c r="CN21" s="1012">
        <v>0</v>
      </c>
      <c r="CO21" s="1012">
        <v>0</v>
      </c>
      <c r="CP21" s="1012">
        <v>0</v>
      </c>
      <c r="CQ21" s="1012"/>
      <c r="CR21" s="1012">
        <v>0</v>
      </c>
      <c r="CS21" s="1012"/>
      <c r="CT21" s="1012">
        <v>0</v>
      </c>
      <c r="CU21" s="1012"/>
      <c r="CV21" s="1012"/>
      <c r="CW21" s="1012"/>
      <c r="CX21" s="1012"/>
      <c r="CY21" s="1012"/>
      <c r="CZ21" s="1012"/>
      <c r="DA21" s="1012"/>
      <c r="DB21" s="1012"/>
      <c r="DC21" s="1012"/>
      <c r="DD21" s="1012"/>
      <c r="DE21" s="1012"/>
      <c r="DF21" s="1012"/>
      <c r="DG21" s="1012"/>
      <c r="DH21" s="1012"/>
      <c r="DI21" s="1012">
        <f t="shared" si="46"/>
        <v>8377100</v>
      </c>
      <c r="DJ21" s="1012">
        <f t="shared" si="47"/>
        <v>8377100</v>
      </c>
      <c r="DK21" s="1012">
        <f t="shared" si="47"/>
        <v>8377100</v>
      </c>
      <c r="DL21" s="1445">
        <f t="shared" si="48"/>
        <v>8377100</v>
      </c>
      <c r="DM21" s="1012">
        <f t="shared" si="49"/>
        <v>8377100</v>
      </c>
      <c r="DN21" s="1014">
        <v>42690400</v>
      </c>
      <c r="DO21" s="1014">
        <v>13227000</v>
      </c>
      <c r="DP21" s="1014">
        <v>13227000</v>
      </c>
      <c r="DQ21" s="1014">
        <v>29463400</v>
      </c>
      <c r="DR21" s="1014">
        <v>11463400</v>
      </c>
      <c r="DS21" s="1014"/>
      <c r="DT21" s="1014"/>
      <c r="DU21" s="1014"/>
      <c r="DV21" s="1014"/>
      <c r="DW21" s="1014"/>
      <c r="DX21" s="1014"/>
      <c r="DY21" s="1014"/>
      <c r="DZ21" s="1015"/>
      <c r="EA21" s="1015"/>
      <c r="EB21" s="1015"/>
      <c r="EC21" s="1015"/>
      <c r="ED21" s="1015"/>
      <c r="EE21" s="1015"/>
      <c r="EF21" s="1015"/>
      <c r="EG21" s="1015"/>
      <c r="EH21" s="1015"/>
      <c r="EI21" s="1015"/>
      <c r="EJ21" s="1015"/>
      <c r="EK21" s="1015"/>
      <c r="EL21" s="1015"/>
      <c r="EM21" s="643">
        <f>EI21+EG21+EE21+EC21+EA21+DY21+DW21+DU21+DS21+DQ21+DO21+EK21</f>
        <v>42690400</v>
      </c>
      <c r="EN21" s="643">
        <f t="shared" si="52"/>
        <v>42690400</v>
      </c>
      <c r="EO21" s="643">
        <f t="shared" si="50"/>
        <v>24690400</v>
      </c>
      <c r="EP21" s="641">
        <f>DQ21+DS21+DU21+DW21+DY21+EA21+EC21+EE21+EG21+EI21+EK21+DO21</f>
        <v>42690400</v>
      </c>
      <c r="EQ21" s="641">
        <f>DR21+DT21+DV21+DX21+DP21+DZ21+EB21+ED21+EF21+EH21+EJ21+EL21</f>
        <v>24690400</v>
      </c>
      <c r="ER21" s="1007">
        <f t="shared" si="26"/>
        <v>0</v>
      </c>
      <c r="ES21" s="1007">
        <f t="shared" si="21"/>
        <v>0.57835953750726155</v>
      </c>
      <c r="ET21" s="1016">
        <f t="shared" si="22"/>
        <v>0.57835953750726155</v>
      </c>
      <c r="EU21" s="1016">
        <f t="shared" si="23"/>
        <v>0.83604372935989801</v>
      </c>
      <c r="EV21" s="1016">
        <f t="shared" si="24"/>
        <v>0.83604372935989801</v>
      </c>
      <c r="EW21" s="1073"/>
      <c r="EX21" s="1073"/>
      <c r="EY21" s="1073"/>
      <c r="EZ21" s="1018"/>
      <c r="FA21" s="1018"/>
      <c r="FB21" s="777"/>
      <c r="FC21" s="83"/>
      <c r="FD21" s="83"/>
    </row>
    <row r="22" spans="1:160" ht="31.9" customHeight="1" thickBot="1" x14ac:dyDescent="0.3">
      <c r="A22" s="710"/>
      <c r="B22" s="710"/>
      <c r="C22" s="710"/>
      <c r="D22" s="710"/>
      <c r="E22" s="710"/>
      <c r="F22" s="79" t="s">
        <v>347</v>
      </c>
      <c r="G22" s="1033">
        <f>G17+G20</f>
        <v>400</v>
      </c>
      <c r="H22" s="1062">
        <v>20</v>
      </c>
      <c r="I22" s="1063"/>
      <c r="J22" s="1063"/>
      <c r="K22" s="1063">
        <v>20</v>
      </c>
      <c r="L22" s="1063">
        <v>0</v>
      </c>
      <c r="M22" s="1063">
        <v>20</v>
      </c>
      <c r="N22" s="1064">
        <v>0</v>
      </c>
      <c r="O22" s="1063">
        <v>20</v>
      </c>
      <c r="P22" s="1064">
        <v>2</v>
      </c>
      <c r="Q22" s="1063">
        <v>20</v>
      </c>
      <c r="R22" s="1065">
        <v>6</v>
      </c>
      <c r="S22" s="1063">
        <v>20</v>
      </c>
      <c r="T22" s="1039">
        <v>12</v>
      </c>
      <c r="U22" s="1033">
        <v>20</v>
      </c>
      <c r="V22" s="1033">
        <v>20</v>
      </c>
      <c r="W22" s="1038">
        <f t="shared" si="32"/>
        <v>20</v>
      </c>
      <c r="X22" s="1038">
        <f t="shared" si="33"/>
        <v>20</v>
      </c>
      <c r="Y22" s="1038">
        <f t="shared" si="34"/>
        <v>20</v>
      </c>
      <c r="Z22" s="1038">
        <f t="shared" si="35"/>
        <v>20</v>
      </c>
      <c r="AA22" s="1038">
        <f t="shared" si="35"/>
        <v>20</v>
      </c>
      <c r="AB22" s="1033">
        <v>77</v>
      </c>
      <c r="AC22" s="1033">
        <v>5</v>
      </c>
      <c r="AD22" s="1033">
        <v>5</v>
      </c>
      <c r="AE22" s="1033">
        <v>6</v>
      </c>
      <c r="AF22" s="1033">
        <v>6</v>
      </c>
      <c r="AG22" s="1033">
        <v>7</v>
      </c>
      <c r="AH22" s="1033">
        <v>7</v>
      </c>
      <c r="AI22" s="1033">
        <v>7</v>
      </c>
      <c r="AJ22" s="1033">
        <v>7</v>
      </c>
      <c r="AK22" s="1039">
        <v>7</v>
      </c>
      <c r="AL22" s="1039">
        <v>7</v>
      </c>
      <c r="AM22" s="1039">
        <v>7</v>
      </c>
      <c r="AN22" s="1039">
        <f>+AN17</f>
        <v>7</v>
      </c>
      <c r="AO22" s="1039">
        <v>7</v>
      </c>
      <c r="AP22" s="1039">
        <v>7</v>
      </c>
      <c r="AQ22" s="1039">
        <v>7</v>
      </c>
      <c r="AR22" s="1039">
        <v>7</v>
      </c>
      <c r="AS22" s="1039">
        <v>7</v>
      </c>
      <c r="AT22" s="1039">
        <v>7</v>
      </c>
      <c r="AU22" s="1039">
        <v>6</v>
      </c>
      <c r="AV22" s="1039">
        <v>7</v>
      </c>
      <c r="AW22" s="1039">
        <v>6</v>
      </c>
      <c r="AX22" s="1039">
        <v>5</v>
      </c>
      <c r="AY22" s="1039">
        <v>5</v>
      </c>
      <c r="AZ22" s="1039">
        <v>6</v>
      </c>
      <c r="BA22" s="1038">
        <f t="shared" si="36"/>
        <v>77</v>
      </c>
      <c r="BB22" s="1038">
        <f t="shared" si="37"/>
        <v>77</v>
      </c>
      <c r="BC22" s="1038">
        <f t="shared" si="38"/>
        <v>78</v>
      </c>
      <c r="BD22" s="1038">
        <f t="shared" si="39"/>
        <v>77</v>
      </c>
      <c r="BE22" s="1038">
        <f t="shared" si="40"/>
        <v>78</v>
      </c>
      <c r="BF22" s="1039">
        <v>100</v>
      </c>
      <c r="BG22" s="1039">
        <f t="shared" ref="BG22:CD22" si="53">+BG17</f>
        <v>0</v>
      </c>
      <c r="BH22" s="1039">
        <f t="shared" si="53"/>
        <v>0</v>
      </c>
      <c r="BI22" s="1039">
        <f t="shared" si="53"/>
        <v>10</v>
      </c>
      <c r="BJ22" s="1039">
        <f t="shared" si="53"/>
        <v>10</v>
      </c>
      <c r="BK22" s="1039">
        <f t="shared" si="53"/>
        <v>9</v>
      </c>
      <c r="BL22" s="1039">
        <f t="shared" si="53"/>
        <v>10</v>
      </c>
      <c r="BM22" s="1039">
        <f t="shared" si="53"/>
        <v>9</v>
      </c>
      <c r="BN22" s="1039">
        <f t="shared" si="53"/>
        <v>10</v>
      </c>
      <c r="BO22" s="1039">
        <f t="shared" si="53"/>
        <v>9</v>
      </c>
      <c r="BP22" s="1039">
        <f t="shared" si="53"/>
        <v>10</v>
      </c>
      <c r="BQ22" s="1039">
        <f t="shared" si="53"/>
        <v>9</v>
      </c>
      <c r="BR22" s="1039">
        <f t="shared" si="53"/>
        <v>10</v>
      </c>
      <c r="BS22" s="1039">
        <f t="shared" si="53"/>
        <v>9</v>
      </c>
      <c r="BT22" s="1039">
        <f t="shared" si="53"/>
        <v>10</v>
      </c>
      <c r="BU22" s="1039">
        <f t="shared" si="53"/>
        <v>9</v>
      </c>
      <c r="BV22" s="1039">
        <f t="shared" si="53"/>
        <v>10</v>
      </c>
      <c r="BW22" s="1039">
        <f t="shared" si="53"/>
        <v>9</v>
      </c>
      <c r="BX22" s="1039">
        <f t="shared" si="53"/>
        <v>10</v>
      </c>
      <c r="BY22" s="1039">
        <f t="shared" si="53"/>
        <v>9</v>
      </c>
      <c r="BZ22" s="1039">
        <f t="shared" si="53"/>
        <v>10</v>
      </c>
      <c r="CA22" s="1039">
        <f t="shared" si="53"/>
        <v>9</v>
      </c>
      <c r="CB22" s="1039">
        <f t="shared" si="53"/>
        <v>9</v>
      </c>
      <c r="CC22" s="1039">
        <f t="shared" si="53"/>
        <v>18</v>
      </c>
      <c r="CD22" s="1039">
        <f t="shared" si="53"/>
        <v>10</v>
      </c>
      <c r="CE22" s="1038">
        <f t="shared" si="41"/>
        <v>109</v>
      </c>
      <c r="CF22" s="1038">
        <f t="shared" si="42"/>
        <v>109</v>
      </c>
      <c r="CG22" s="1038">
        <f t="shared" si="43"/>
        <v>109</v>
      </c>
      <c r="CH22" s="1038">
        <f t="shared" si="44"/>
        <v>109</v>
      </c>
      <c r="CI22" s="1038">
        <f t="shared" si="45"/>
        <v>109</v>
      </c>
      <c r="CJ22" s="1039">
        <v>140</v>
      </c>
      <c r="CK22" s="1039">
        <f t="shared" ref="CK22:DH22" si="54">+CK17</f>
        <v>0</v>
      </c>
      <c r="CL22" s="1039">
        <f t="shared" si="54"/>
        <v>0</v>
      </c>
      <c r="CM22" s="1039">
        <f t="shared" si="54"/>
        <v>13</v>
      </c>
      <c r="CN22" s="1039">
        <f t="shared" si="54"/>
        <v>13</v>
      </c>
      <c r="CO22" s="1039">
        <f t="shared" si="54"/>
        <v>13</v>
      </c>
      <c r="CP22" s="1039">
        <f t="shared" si="54"/>
        <v>13</v>
      </c>
      <c r="CQ22" s="1039">
        <f t="shared" si="54"/>
        <v>13</v>
      </c>
      <c r="CR22" s="1039">
        <f t="shared" si="54"/>
        <v>13</v>
      </c>
      <c r="CS22" s="1039">
        <f t="shared" si="54"/>
        <v>13</v>
      </c>
      <c r="CT22" s="1039">
        <f t="shared" si="54"/>
        <v>13</v>
      </c>
      <c r="CU22" s="1039">
        <f t="shared" si="54"/>
        <v>13</v>
      </c>
      <c r="CV22" s="1039">
        <f t="shared" si="54"/>
        <v>13</v>
      </c>
      <c r="CW22" s="1039">
        <f t="shared" si="54"/>
        <v>13</v>
      </c>
      <c r="CX22" s="1039">
        <f t="shared" si="54"/>
        <v>13</v>
      </c>
      <c r="CY22" s="1039">
        <f t="shared" si="54"/>
        <v>13</v>
      </c>
      <c r="CZ22" s="1039">
        <f t="shared" si="54"/>
        <v>13</v>
      </c>
      <c r="DA22" s="1039">
        <f t="shared" si="54"/>
        <v>13</v>
      </c>
      <c r="DB22" s="1039">
        <f t="shared" si="54"/>
        <v>13</v>
      </c>
      <c r="DC22" s="1039">
        <f t="shared" si="54"/>
        <v>13</v>
      </c>
      <c r="DD22" s="1039">
        <f t="shared" si="54"/>
        <v>13</v>
      </c>
      <c r="DE22" s="1039">
        <f t="shared" si="54"/>
        <v>13</v>
      </c>
      <c r="DF22" s="1039">
        <f t="shared" si="54"/>
        <v>10</v>
      </c>
      <c r="DG22" s="1039">
        <f t="shared" si="54"/>
        <v>10</v>
      </c>
      <c r="DH22" s="1039">
        <f t="shared" si="54"/>
        <v>10</v>
      </c>
      <c r="DI22" s="1446">
        <f t="shared" si="46"/>
        <v>140</v>
      </c>
      <c r="DJ22" s="1033">
        <f t="shared" si="47"/>
        <v>140</v>
      </c>
      <c r="DK22" s="1033">
        <f t="shared" si="47"/>
        <v>137</v>
      </c>
      <c r="DL22" s="1446">
        <f t="shared" si="48"/>
        <v>140</v>
      </c>
      <c r="DM22" s="1033">
        <f t="shared" si="49"/>
        <v>137</v>
      </c>
      <c r="DN22" s="1033">
        <f>+DN17+DN20</f>
        <v>56</v>
      </c>
      <c r="DO22" s="1033">
        <f t="shared" ref="DO22:DZ22" si="55">+DO17+DO20</f>
        <v>10</v>
      </c>
      <c r="DP22" s="1033">
        <f t="shared" si="55"/>
        <v>10</v>
      </c>
      <c r="DQ22" s="1033">
        <f t="shared" si="55"/>
        <v>10</v>
      </c>
      <c r="DR22" s="1033">
        <f t="shared" si="55"/>
        <v>10</v>
      </c>
      <c r="DS22" s="1033">
        <f t="shared" si="55"/>
        <v>10</v>
      </c>
      <c r="DT22" s="1033">
        <f t="shared" si="55"/>
        <v>10</v>
      </c>
      <c r="DU22" s="1033">
        <f t="shared" si="55"/>
        <v>10</v>
      </c>
      <c r="DV22" s="1033">
        <f t="shared" si="55"/>
        <v>0</v>
      </c>
      <c r="DW22" s="1033">
        <f t="shared" si="55"/>
        <v>10</v>
      </c>
      <c r="DX22" s="1033">
        <f t="shared" si="55"/>
        <v>0</v>
      </c>
      <c r="DY22" s="1033">
        <f t="shared" si="55"/>
        <v>6</v>
      </c>
      <c r="DZ22" s="1033">
        <f t="shared" si="55"/>
        <v>0</v>
      </c>
      <c r="EA22" s="1039"/>
      <c r="EB22" s="1039"/>
      <c r="EC22" s="1039"/>
      <c r="ED22" s="1039"/>
      <c r="EE22" s="1039"/>
      <c r="EF22" s="1039"/>
      <c r="EG22" s="1039"/>
      <c r="EH22" s="1039"/>
      <c r="EI22" s="1039"/>
      <c r="EJ22" s="1039"/>
      <c r="EK22" s="1039"/>
      <c r="EL22" s="1039"/>
      <c r="EM22" s="1039">
        <f>EI22+EG22+EE22+EC22+EA22+DY22+DW22+DU22+DS22+DQ22+DO22+EK22</f>
        <v>56</v>
      </c>
      <c r="EN22" s="1033">
        <f t="shared" si="52"/>
        <v>30</v>
      </c>
      <c r="EO22" s="1044">
        <f t="shared" si="50"/>
        <v>30</v>
      </c>
      <c r="EP22" s="1067">
        <f>DQ22+DS22+DU22+DW22+DY22+EA22+EC22+EE22+EG22+EI22+EK22+DO22</f>
        <v>56</v>
      </c>
      <c r="EQ22" s="1039">
        <f t="shared" si="51"/>
        <v>30</v>
      </c>
      <c r="ER22" s="1045">
        <f t="shared" si="26"/>
        <v>1</v>
      </c>
      <c r="ES22" s="1045">
        <f t="shared" si="21"/>
        <v>1</v>
      </c>
      <c r="ET22" s="1046">
        <f t="shared" si="22"/>
        <v>0.5357142857142857</v>
      </c>
      <c r="EU22" s="1046">
        <f>(AA22+BE22+CI22+DM22+EO22)/(Z22+BD22+CH22+DL22+EN22)</f>
        <v>0.99468085106382975</v>
      </c>
      <c r="EV22" s="1046">
        <f t="shared" si="24"/>
        <v>0.93500000000000005</v>
      </c>
      <c r="EW22" s="1073"/>
      <c r="EX22" s="1073"/>
      <c r="EY22" s="1073"/>
      <c r="EZ22" s="1018"/>
      <c r="FA22" s="1018"/>
      <c r="FB22" s="777"/>
      <c r="FC22" s="84"/>
      <c r="FD22" s="85"/>
    </row>
    <row r="23" spans="1:160" ht="31.9" customHeight="1" thickBot="1" x14ac:dyDescent="0.3">
      <c r="A23" s="710"/>
      <c r="B23" s="731"/>
      <c r="C23" s="731"/>
      <c r="D23" s="731"/>
      <c r="E23" s="731"/>
      <c r="F23" s="81" t="s">
        <v>348</v>
      </c>
      <c r="G23" s="646">
        <f>G18+G21</f>
        <v>1101929871</v>
      </c>
      <c r="H23" s="647">
        <f t="shared" ref="H23:DM23" si="56">H18+H21</f>
        <v>151328000</v>
      </c>
      <c r="I23" s="647">
        <f t="shared" si="56"/>
        <v>0</v>
      </c>
      <c r="J23" s="647">
        <f t="shared" si="56"/>
        <v>0</v>
      </c>
      <c r="K23" s="647">
        <f t="shared" si="56"/>
        <v>151328000</v>
      </c>
      <c r="L23" s="647">
        <f t="shared" si="56"/>
        <v>0</v>
      </c>
      <c r="M23" s="647">
        <f t="shared" si="56"/>
        <v>142884000</v>
      </c>
      <c r="N23" s="647">
        <f t="shared" si="56"/>
        <v>71774000</v>
      </c>
      <c r="O23" s="647">
        <f t="shared" si="56"/>
        <v>142884000</v>
      </c>
      <c r="P23" s="647">
        <f t="shared" si="56"/>
        <v>71774000</v>
      </c>
      <c r="Q23" s="647">
        <f t="shared" si="56"/>
        <v>140462163</v>
      </c>
      <c r="R23" s="647">
        <f t="shared" si="56"/>
        <v>71774000</v>
      </c>
      <c r="S23" s="647">
        <f t="shared" si="56"/>
        <v>140462163</v>
      </c>
      <c r="T23" s="647">
        <f t="shared" si="56"/>
        <v>121774000</v>
      </c>
      <c r="U23" s="647">
        <f t="shared" si="56"/>
        <v>140462163</v>
      </c>
      <c r="V23" s="647">
        <f t="shared" si="56"/>
        <v>138662000</v>
      </c>
      <c r="W23" s="647">
        <f t="shared" si="56"/>
        <v>151328000</v>
      </c>
      <c r="X23" s="647">
        <f t="shared" si="56"/>
        <v>151328000</v>
      </c>
      <c r="Y23" s="647">
        <f t="shared" si="56"/>
        <v>138662000</v>
      </c>
      <c r="Z23" s="647">
        <f t="shared" si="56"/>
        <v>140462163</v>
      </c>
      <c r="AA23" s="647">
        <f t="shared" si="56"/>
        <v>138662000</v>
      </c>
      <c r="AB23" s="647">
        <f t="shared" si="56"/>
        <v>239988171</v>
      </c>
      <c r="AC23" s="647">
        <f t="shared" si="56"/>
        <v>0</v>
      </c>
      <c r="AD23" s="647">
        <f t="shared" si="56"/>
        <v>0</v>
      </c>
      <c r="AE23" s="647">
        <f t="shared" si="56"/>
        <v>149117343</v>
      </c>
      <c r="AF23" s="647">
        <f t="shared" si="56"/>
        <v>149117343</v>
      </c>
      <c r="AG23" s="647">
        <f t="shared" si="56"/>
        <v>61337828</v>
      </c>
      <c r="AH23" s="647">
        <f t="shared" si="56"/>
        <v>61337828</v>
      </c>
      <c r="AI23" s="647">
        <f t="shared" si="56"/>
        <v>0</v>
      </c>
      <c r="AJ23" s="647">
        <f t="shared" si="56"/>
        <v>0</v>
      </c>
      <c r="AK23" s="647">
        <f t="shared" si="56"/>
        <v>0</v>
      </c>
      <c r="AL23" s="647">
        <f t="shared" si="56"/>
        <v>0</v>
      </c>
      <c r="AM23" s="647">
        <f t="shared" si="56"/>
        <v>0</v>
      </c>
      <c r="AN23" s="647">
        <f t="shared" si="56"/>
        <v>0</v>
      </c>
      <c r="AO23" s="647">
        <f t="shared" si="56"/>
        <v>0</v>
      </c>
      <c r="AP23" s="647">
        <f t="shared" si="56"/>
        <v>0</v>
      </c>
      <c r="AQ23" s="647">
        <f t="shared" si="56"/>
        <v>0</v>
      </c>
      <c r="AR23" s="647">
        <f t="shared" si="56"/>
        <v>0</v>
      </c>
      <c r="AS23" s="647">
        <f t="shared" si="56"/>
        <v>4323000</v>
      </c>
      <c r="AT23" s="647">
        <f t="shared" si="56"/>
        <v>0</v>
      </c>
      <c r="AU23" s="647">
        <f t="shared" si="56"/>
        <v>0</v>
      </c>
      <c r="AV23" s="647">
        <f t="shared" si="56"/>
        <v>0</v>
      </c>
      <c r="AW23" s="647">
        <f t="shared" si="56"/>
        <v>0</v>
      </c>
      <c r="AX23" s="647">
        <f t="shared" si="56"/>
        <v>0</v>
      </c>
      <c r="AY23" s="647">
        <f t="shared" si="56"/>
        <v>0</v>
      </c>
      <c r="AZ23" s="647">
        <f t="shared" si="56"/>
        <v>4323000</v>
      </c>
      <c r="BA23" s="647">
        <f t="shared" si="56"/>
        <v>214778171</v>
      </c>
      <c r="BB23" s="647">
        <f t="shared" si="56"/>
        <v>214778171</v>
      </c>
      <c r="BC23" s="647">
        <f t="shared" si="56"/>
        <v>214778171</v>
      </c>
      <c r="BD23" s="647">
        <f t="shared" si="56"/>
        <v>214778171</v>
      </c>
      <c r="BE23" s="647">
        <f t="shared" si="56"/>
        <v>214778171</v>
      </c>
      <c r="BF23" s="647">
        <f t="shared" si="56"/>
        <v>149129700</v>
      </c>
      <c r="BG23" s="647">
        <f t="shared" si="56"/>
        <v>145527200</v>
      </c>
      <c r="BH23" s="647">
        <f t="shared" si="56"/>
        <v>145527200</v>
      </c>
      <c r="BI23" s="647">
        <f t="shared" si="56"/>
        <v>3602500</v>
      </c>
      <c r="BJ23" s="647">
        <f t="shared" si="56"/>
        <v>3602500</v>
      </c>
      <c r="BK23" s="647">
        <f t="shared" si="56"/>
        <v>0</v>
      </c>
      <c r="BL23" s="647">
        <f t="shared" si="56"/>
        <v>0</v>
      </c>
      <c r="BM23" s="647">
        <f t="shared" si="56"/>
        <v>0</v>
      </c>
      <c r="BN23" s="647">
        <f t="shared" si="56"/>
        <v>0</v>
      </c>
      <c r="BO23" s="647">
        <f t="shared" si="56"/>
        <v>0</v>
      </c>
      <c r="BP23" s="647">
        <f t="shared" si="56"/>
        <v>0</v>
      </c>
      <c r="BQ23" s="647">
        <f t="shared" si="56"/>
        <v>0</v>
      </c>
      <c r="BR23" s="647">
        <f t="shared" si="56"/>
        <v>0</v>
      </c>
      <c r="BS23" s="647">
        <f t="shared" si="56"/>
        <v>0</v>
      </c>
      <c r="BT23" s="647">
        <f t="shared" si="56"/>
        <v>0</v>
      </c>
      <c r="BU23" s="647">
        <f t="shared" si="56"/>
        <v>0</v>
      </c>
      <c r="BV23" s="647">
        <f t="shared" si="56"/>
        <v>0</v>
      </c>
      <c r="BW23" s="647">
        <f t="shared" si="56"/>
        <v>0</v>
      </c>
      <c r="BX23" s="647">
        <f t="shared" si="56"/>
        <v>0</v>
      </c>
      <c r="BY23" s="647">
        <f t="shared" si="56"/>
        <v>0</v>
      </c>
      <c r="BZ23" s="647">
        <f t="shared" si="56"/>
        <v>0</v>
      </c>
      <c r="CA23" s="647">
        <f t="shared" si="56"/>
        <v>8818000</v>
      </c>
      <c r="CB23" s="647">
        <f t="shared" si="56"/>
        <v>6613500</v>
      </c>
      <c r="CC23" s="647">
        <f t="shared" si="56"/>
        <v>0</v>
      </c>
      <c r="CD23" s="647">
        <f t="shared" si="56"/>
        <v>0</v>
      </c>
      <c r="CE23" s="647">
        <f t="shared" si="56"/>
        <v>157947700</v>
      </c>
      <c r="CF23" s="647">
        <f t="shared" si="56"/>
        <v>157947700</v>
      </c>
      <c r="CG23" s="647">
        <f t="shared" si="56"/>
        <v>155743200</v>
      </c>
      <c r="CH23" s="647">
        <f t="shared" si="56"/>
        <v>157947700</v>
      </c>
      <c r="CI23" s="647">
        <f t="shared" si="56"/>
        <v>155743200</v>
      </c>
      <c r="CJ23" s="647">
        <f t="shared" si="56"/>
        <v>188874100</v>
      </c>
      <c r="CK23" s="647">
        <f t="shared" si="56"/>
        <v>8377100</v>
      </c>
      <c r="CL23" s="647">
        <f t="shared" si="56"/>
        <v>8377100</v>
      </c>
      <c r="CM23" s="647">
        <f t="shared" si="56"/>
        <v>44090000</v>
      </c>
      <c r="CN23" s="647">
        <f t="shared" si="56"/>
        <v>44090000</v>
      </c>
      <c r="CO23" s="647">
        <f t="shared" si="56"/>
        <v>88180000</v>
      </c>
      <c r="CP23" s="647">
        <f t="shared" si="56"/>
        <v>88180000</v>
      </c>
      <c r="CQ23" s="647">
        <f t="shared" si="56"/>
        <v>0</v>
      </c>
      <c r="CR23" s="647">
        <f t="shared" si="56"/>
        <v>0</v>
      </c>
      <c r="CS23" s="647">
        <f t="shared" si="56"/>
        <v>35000000</v>
      </c>
      <c r="CT23" s="647">
        <f t="shared" si="56"/>
        <v>0</v>
      </c>
      <c r="CU23" s="647">
        <f t="shared" si="56"/>
        <v>0</v>
      </c>
      <c r="CV23" s="647">
        <f t="shared" si="56"/>
        <v>0</v>
      </c>
      <c r="CW23" s="647">
        <f t="shared" si="56"/>
        <v>-8818000</v>
      </c>
      <c r="CX23" s="647">
        <f t="shared" si="56"/>
        <v>0</v>
      </c>
      <c r="CY23" s="647">
        <f t="shared" si="56"/>
        <v>0</v>
      </c>
      <c r="CZ23" s="647">
        <f t="shared" si="56"/>
        <v>0</v>
      </c>
      <c r="DA23" s="647">
        <f t="shared" si="56"/>
        <v>0</v>
      </c>
      <c r="DB23" s="647">
        <f t="shared" si="56"/>
        <v>0</v>
      </c>
      <c r="DC23" s="647">
        <f t="shared" si="56"/>
        <v>0</v>
      </c>
      <c r="DD23" s="647">
        <f t="shared" si="56"/>
        <v>0</v>
      </c>
      <c r="DE23" s="647">
        <f t="shared" si="56"/>
        <v>0</v>
      </c>
      <c r="DF23" s="647">
        <f t="shared" si="56"/>
        <v>0</v>
      </c>
      <c r="DG23" s="647">
        <f t="shared" si="56"/>
        <v>13227000</v>
      </c>
      <c r="DH23" s="647">
        <f t="shared" si="56"/>
        <v>22409000</v>
      </c>
      <c r="DI23" s="647">
        <f t="shared" si="56"/>
        <v>180056100</v>
      </c>
      <c r="DJ23" s="647">
        <f t="shared" si="56"/>
        <v>180056100</v>
      </c>
      <c r="DK23" s="647">
        <f t="shared" si="56"/>
        <v>163056100</v>
      </c>
      <c r="DL23" s="647">
        <f t="shared" si="56"/>
        <v>180056100</v>
      </c>
      <c r="DM23" s="647">
        <f t="shared" si="56"/>
        <v>163056100</v>
      </c>
      <c r="DN23" s="647">
        <f>DN18+DN21</f>
        <v>429690400</v>
      </c>
      <c r="DO23" s="647">
        <f t="shared" ref="DO23:EQ23" si="57">DO18+DO21</f>
        <v>22045000</v>
      </c>
      <c r="DP23" s="647">
        <f t="shared" si="57"/>
        <v>22045000</v>
      </c>
      <c r="DQ23" s="647">
        <f t="shared" si="57"/>
        <v>78965400</v>
      </c>
      <c r="DR23" s="647">
        <f t="shared" si="57"/>
        <v>11463400</v>
      </c>
      <c r="DS23" s="647">
        <f t="shared" si="57"/>
        <v>0</v>
      </c>
      <c r="DT23" s="647">
        <f t="shared" si="57"/>
        <v>95120000</v>
      </c>
      <c r="DU23" s="647">
        <f t="shared" si="57"/>
        <v>14580000</v>
      </c>
      <c r="DV23" s="647">
        <f t="shared" si="57"/>
        <v>0</v>
      </c>
      <c r="DW23" s="647">
        <f t="shared" si="57"/>
        <v>10622000</v>
      </c>
      <c r="DX23" s="647">
        <f t="shared" si="57"/>
        <v>0</v>
      </c>
      <c r="DY23" s="647">
        <f t="shared" si="57"/>
        <v>303478000</v>
      </c>
      <c r="DZ23" s="647">
        <f t="shared" si="57"/>
        <v>0</v>
      </c>
      <c r="EA23" s="647">
        <f t="shared" si="57"/>
        <v>0</v>
      </c>
      <c r="EB23" s="647">
        <f t="shared" si="57"/>
        <v>0</v>
      </c>
      <c r="EC23" s="647">
        <f t="shared" si="57"/>
        <v>0</v>
      </c>
      <c r="ED23" s="647">
        <f t="shared" si="57"/>
        <v>0</v>
      </c>
      <c r="EE23" s="647">
        <f t="shared" si="57"/>
        <v>0</v>
      </c>
      <c r="EF23" s="647">
        <f t="shared" si="57"/>
        <v>0</v>
      </c>
      <c r="EG23" s="647">
        <f t="shared" si="57"/>
        <v>0</v>
      </c>
      <c r="EH23" s="647">
        <f t="shared" si="57"/>
        <v>0</v>
      </c>
      <c r="EI23" s="647">
        <f t="shared" si="57"/>
        <v>0</v>
      </c>
      <c r="EJ23" s="647">
        <f t="shared" si="57"/>
        <v>0</v>
      </c>
      <c r="EK23" s="647">
        <f t="shared" si="57"/>
        <v>0</v>
      </c>
      <c r="EL23" s="647">
        <f t="shared" si="57"/>
        <v>0</v>
      </c>
      <c r="EM23" s="647">
        <f t="shared" si="57"/>
        <v>429690400</v>
      </c>
      <c r="EN23" s="647">
        <f t="shared" si="57"/>
        <v>101010400</v>
      </c>
      <c r="EO23" s="647">
        <f t="shared" si="57"/>
        <v>128628400</v>
      </c>
      <c r="EP23" s="647">
        <f t="shared" si="57"/>
        <v>429690400</v>
      </c>
      <c r="EQ23" s="647">
        <f t="shared" si="57"/>
        <v>128628400</v>
      </c>
      <c r="ER23" s="648">
        <f t="shared" si="26"/>
        <v>0</v>
      </c>
      <c r="ES23" s="648">
        <f>EO23/EN23</f>
        <v>1.2734173906845236</v>
      </c>
      <c r="ET23" s="649">
        <f t="shared" si="22"/>
        <v>0.29935134692327314</v>
      </c>
      <c r="EU23" s="649">
        <f t="shared" si="23"/>
        <v>1.0083264705669279</v>
      </c>
      <c r="EV23" s="650">
        <f t="shared" si="24"/>
        <v>0.72678660600534717</v>
      </c>
      <c r="EW23" s="1076"/>
      <c r="EX23" s="1076"/>
      <c r="EY23" s="1076"/>
      <c r="EZ23" s="1048"/>
      <c r="FA23" s="1048"/>
      <c r="FB23" s="778"/>
      <c r="FC23" s="86"/>
      <c r="FD23" s="86"/>
    </row>
    <row r="24" spans="1:160" ht="31.9" customHeight="1" x14ac:dyDescent="0.25">
      <c r="A24" s="710"/>
      <c r="B24" s="759">
        <v>3</v>
      </c>
      <c r="C24" s="758" t="s">
        <v>351</v>
      </c>
      <c r="D24" s="758" t="s">
        <v>177</v>
      </c>
      <c r="E24" s="758">
        <v>201</v>
      </c>
      <c r="F24" s="73" t="s">
        <v>340</v>
      </c>
      <c r="G24" s="993">
        <f>AA24+BE24+CI24+DM24+EP24</f>
        <v>19922</v>
      </c>
      <c r="H24" s="1097">
        <v>2500</v>
      </c>
      <c r="I24" s="995"/>
      <c r="J24" s="995"/>
      <c r="K24" s="995">
        <v>2500</v>
      </c>
      <c r="L24" s="993">
        <v>0</v>
      </c>
      <c r="M24" s="995">
        <v>2500</v>
      </c>
      <c r="N24" s="996">
        <v>741</v>
      </c>
      <c r="O24" s="995">
        <v>2500</v>
      </c>
      <c r="P24" s="996">
        <v>1257</v>
      </c>
      <c r="Q24" s="995">
        <v>2500</v>
      </c>
      <c r="R24" s="1002">
        <v>1908</v>
      </c>
      <c r="S24" s="995">
        <v>2500</v>
      </c>
      <c r="T24" s="998">
        <v>2210</v>
      </c>
      <c r="U24" s="995">
        <v>2500</v>
      </c>
      <c r="V24" s="995">
        <v>2500</v>
      </c>
      <c r="W24" s="1001">
        <f t="shared" ref="W24:W29" si="58">+H24</f>
        <v>2500</v>
      </c>
      <c r="X24" s="1001">
        <f t="shared" ref="X24:X29" si="59">+H24</f>
        <v>2500</v>
      </c>
      <c r="Y24" s="1001">
        <f t="shared" ref="Y24:Y29" si="60">+V24</f>
        <v>2500</v>
      </c>
      <c r="Z24" s="1001">
        <f t="shared" ref="Z24:AA29" si="61">+U24</f>
        <v>2500</v>
      </c>
      <c r="AA24" s="1001">
        <f t="shared" si="61"/>
        <v>2500</v>
      </c>
      <c r="AB24" s="993">
        <v>3500</v>
      </c>
      <c r="AC24" s="993">
        <v>246</v>
      </c>
      <c r="AD24" s="993">
        <v>246</v>
      </c>
      <c r="AE24" s="995">
        <v>301</v>
      </c>
      <c r="AF24" s="996">
        <v>301</v>
      </c>
      <c r="AG24" s="995">
        <v>296</v>
      </c>
      <c r="AH24" s="996">
        <v>296</v>
      </c>
      <c r="AI24" s="996">
        <v>300</v>
      </c>
      <c r="AJ24" s="996">
        <v>300</v>
      </c>
      <c r="AK24" s="996">
        <v>320</v>
      </c>
      <c r="AL24" s="996">
        <v>320</v>
      </c>
      <c r="AM24" s="996">
        <v>297</v>
      </c>
      <c r="AN24" s="996">
        <v>297</v>
      </c>
      <c r="AO24" s="996">
        <v>290</v>
      </c>
      <c r="AP24" s="996">
        <v>293</v>
      </c>
      <c r="AQ24" s="996">
        <v>290</v>
      </c>
      <c r="AR24" s="996">
        <v>311</v>
      </c>
      <c r="AS24" s="996">
        <v>290</v>
      </c>
      <c r="AT24" s="996">
        <v>295</v>
      </c>
      <c r="AU24" s="996">
        <v>290</v>
      </c>
      <c r="AV24" s="996">
        <v>292</v>
      </c>
      <c r="AW24" s="996">
        <v>290</v>
      </c>
      <c r="AX24" s="996">
        <v>291</v>
      </c>
      <c r="AY24" s="996">
        <v>290</v>
      </c>
      <c r="AZ24" s="996">
        <v>298</v>
      </c>
      <c r="BA24" s="1001">
        <f t="shared" ref="BA24:BA29" si="62">AY24+AW24+AU24+AS24+AO24+AM24+AK24+AI24+AG24+AE24+AC24+AQ24</f>
        <v>3500</v>
      </c>
      <c r="BB24" s="1001">
        <f t="shared" ref="BB24:BB29" si="63">AC24+AE24+AG24+AI24+AK24+AM24+AO24+AQ24+AS24+AU24+AW24+AY24</f>
        <v>3500</v>
      </c>
      <c r="BC24" s="1001">
        <f t="shared" ref="BC24:BC29" si="64">+AN24+AD24+AF24+AH24+AJ24+AL24+AP24+AR24+AT24+AV24+AX24+AZ24</f>
        <v>3540</v>
      </c>
      <c r="BD24" s="1001">
        <f t="shared" ref="BD24:BD29" si="65">BA24</f>
        <v>3500</v>
      </c>
      <c r="BE24" s="1001">
        <f t="shared" ref="BE24:BE29" si="66">AF24+AH24+AJ24+AL24+AD24+AN24+AP24+AR24+AT24+AV24+AX24+AZ24</f>
        <v>3540</v>
      </c>
      <c r="BF24" s="995">
        <v>5000</v>
      </c>
      <c r="BG24" s="996">
        <v>40</v>
      </c>
      <c r="BH24" s="996">
        <v>40</v>
      </c>
      <c r="BI24" s="995">
        <v>460</v>
      </c>
      <c r="BJ24" s="995">
        <v>464</v>
      </c>
      <c r="BK24" s="995">
        <v>450</v>
      </c>
      <c r="BL24" s="995">
        <v>452</v>
      </c>
      <c r="BM24" s="995">
        <v>450</v>
      </c>
      <c r="BN24" s="995">
        <v>448</v>
      </c>
      <c r="BO24" s="995">
        <v>450</v>
      </c>
      <c r="BP24" s="995">
        <v>457</v>
      </c>
      <c r="BQ24" s="995">
        <v>450</v>
      </c>
      <c r="BR24" s="995">
        <v>451</v>
      </c>
      <c r="BS24" s="995">
        <v>450</v>
      </c>
      <c r="BT24" s="995">
        <v>455</v>
      </c>
      <c r="BU24" s="995">
        <v>450</v>
      </c>
      <c r="BV24" s="995">
        <v>475</v>
      </c>
      <c r="BW24" s="995">
        <v>450</v>
      </c>
      <c r="BX24" s="995">
        <v>460</v>
      </c>
      <c r="BY24" s="995">
        <v>450</v>
      </c>
      <c r="BZ24" s="995">
        <v>450</v>
      </c>
      <c r="CA24" s="995">
        <v>450</v>
      </c>
      <c r="CB24" s="995">
        <v>450</v>
      </c>
      <c r="CC24" s="996">
        <f>450+62</f>
        <v>512</v>
      </c>
      <c r="CD24" s="995">
        <v>460</v>
      </c>
      <c r="CE24" s="1001">
        <f t="shared" ref="CE24:CE29" si="67">CC24+CA24+BY24+BW24+BS24+BQ24+BO24+BM24+BK24+BI24+BG24+BU24</f>
        <v>5062</v>
      </c>
      <c r="CF24" s="1001">
        <f t="shared" ref="CF24:CF29" si="68">+BG24+BI24+BK24+BM24+BO24+BQ24+BS24+BU24+BW24+BY24+CA24+CC24</f>
        <v>5062</v>
      </c>
      <c r="CG24" s="1001">
        <f t="shared" ref="CG24:CG29" si="69">+BR24+BH24+BJ24+BL24+BN24+BP24+BT24+BV24+BX24+BZ24+CB24+CD24</f>
        <v>5062</v>
      </c>
      <c r="CH24" s="1001">
        <f t="shared" ref="CH24:CH29" si="70">CE24</f>
        <v>5062</v>
      </c>
      <c r="CI24" s="1001">
        <f t="shared" ref="CI24:CI29" si="71">BJ24+BL24+BN24+BP24+BH24+BR24+BT24+BV24+BX24+BZ24+CB24+CD24</f>
        <v>5062</v>
      </c>
      <c r="CJ24" s="995">
        <v>6000</v>
      </c>
      <c r="CK24" s="995">
        <v>0</v>
      </c>
      <c r="CL24" s="995"/>
      <c r="CM24" s="995">
        <v>575</v>
      </c>
      <c r="CN24" s="995">
        <v>600</v>
      </c>
      <c r="CO24" s="995">
        <v>575</v>
      </c>
      <c r="CP24" s="995">
        <v>650</v>
      </c>
      <c r="CQ24" s="995">
        <v>575</v>
      </c>
      <c r="CR24" s="995">
        <v>600</v>
      </c>
      <c r="CS24" s="995">
        <v>575</v>
      </c>
      <c r="CT24" s="995">
        <v>600</v>
      </c>
      <c r="CU24" s="995">
        <v>575</v>
      </c>
      <c r="CV24" s="995">
        <v>615</v>
      </c>
      <c r="CW24" s="995">
        <v>575</v>
      </c>
      <c r="CX24" s="995">
        <v>575</v>
      </c>
      <c r="CY24" s="995">
        <v>575</v>
      </c>
      <c r="CZ24" s="995">
        <v>671</v>
      </c>
      <c r="DA24" s="995">
        <v>575</v>
      </c>
      <c r="DB24" s="995">
        <v>585</v>
      </c>
      <c r="DC24" s="995">
        <v>575</v>
      </c>
      <c r="DD24" s="995">
        <v>611</v>
      </c>
      <c r="DE24" s="995">
        <v>575</v>
      </c>
      <c r="DF24" s="995">
        <v>223</v>
      </c>
      <c r="DG24" s="995">
        <v>250</v>
      </c>
      <c r="DH24" s="995">
        <f>192</f>
        <v>192</v>
      </c>
      <c r="DI24" s="993">
        <f t="shared" ref="DI24:DI29" si="72">DG24+DE24+DC24+DA24+CY24+CW24+CU24+CS24+CQ24+CO24+CM24+CK24</f>
        <v>6000</v>
      </c>
      <c r="DJ24" s="993">
        <f t="shared" ref="DJ24:DK29" si="73">CK24+CM24+CO24+CQ24+CS24+CU24+CW24+CY24+DA24+DC24+DE24+DG24</f>
        <v>6000</v>
      </c>
      <c r="DK24" s="993">
        <f t="shared" si="73"/>
        <v>5922</v>
      </c>
      <c r="DL24" s="993">
        <f t="shared" ref="DL24:DL29" si="74">DI24</f>
        <v>6000</v>
      </c>
      <c r="DM24" s="993">
        <f t="shared" ref="DM24:DM29" si="75">CN24+CP24+CR24+CT24+CL24+CV24+CX24+CZ24+DB24+DD24+DF24+DH24</f>
        <v>5922</v>
      </c>
      <c r="DN24" s="995">
        <v>2898</v>
      </c>
      <c r="DO24" s="1071">
        <v>522</v>
      </c>
      <c r="DP24" s="1071">
        <v>522</v>
      </c>
      <c r="DQ24" s="1071">
        <v>500</v>
      </c>
      <c r="DR24" s="1071">
        <v>500</v>
      </c>
      <c r="DS24" s="1071">
        <v>500</v>
      </c>
      <c r="DT24" s="1071">
        <v>512</v>
      </c>
      <c r="DU24" s="1071">
        <v>500</v>
      </c>
      <c r="DV24" s="1071"/>
      <c r="DW24" s="1071">
        <v>500</v>
      </c>
      <c r="DX24" s="1071"/>
      <c r="DY24" s="1071">
        <f>400-24</f>
        <v>376</v>
      </c>
      <c r="DZ24" s="995"/>
      <c r="EA24" s="995"/>
      <c r="EB24" s="995"/>
      <c r="EC24" s="995"/>
      <c r="ED24" s="995"/>
      <c r="EE24" s="995"/>
      <c r="EF24" s="995"/>
      <c r="EG24" s="995"/>
      <c r="EH24" s="995"/>
      <c r="EI24" s="995"/>
      <c r="EJ24" s="995"/>
      <c r="EK24" s="995"/>
      <c r="EL24" s="995"/>
      <c r="EM24" s="993">
        <f>EK24+EI24+EG24+EE24+EC24+EA24+DY24+DW24+DU24+DS24+DQ24+DO24</f>
        <v>2898</v>
      </c>
      <c r="EN24" s="993">
        <f>DO24+DQ24+DS24</f>
        <v>1522</v>
      </c>
      <c r="EO24" s="998">
        <f t="shared" ref="EO24:EO29" si="76">DP24+DR24+DT24+DV24</f>
        <v>1534</v>
      </c>
      <c r="EP24" s="1052">
        <f>DQ24+DS24+DU24+DW24+DY24+EA24+EC24+EE24+EG24+EI24+EK24+DO24</f>
        <v>2898</v>
      </c>
      <c r="EQ24" s="998">
        <f>DR24+DT24+DV24+DX24+DP24+DZ24+EB24+ED24+EF24+EH24+EJ24+EL24</f>
        <v>1534</v>
      </c>
      <c r="ER24" s="1008">
        <f t="shared" si="26"/>
        <v>1.024</v>
      </c>
      <c r="ES24" s="1008">
        <f t="shared" si="21"/>
        <v>1.0078843626806833</v>
      </c>
      <c r="ET24" s="1009">
        <f t="shared" si="22"/>
        <v>0.52933057280883367</v>
      </c>
      <c r="EU24" s="1009">
        <f t="shared" si="23"/>
        <v>0.99860094705122682</v>
      </c>
      <c r="EV24" s="1009">
        <f t="shared" si="24"/>
        <v>0.93153297861660478</v>
      </c>
      <c r="EW24" s="1441" t="s">
        <v>1513</v>
      </c>
      <c r="EX24" s="1072" t="s">
        <v>178</v>
      </c>
      <c r="EY24" s="1072" t="s">
        <v>178</v>
      </c>
      <c r="EZ24" s="1011" t="s">
        <v>352</v>
      </c>
      <c r="FA24" s="1011" t="s">
        <v>342</v>
      </c>
      <c r="FB24" s="776"/>
      <c r="FC24" s="83"/>
      <c r="FD24" s="83"/>
    </row>
    <row r="25" spans="1:160" ht="31.9" customHeight="1" x14ac:dyDescent="0.25">
      <c r="A25" s="710"/>
      <c r="B25" s="710"/>
      <c r="C25" s="710"/>
      <c r="D25" s="710"/>
      <c r="E25" s="710"/>
      <c r="F25" s="76" t="s">
        <v>343</v>
      </c>
      <c r="G25" s="641">
        <f>AA25+BE25+CI25+DM25+EP25</f>
        <v>183990600</v>
      </c>
      <c r="H25" s="1102">
        <v>24546000</v>
      </c>
      <c r="I25" s="1015"/>
      <c r="J25" s="1015"/>
      <c r="K25" s="1015">
        <v>24546000</v>
      </c>
      <c r="L25" s="1015">
        <v>0</v>
      </c>
      <c r="M25" s="1015">
        <v>24546000</v>
      </c>
      <c r="N25" s="1015">
        <v>10624000</v>
      </c>
      <c r="O25" s="1015">
        <v>24546000</v>
      </c>
      <c r="P25" s="1015">
        <v>10624000</v>
      </c>
      <c r="Q25" s="1015">
        <v>13280000</v>
      </c>
      <c r="R25" s="1015">
        <v>10624000</v>
      </c>
      <c r="S25" s="1015">
        <v>13280000</v>
      </c>
      <c r="T25" s="1103">
        <v>10624000</v>
      </c>
      <c r="U25" s="1104">
        <v>13280000</v>
      </c>
      <c r="V25" s="1104">
        <v>13280000</v>
      </c>
      <c r="W25" s="1024">
        <f t="shared" si="58"/>
        <v>24546000</v>
      </c>
      <c r="X25" s="1024">
        <f t="shared" si="59"/>
        <v>24546000</v>
      </c>
      <c r="Y25" s="1024">
        <f t="shared" si="60"/>
        <v>13280000</v>
      </c>
      <c r="Z25" s="1012">
        <f t="shared" si="61"/>
        <v>13280000</v>
      </c>
      <c r="AA25" s="1012">
        <f t="shared" si="61"/>
        <v>13280000</v>
      </c>
      <c r="AB25" s="1012">
        <v>34285000</v>
      </c>
      <c r="AC25" s="1012">
        <v>0</v>
      </c>
      <c r="AD25" s="1012">
        <v>0</v>
      </c>
      <c r="AE25" s="1012">
        <v>27200000</v>
      </c>
      <c r="AF25" s="1012">
        <v>27200000</v>
      </c>
      <c r="AG25" s="1012">
        <v>0</v>
      </c>
      <c r="AH25" s="1012">
        <v>0</v>
      </c>
      <c r="AI25" s="1012">
        <v>0</v>
      </c>
      <c r="AJ25" s="1012">
        <v>0</v>
      </c>
      <c r="AK25" s="1012">
        <v>0</v>
      </c>
      <c r="AL25" s="1012">
        <v>0</v>
      </c>
      <c r="AM25" s="1012">
        <v>0</v>
      </c>
      <c r="AN25" s="1012">
        <v>0</v>
      </c>
      <c r="AO25" s="1012">
        <v>0</v>
      </c>
      <c r="AP25" s="1012">
        <v>0</v>
      </c>
      <c r="AQ25" s="1012">
        <v>0</v>
      </c>
      <c r="AR25" s="1012">
        <v>0</v>
      </c>
      <c r="AS25" s="1012">
        <v>2720000</v>
      </c>
      <c r="AT25" s="1012">
        <v>0</v>
      </c>
      <c r="AU25" s="1012">
        <v>0</v>
      </c>
      <c r="AV25" s="1012">
        <v>0</v>
      </c>
      <c r="AW25" s="1012">
        <v>0</v>
      </c>
      <c r="AX25" s="1012">
        <v>0</v>
      </c>
      <c r="AY25" s="1012">
        <v>0</v>
      </c>
      <c r="AZ25" s="1012">
        <v>2720000</v>
      </c>
      <c r="BA25" s="1012">
        <f t="shared" si="62"/>
        <v>29920000</v>
      </c>
      <c r="BB25" s="1012">
        <f t="shared" si="63"/>
        <v>29920000</v>
      </c>
      <c r="BC25" s="1012">
        <f t="shared" si="64"/>
        <v>29920000</v>
      </c>
      <c r="BD25" s="1012">
        <f t="shared" si="65"/>
        <v>29920000</v>
      </c>
      <c r="BE25" s="1012">
        <f t="shared" si="66"/>
        <v>29920000</v>
      </c>
      <c r="BF25" s="1012">
        <v>30100000</v>
      </c>
      <c r="BG25" s="1012">
        <v>30100000</v>
      </c>
      <c r="BH25" s="1012">
        <v>30100000</v>
      </c>
      <c r="BI25" s="1012">
        <v>0</v>
      </c>
      <c r="BJ25" s="1012">
        <v>0</v>
      </c>
      <c r="BK25" s="1012">
        <v>0</v>
      </c>
      <c r="BL25" s="1012">
        <v>0</v>
      </c>
      <c r="BM25" s="1012">
        <v>0</v>
      </c>
      <c r="BN25" s="1012">
        <v>0</v>
      </c>
      <c r="BO25" s="1012">
        <v>0</v>
      </c>
      <c r="BP25" s="1012">
        <v>0</v>
      </c>
      <c r="BQ25" s="1012">
        <v>835200</v>
      </c>
      <c r="BR25" s="1012">
        <v>0</v>
      </c>
      <c r="BS25" s="1012">
        <v>-417600</v>
      </c>
      <c r="BT25" s="1012">
        <v>0</v>
      </c>
      <c r="BU25" s="1012">
        <v>0</v>
      </c>
      <c r="BV25" s="1012">
        <v>0</v>
      </c>
      <c r="BW25" s="1012">
        <v>0</v>
      </c>
      <c r="BX25" s="1012">
        <v>417600</v>
      </c>
      <c r="BY25" s="1012">
        <v>0</v>
      </c>
      <c r="BZ25" s="1012">
        <v>0</v>
      </c>
      <c r="CA25" s="1012">
        <v>3010000</v>
      </c>
      <c r="CB25" s="1012">
        <v>3010000</v>
      </c>
      <c r="CC25" s="1012">
        <v>0</v>
      </c>
      <c r="CD25" s="1012">
        <v>0</v>
      </c>
      <c r="CE25" s="1012">
        <f t="shared" si="67"/>
        <v>33527600</v>
      </c>
      <c r="CF25" s="1012">
        <f t="shared" si="68"/>
        <v>33527600</v>
      </c>
      <c r="CG25" s="1012">
        <f t="shared" si="69"/>
        <v>33527600</v>
      </c>
      <c r="CH25" s="1012">
        <f t="shared" si="70"/>
        <v>33527600</v>
      </c>
      <c r="CI25" s="1012">
        <f t="shared" si="71"/>
        <v>33527600</v>
      </c>
      <c r="CJ25" s="1012">
        <v>33110000</v>
      </c>
      <c r="CK25" s="1012">
        <v>0</v>
      </c>
      <c r="CL25" s="1012"/>
      <c r="CM25" s="1012">
        <v>33110000</v>
      </c>
      <c r="CN25" s="1012">
        <v>33110000</v>
      </c>
      <c r="CO25" s="1012"/>
      <c r="CP25" s="1012"/>
      <c r="CQ25" s="1012">
        <v>0</v>
      </c>
      <c r="CR25" s="1012">
        <v>0</v>
      </c>
      <c r="CS25" s="1012"/>
      <c r="CT25" s="1012">
        <v>0</v>
      </c>
      <c r="CU25" s="1012"/>
      <c r="CV25" s="1012"/>
      <c r="CW25" s="1012">
        <v>3010000</v>
      </c>
      <c r="CX25" s="1012"/>
      <c r="CY25" s="1012"/>
      <c r="CZ25" s="1012">
        <v>0</v>
      </c>
      <c r="DA25" s="1012"/>
      <c r="DB25" s="1012"/>
      <c r="DC25" s="1012"/>
      <c r="DD25" s="1012"/>
      <c r="DE25" s="1012"/>
      <c r="DF25" s="1012"/>
      <c r="DG25" s="1012"/>
      <c r="DH25" s="1012">
        <v>3010000</v>
      </c>
      <c r="DI25" s="1012">
        <f t="shared" si="72"/>
        <v>36120000</v>
      </c>
      <c r="DJ25" s="1012">
        <f t="shared" si="73"/>
        <v>36120000</v>
      </c>
      <c r="DK25" s="1012">
        <f t="shared" si="73"/>
        <v>36120000</v>
      </c>
      <c r="DL25" s="1013">
        <f t="shared" si="74"/>
        <v>36120000</v>
      </c>
      <c r="DM25" s="1012">
        <f t="shared" si="75"/>
        <v>36120000</v>
      </c>
      <c r="DN25" s="1013">
        <v>71143000</v>
      </c>
      <c r="DO25" s="1014"/>
      <c r="DP25" s="1014"/>
      <c r="DQ25" s="1015">
        <v>14244000</v>
      </c>
      <c r="DR25" s="1014">
        <v>0</v>
      </c>
      <c r="DS25" s="1014"/>
      <c r="DT25" s="1014">
        <v>17252000</v>
      </c>
      <c r="DU25" s="1186"/>
      <c r="DV25" s="1014"/>
      <c r="DW25" s="1014"/>
      <c r="DX25" s="1014"/>
      <c r="DY25" s="1014">
        <v>56899000</v>
      </c>
      <c r="DZ25" s="1015"/>
      <c r="EA25" s="1015"/>
      <c r="EB25" s="1015"/>
      <c r="EC25" s="1015"/>
      <c r="ED25" s="1015"/>
      <c r="EE25" s="1015"/>
      <c r="EF25" s="1015"/>
      <c r="EG25" s="1015"/>
      <c r="EH25" s="1015"/>
      <c r="EI25" s="1015"/>
      <c r="EJ25" s="1015"/>
      <c r="EK25" s="1015"/>
      <c r="EL25" s="1015"/>
      <c r="EM25" s="643">
        <f>EK25+EI25+EG25+EE25+EC25+EA25+DY25+DW25+DU25+DS25+DQ25+DO25</f>
        <v>71143000</v>
      </c>
      <c r="EN25" s="643">
        <f>DO25+DQ25+DS25</f>
        <v>14244000</v>
      </c>
      <c r="EO25" s="643">
        <f t="shared" si="76"/>
        <v>17252000</v>
      </c>
      <c r="EP25" s="641">
        <f>DO25+DQ25+DS25+DU25+DW25+DY25</f>
        <v>71143000</v>
      </c>
      <c r="EQ25" s="641">
        <f t="shared" si="51"/>
        <v>17252000</v>
      </c>
      <c r="ER25" s="1007">
        <f t="shared" si="26"/>
        <v>0</v>
      </c>
      <c r="ES25" s="1007">
        <f t="shared" si="21"/>
        <v>1.2111766357764673</v>
      </c>
      <c r="ET25" s="1016">
        <f t="shared" si="22"/>
        <v>0.24249750502509032</v>
      </c>
      <c r="EU25" s="1016">
        <f t="shared" si="23"/>
        <v>1.0236679686147629</v>
      </c>
      <c r="EV25" s="1016">
        <f t="shared" si="24"/>
        <v>0.70709916702266307</v>
      </c>
      <c r="EW25" s="1073"/>
      <c r="EX25" s="1073"/>
      <c r="EY25" s="1073"/>
      <c r="EZ25" s="1018"/>
      <c r="FA25" s="1018"/>
      <c r="FB25" s="777"/>
      <c r="FC25" s="77"/>
      <c r="FD25" s="77"/>
    </row>
    <row r="26" spans="1:160" ht="31.9" customHeight="1" x14ac:dyDescent="0.25">
      <c r="A26" s="710"/>
      <c r="B26" s="710"/>
      <c r="C26" s="710"/>
      <c r="D26" s="710"/>
      <c r="E26" s="710"/>
      <c r="F26" s="78" t="s">
        <v>344</v>
      </c>
      <c r="G26" s="1012"/>
      <c r="H26" s="1102"/>
      <c r="I26" s="1015"/>
      <c r="J26" s="1015"/>
      <c r="K26" s="1015"/>
      <c r="L26" s="1015"/>
      <c r="M26" s="1015"/>
      <c r="N26" s="1015"/>
      <c r="O26" s="1015"/>
      <c r="P26" s="1015"/>
      <c r="Q26" s="1015"/>
      <c r="R26" s="1015"/>
      <c r="S26" s="1015"/>
      <c r="T26" s="1103"/>
      <c r="U26" s="1104"/>
      <c r="V26" s="1104"/>
      <c r="W26" s="1024">
        <f t="shared" si="58"/>
        <v>0</v>
      </c>
      <c r="X26" s="1024">
        <f t="shared" si="59"/>
        <v>0</v>
      </c>
      <c r="Y26" s="1024">
        <f t="shared" si="60"/>
        <v>0</v>
      </c>
      <c r="Z26" s="1012">
        <f t="shared" si="61"/>
        <v>0</v>
      </c>
      <c r="AA26" s="1012">
        <f t="shared" si="61"/>
        <v>0</v>
      </c>
      <c r="AB26" s="1012"/>
      <c r="AC26" s="1012"/>
      <c r="AD26" s="1012"/>
      <c r="AE26" s="1012"/>
      <c r="AF26" s="1012"/>
      <c r="AG26" s="1012">
        <v>2085333</v>
      </c>
      <c r="AH26" s="1012">
        <v>2085333</v>
      </c>
      <c r="AI26" s="1012">
        <f>4805333-AH26</f>
        <v>2720000</v>
      </c>
      <c r="AJ26" s="1012">
        <v>2720000</v>
      </c>
      <c r="AK26" s="1012">
        <v>2720000</v>
      </c>
      <c r="AL26" s="1012">
        <v>2720000</v>
      </c>
      <c r="AM26" s="1012">
        <v>2720000</v>
      </c>
      <c r="AN26" s="1012">
        <v>2720000</v>
      </c>
      <c r="AO26" s="1012">
        <v>2720000</v>
      </c>
      <c r="AP26" s="1012">
        <v>2720000</v>
      </c>
      <c r="AQ26" s="1012">
        <v>2720000</v>
      </c>
      <c r="AR26" s="1012">
        <v>2720000</v>
      </c>
      <c r="AS26" s="1012">
        <v>2720000</v>
      </c>
      <c r="AT26" s="1012">
        <v>2720000</v>
      </c>
      <c r="AU26" s="1012">
        <v>2720000</v>
      </c>
      <c r="AV26" s="1012">
        <v>2720000</v>
      </c>
      <c r="AW26" s="1012">
        <v>2720000</v>
      </c>
      <c r="AX26" s="1012">
        <v>2720000</v>
      </c>
      <c r="AY26" s="1012">
        <v>2720000</v>
      </c>
      <c r="AZ26" s="1012">
        <v>2720000</v>
      </c>
      <c r="BA26" s="1012">
        <f t="shared" si="62"/>
        <v>26565333</v>
      </c>
      <c r="BB26" s="1012">
        <f t="shared" si="63"/>
        <v>26565333</v>
      </c>
      <c r="BC26" s="1012">
        <f t="shared" si="64"/>
        <v>26565333</v>
      </c>
      <c r="BD26" s="1012">
        <f t="shared" si="65"/>
        <v>26565333</v>
      </c>
      <c r="BE26" s="1012">
        <f t="shared" si="66"/>
        <v>26565333</v>
      </c>
      <c r="BF26" s="1012"/>
      <c r="BG26" s="1012">
        <v>0</v>
      </c>
      <c r="BH26" s="1012">
        <v>0</v>
      </c>
      <c r="BI26" s="1012">
        <v>2006667</v>
      </c>
      <c r="BJ26" s="1012">
        <v>0</v>
      </c>
      <c r="BK26" s="1012">
        <v>3010000</v>
      </c>
      <c r="BL26" s="1012">
        <v>3712333</v>
      </c>
      <c r="BM26" s="1012">
        <v>3010000</v>
      </c>
      <c r="BN26" s="1012">
        <v>3010000</v>
      </c>
      <c r="BO26" s="1012">
        <v>3010000</v>
      </c>
      <c r="BP26" s="1012">
        <v>3010000</v>
      </c>
      <c r="BQ26" s="1012">
        <f>3010000</f>
        <v>3010000</v>
      </c>
      <c r="BR26" s="1012">
        <v>3010000</v>
      </c>
      <c r="BS26" s="1012">
        <v>3010000</v>
      </c>
      <c r="BT26" s="1012">
        <v>3010000</v>
      </c>
      <c r="BU26" s="1012">
        <v>3010000</v>
      </c>
      <c r="BV26" s="1012">
        <v>3010000</v>
      </c>
      <c r="BW26" s="1012">
        <v>3010000</v>
      </c>
      <c r="BX26" s="1012">
        <v>3010000</v>
      </c>
      <c r="BY26" s="1012">
        <v>3010000</v>
      </c>
      <c r="BZ26" s="1012">
        <v>3080300</v>
      </c>
      <c r="CA26" s="1012">
        <v>3010000</v>
      </c>
      <c r="CB26" s="1012">
        <v>3079850</v>
      </c>
      <c r="CC26" s="1012">
        <f>1003333+3010000+417600</f>
        <v>4430933</v>
      </c>
      <c r="CD26" s="1012">
        <v>3079600</v>
      </c>
      <c r="CE26" s="1012">
        <f t="shared" si="67"/>
        <v>33527600</v>
      </c>
      <c r="CF26" s="1012">
        <f t="shared" si="68"/>
        <v>33527600</v>
      </c>
      <c r="CG26" s="1012">
        <f t="shared" si="69"/>
        <v>31012083</v>
      </c>
      <c r="CH26" s="1012">
        <f t="shared" si="70"/>
        <v>33527600</v>
      </c>
      <c r="CI26" s="1012">
        <f t="shared" si="71"/>
        <v>31012083</v>
      </c>
      <c r="CJ26" s="1012">
        <v>33110000</v>
      </c>
      <c r="CK26" s="1012"/>
      <c r="CL26" s="1012"/>
      <c r="CM26" s="1012"/>
      <c r="CN26" s="1012"/>
      <c r="CO26" s="1012">
        <v>2809333</v>
      </c>
      <c r="CP26" s="1012">
        <v>2809333</v>
      </c>
      <c r="CQ26" s="1012">
        <v>3010000</v>
      </c>
      <c r="CR26" s="1012">
        <v>3010000</v>
      </c>
      <c r="CS26" s="1012">
        <v>3010000</v>
      </c>
      <c r="CT26" s="1012">
        <v>3010000</v>
      </c>
      <c r="CU26" s="1012">
        <v>3010000</v>
      </c>
      <c r="CV26" s="1012">
        <v>3010000</v>
      </c>
      <c r="CW26" s="1012">
        <v>3010000</v>
      </c>
      <c r="CX26" s="1012">
        <v>3010000</v>
      </c>
      <c r="CY26" s="1012">
        <v>3010000</v>
      </c>
      <c r="CZ26" s="1012">
        <v>3010000</v>
      </c>
      <c r="DA26" s="1012">
        <v>3010000</v>
      </c>
      <c r="DB26" s="1012">
        <v>3010000</v>
      </c>
      <c r="DC26" s="1012">
        <v>3010000</v>
      </c>
      <c r="DD26" s="1012">
        <v>3010000</v>
      </c>
      <c r="DE26" s="1012">
        <v>3010000</v>
      </c>
      <c r="DF26" s="1012">
        <v>3010000</v>
      </c>
      <c r="DG26" s="1012">
        <f>6220667+3010000</f>
        <v>9230667</v>
      </c>
      <c r="DH26" s="1012">
        <v>3010000</v>
      </c>
      <c r="DI26" s="1012">
        <f t="shared" si="72"/>
        <v>36120000</v>
      </c>
      <c r="DJ26" s="1012">
        <f t="shared" si="73"/>
        <v>36120000</v>
      </c>
      <c r="DK26" s="1012">
        <f t="shared" si="73"/>
        <v>29899333</v>
      </c>
      <c r="DL26" s="1013">
        <f t="shared" si="74"/>
        <v>36120000</v>
      </c>
      <c r="DM26" s="1012">
        <f t="shared" si="75"/>
        <v>29899333</v>
      </c>
      <c r="DN26" s="1012">
        <v>71143000</v>
      </c>
      <c r="DO26" s="1014"/>
      <c r="DP26" s="1014"/>
      <c r="DQ26" s="1014"/>
      <c r="DR26" s="1014"/>
      <c r="DS26" s="1014">
        <v>3561000</v>
      </c>
      <c r="DT26" s="1014">
        <v>0</v>
      </c>
      <c r="DU26" s="1014">
        <v>3561000</v>
      </c>
      <c r="DV26" s="1014"/>
      <c r="DW26" s="1014">
        <v>3561000</v>
      </c>
      <c r="DX26" s="1014"/>
      <c r="DY26" s="1014">
        <v>60460000</v>
      </c>
      <c r="DZ26" s="1015"/>
      <c r="EA26" s="1015"/>
      <c r="EB26" s="1015"/>
      <c r="EC26" s="1015"/>
      <c r="ED26" s="1015"/>
      <c r="EE26" s="1015"/>
      <c r="EF26" s="1015"/>
      <c r="EG26" s="1015"/>
      <c r="EH26" s="1015"/>
      <c r="EI26" s="1015"/>
      <c r="EJ26" s="1015"/>
      <c r="EK26" s="1015"/>
      <c r="EL26" s="1015"/>
      <c r="EM26" s="643">
        <f>EI26+EG26+EE26+EC26+EA26+DY26+DW26+DU26+DS26+DQ26+DO26+EK26</f>
        <v>71143000</v>
      </c>
      <c r="EN26" s="643">
        <f t="shared" ref="EN26:EN29" si="77">DO26+DQ26+DS26</f>
        <v>3561000</v>
      </c>
      <c r="EO26" s="643">
        <f t="shared" si="76"/>
        <v>0</v>
      </c>
      <c r="EP26" s="641">
        <f>DQ26+DS26+DU26+DW26+DY26+EA26+EC26+EE26+EG26+EI26+EK26</f>
        <v>71143000</v>
      </c>
      <c r="EQ26" s="641">
        <f t="shared" si="51"/>
        <v>0</v>
      </c>
      <c r="ER26" s="1007">
        <f t="shared" si="26"/>
        <v>0</v>
      </c>
      <c r="ES26" s="1007">
        <f>IFERROR(EO26/EN26,0)</f>
        <v>0</v>
      </c>
      <c r="ET26" s="1016">
        <f t="shared" si="22"/>
        <v>0</v>
      </c>
      <c r="EU26" s="1016">
        <f t="shared" si="23"/>
        <v>0.87674953136306655</v>
      </c>
      <c r="EV26" s="1016">
        <f>IFERROR((AA26+BE26+CI26+DM26+EQ26)/G26,0)</f>
        <v>0</v>
      </c>
      <c r="EW26" s="1073"/>
      <c r="EX26" s="1073"/>
      <c r="EY26" s="1073"/>
      <c r="EZ26" s="1018"/>
      <c r="FA26" s="1018"/>
      <c r="FB26" s="777"/>
      <c r="FC26" s="77"/>
      <c r="FD26" s="77"/>
    </row>
    <row r="27" spans="1:160" ht="31.9" customHeight="1" x14ac:dyDescent="0.25">
      <c r="A27" s="710"/>
      <c r="B27" s="710"/>
      <c r="C27" s="710"/>
      <c r="D27" s="710"/>
      <c r="E27" s="710"/>
      <c r="F27" s="79" t="s">
        <v>345</v>
      </c>
      <c r="G27" s="1020">
        <f>AA27+BE27+CI27+DM27+EP27</f>
        <v>78</v>
      </c>
      <c r="H27" s="1021"/>
      <c r="I27" s="1022"/>
      <c r="J27" s="1022"/>
      <c r="K27" s="1022"/>
      <c r="L27" s="1022"/>
      <c r="M27" s="1022"/>
      <c r="N27" s="1022"/>
      <c r="O27" s="1022"/>
      <c r="P27" s="1022"/>
      <c r="Q27" s="1022"/>
      <c r="R27" s="1022"/>
      <c r="S27" s="1022"/>
      <c r="T27" s="1023"/>
      <c r="U27" s="1022"/>
      <c r="V27" s="1023"/>
      <c r="W27" s="1024">
        <f t="shared" si="58"/>
        <v>0</v>
      </c>
      <c r="X27" s="1024">
        <f t="shared" si="59"/>
        <v>0</v>
      </c>
      <c r="Y27" s="1024">
        <f t="shared" si="60"/>
        <v>0</v>
      </c>
      <c r="Z27" s="1024">
        <f t="shared" si="61"/>
        <v>0</v>
      </c>
      <c r="AA27" s="1024">
        <f t="shared" si="61"/>
        <v>0</v>
      </c>
      <c r="AB27" s="1025"/>
      <c r="AC27" s="1025"/>
      <c r="AD27" s="1025"/>
      <c r="AE27" s="1025"/>
      <c r="AF27" s="1025"/>
      <c r="AG27" s="1025"/>
      <c r="AH27" s="1025"/>
      <c r="AI27" s="1025"/>
      <c r="AJ27" s="1025"/>
      <c r="AK27" s="1022"/>
      <c r="AL27" s="1022"/>
      <c r="AM27" s="1022"/>
      <c r="AN27" s="1022"/>
      <c r="AO27" s="1022"/>
      <c r="AP27" s="1022"/>
      <c r="AQ27" s="1022"/>
      <c r="AR27" s="1022"/>
      <c r="AS27" s="1022"/>
      <c r="AT27" s="1022"/>
      <c r="AU27" s="1022"/>
      <c r="AV27" s="1022"/>
      <c r="AW27" s="1022"/>
      <c r="AX27" s="1022"/>
      <c r="AY27" s="1022"/>
      <c r="AZ27" s="1022"/>
      <c r="BA27" s="1024">
        <f t="shared" si="62"/>
        <v>0</v>
      </c>
      <c r="BB27" s="1024">
        <f t="shared" si="63"/>
        <v>0</v>
      </c>
      <c r="BC27" s="1024">
        <f t="shared" si="64"/>
        <v>0</v>
      </c>
      <c r="BD27" s="1024">
        <f t="shared" si="65"/>
        <v>0</v>
      </c>
      <c r="BE27" s="1024">
        <f t="shared" si="66"/>
        <v>0</v>
      </c>
      <c r="BF27" s="1022"/>
      <c r="BG27" s="1022"/>
      <c r="BH27" s="1022"/>
      <c r="BI27" s="1022"/>
      <c r="BJ27" s="1022"/>
      <c r="BK27" s="1022"/>
      <c r="BL27" s="1022"/>
      <c r="BM27" s="1022"/>
      <c r="BN27" s="1022"/>
      <c r="BO27" s="1022"/>
      <c r="BP27" s="1022"/>
      <c r="BQ27" s="1022"/>
      <c r="BR27" s="1022"/>
      <c r="BS27" s="1022"/>
      <c r="BT27" s="1022"/>
      <c r="BU27" s="1022"/>
      <c r="BV27" s="1022"/>
      <c r="BW27" s="1022"/>
      <c r="BX27" s="1022"/>
      <c r="BY27" s="1022"/>
      <c r="BZ27" s="1022"/>
      <c r="CA27" s="1022"/>
      <c r="CB27" s="1022"/>
      <c r="CC27" s="1022"/>
      <c r="CD27" s="1022"/>
      <c r="CE27" s="1024">
        <f t="shared" si="67"/>
        <v>0</v>
      </c>
      <c r="CF27" s="1024">
        <f t="shared" si="68"/>
        <v>0</v>
      </c>
      <c r="CG27" s="1024">
        <f t="shared" si="69"/>
        <v>0</v>
      </c>
      <c r="CH27" s="1024">
        <f t="shared" si="70"/>
        <v>0</v>
      </c>
      <c r="CI27" s="1024">
        <f t="shared" si="71"/>
        <v>0</v>
      </c>
      <c r="CJ27" s="1022"/>
      <c r="CK27" s="1022"/>
      <c r="CL27" s="1022"/>
      <c r="CM27" s="1022"/>
      <c r="CN27" s="1022"/>
      <c r="CO27" s="1022"/>
      <c r="CP27" s="1022"/>
      <c r="CQ27" s="1022"/>
      <c r="CR27" s="1022"/>
      <c r="CS27" s="1022"/>
      <c r="CT27" s="1022"/>
      <c r="CU27" s="1022"/>
      <c r="CV27" s="1022"/>
      <c r="CW27" s="1022"/>
      <c r="CX27" s="1022"/>
      <c r="CY27" s="1022"/>
      <c r="CZ27" s="1022"/>
      <c r="DA27" s="1022"/>
      <c r="DB27" s="1022"/>
      <c r="DC27" s="1022"/>
      <c r="DD27" s="1022"/>
      <c r="DE27" s="1022"/>
      <c r="DF27" s="1022"/>
      <c r="DG27" s="1022"/>
      <c r="DH27" s="1022"/>
      <c r="DI27" s="1445">
        <f t="shared" si="72"/>
        <v>0</v>
      </c>
      <c r="DJ27" s="1020">
        <f t="shared" si="73"/>
        <v>0</v>
      </c>
      <c r="DK27" s="1020">
        <f t="shared" si="73"/>
        <v>0</v>
      </c>
      <c r="DL27" s="1445">
        <f t="shared" si="74"/>
        <v>0</v>
      </c>
      <c r="DM27" s="1006">
        <f t="shared" si="75"/>
        <v>0</v>
      </c>
      <c r="DN27" s="1029">
        <v>78</v>
      </c>
      <c r="DO27" s="1029">
        <v>78</v>
      </c>
      <c r="DP27" s="1029">
        <v>78</v>
      </c>
      <c r="DQ27" s="1029"/>
      <c r="DR27" s="1029"/>
      <c r="DS27" s="1029"/>
      <c r="DT27" s="1029"/>
      <c r="DU27" s="1029"/>
      <c r="DV27" s="1029"/>
      <c r="DW27" s="1029"/>
      <c r="DX27" s="1029"/>
      <c r="DY27" s="1029"/>
      <c r="DZ27" s="1022"/>
      <c r="EA27" s="1022"/>
      <c r="EB27" s="1022"/>
      <c r="EC27" s="1022"/>
      <c r="ED27" s="1022"/>
      <c r="EE27" s="1022"/>
      <c r="EF27" s="1022"/>
      <c r="EG27" s="1022"/>
      <c r="EH27" s="1022"/>
      <c r="EI27" s="1022"/>
      <c r="EJ27" s="1022"/>
      <c r="EK27" s="1022"/>
      <c r="EL27" s="1022"/>
      <c r="EM27" s="1006">
        <f>EI27+EG27+EE27+EC27+EA27+DY27+DW27+DU27+DS27+DQ27+DO27+EK27</f>
        <v>78</v>
      </c>
      <c r="EN27" s="1020">
        <f t="shared" si="77"/>
        <v>78</v>
      </c>
      <c r="EO27" s="1030">
        <f t="shared" si="76"/>
        <v>78</v>
      </c>
      <c r="EP27" s="1031">
        <f>DO27+DQ27+DS27+DU27+DW27+DY27+EA27+EC27+EE27+EG27+EI27+EK27</f>
        <v>78</v>
      </c>
      <c r="EQ27" s="1006">
        <f t="shared" si="51"/>
        <v>78</v>
      </c>
      <c r="ER27" s="1007">
        <f t="shared" si="26"/>
        <v>0</v>
      </c>
      <c r="ES27" s="1007">
        <f t="shared" si="21"/>
        <v>1</v>
      </c>
      <c r="ET27" s="1016">
        <f t="shared" si="22"/>
        <v>1</v>
      </c>
      <c r="EU27" s="1016">
        <f t="shared" si="23"/>
        <v>1</v>
      </c>
      <c r="EV27" s="1016">
        <f>IFERROR((AA27+BE27+CI27+DM27+EQ27)/G27,0)</f>
        <v>1</v>
      </c>
      <c r="EW27" s="1073"/>
      <c r="EX27" s="1073"/>
      <c r="EY27" s="1073"/>
      <c r="EZ27" s="1018"/>
      <c r="FA27" s="1018"/>
      <c r="FB27" s="777"/>
      <c r="FC27" s="75"/>
      <c r="FD27" s="75"/>
    </row>
    <row r="28" spans="1:160" ht="31.9" customHeight="1" x14ac:dyDescent="0.25">
      <c r="A28" s="710"/>
      <c r="B28" s="710"/>
      <c r="C28" s="710"/>
      <c r="D28" s="710"/>
      <c r="E28" s="710"/>
      <c r="F28" s="80" t="s">
        <v>346</v>
      </c>
      <c r="G28" s="641">
        <f>AA28+BE28+CI28+DM28+EP28</f>
        <v>15757067</v>
      </c>
      <c r="H28" s="1012"/>
      <c r="I28" s="1012"/>
      <c r="J28" s="1012"/>
      <c r="K28" s="1012"/>
      <c r="L28" s="1012"/>
      <c r="M28" s="1012"/>
      <c r="N28" s="1012"/>
      <c r="O28" s="1012"/>
      <c r="P28" s="1012"/>
      <c r="Q28" s="1012"/>
      <c r="R28" s="1012"/>
      <c r="S28" s="1012"/>
      <c r="T28" s="1012"/>
      <c r="U28" s="1012"/>
      <c r="V28" s="1012"/>
      <c r="W28" s="1012">
        <f t="shared" si="58"/>
        <v>0</v>
      </c>
      <c r="X28" s="1012">
        <f t="shared" si="59"/>
        <v>0</v>
      </c>
      <c r="Y28" s="1012">
        <f t="shared" si="60"/>
        <v>0</v>
      </c>
      <c r="Z28" s="1012">
        <f t="shared" si="61"/>
        <v>0</v>
      </c>
      <c r="AA28" s="1012">
        <f t="shared" si="61"/>
        <v>0</v>
      </c>
      <c r="AB28" s="1012">
        <v>3718400</v>
      </c>
      <c r="AC28" s="1012">
        <v>3718400</v>
      </c>
      <c r="AD28" s="1012">
        <v>3718400</v>
      </c>
      <c r="AE28" s="1012">
        <v>0</v>
      </c>
      <c r="AF28" s="1012">
        <v>0</v>
      </c>
      <c r="AG28" s="1012">
        <v>0</v>
      </c>
      <c r="AH28" s="1012">
        <v>0</v>
      </c>
      <c r="AI28" s="1012">
        <v>0</v>
      </c>
      <c r="AJ28" s="1012">
        <v>0</v>
      </c>
      <c r="AK28" s="1012">
        <v>0</v>
      </c>
      <c r="AL28" s="1012">
        <v>0</v>
      </c>
      <c r="AM28" s="1012">
        <v>0</v>
      </c>
      <c r="AN28" s="1012">
        <v>0</v>
      </c>
      <c r="AO28" s="1012">
        <v>0</v>
      </c>
      <c r="AP28" s="1012">
        <v>0</v>
      </c>
      <c r="AQ28" s="1012"/>
      <c r="AR28" s="1012"/>
      <c r="AS28" s="1012"/>
      <c r="AT28" s="1012"/>
      <c r="AU28" s="1012"/>
      <c r="AV28" s="1012"/>
      <c r="AW28" s="1012"/>
      <c r="AX28" s="1012">
        <v>0</v>
      </c>
      <c r="AY28" s="1012"/>
      <c r="AZ28" s="1012">
        <v>0</v>
      </c>
      <c r="BA28" s="1012">
        <f t="shared" si="62"/>
        <v>3718400</v>
      </c>
      <c r="BB28" s="1012">
        <f t="shared" si="63"/>
        <v>3718400</v>
      </c>
      <c r="BC28" s="1012">
        <f t="shared" si="64"/>
        <v>3718400</v>
      </c>
      <c r="BD28" s="1012">
        <f t="shared" si="65"/>
        <v>3718400</v>
      </c>
      <c r="BE28" s="1012">
        <f t="shared" si="66"/>
        <v>3718400</v>
      </c>
      <c r="BF28" s="1012">
        <v>3354667</v>
      </c>
      <c r="BG28" s="1012">
        <v>0</v>
      </c>
      <c r="BH28" s="1012">
        <v>0</v>
      </c>
      <c r="BI28" s="1012">
        <v>3354667</v>
      </c>
      <c r="BJ28" s="1012">
        <v>3354667</v>
      </c>
      <c r="BK28" s="1012">
        <v>0</v>
      </c>
      <c r="BL28" s="1012">
        <v>0</v>
      </c>
      <c r="BM28" s="1012">
        <v>0</v>
      </c>
      <c r="BN28" s="1012">
        <v>0</v>
      </c>
      <c r="BO28" s="1012">
        <v>0</v>
      </c>
      <c r="BP28" s="1012"/>
      <c r="BQ28" s="1012">
        <v>0</v>
      </c>
      <c r="BR28" s="1012">
        <v>0</v>
      </c>
      <c r="BS28" s="1012">
        <v>0</v>
      </c>
      <c r="BT28" s="1012">
        <v>0</v>
      </c>
      <c r="BU28" s="1012"/>
      <c r="BV28" s="1012">
        <v>0</v>
      </c>
      <c r="BW28" s="1012"/>
      <c r="BX28" s="1012"/>
      <c r="BY28" s="1012">
        <v>0</v>
      </c>
      <c r="BZ28" s="1012">
        <v>0</v>
      </c>
      <c r="CA28" s="1012"/>
      <c r="CB28" s="1012">
        <v>0</v>
      </c>
      <c r="CC28" s="1012"/>
      <c r="CD28" s="1012"/>
      <c r="CE28" s="1012">
        <f t="shared" si="67"/>
        <v>3354667</v>
      </c>
      <c r="CF28" s="1012">
        <f t="shared" si="68"/>
        <v>3354667</v>
      </c>
      <c r="CG28" s="1012">
        <f t="shared" si="69"/>
        <v>3354667</v>
      </c>
      <c r="CH28" s="1012">
        <f t="shared" si="70"/>
        <v>3354667</v>
      </c>
      <c r="CI28" s="1012">
        <f t="shared" si="71"/>
        <v>3354667</v>
      </c>
      <c r="CJ28" s="1012">
        <v>2515517</v>
      </c>
      <c r="CK28" s="1012">
        <v>2377583</v>
      </c>
      <c r="CL28" s="1012">
        <v>2377583</v>
      </c>
      <c r="CM28" s="1012">
        <v>28725</v>
      </c>
      <c r="CN28" s="1012">
        <v>28725</v>
      </c>
      <c r="CO28" s="1012">
        <v>28725</v>
      </c>
      <c r="CP28" s="1012">
        <v>28725</v>
      </c>
      <c r="CQ28" s="1012">
        <v>80484</v>
      </c>
      <c r="CR28" s="1012">
        <v>28300</v>
      </c>
      <c r="CS28" s="1012"/>
      <c r="CT28" s="1012">
        <v>0</v>
      </c>
      <c r="CU28" s="1012">
        <v>-52184</v>
      </c>
      <c r="CV28" s="1012"/>
      <c r="CW28" s="1012"/>
      <c r="CX28" s="1012"/>
      <c r="CY28" s="1012"/>
      <c r="CZ28" s="1012"/>
      <c r="DA28" s="1012"/>
      <c r="DB28" s="1012"/>
      <c r="DC28" s="1012"/>
      <c r="DD28" s="1012"/>
      <c r="DE28" s="1012"/>
      <c r="DF28" s="1012"/>
      <c r="DG28" s="1012"/>
      <c r="DH28" s="1012"/>
      <c r="DI28" s="1445">
        <f t="shared" si="72"/>
        <v>2463333</v>
      </c>
      <c r="DJ28" s="1020">
        <f t="shared" si="73"/>
        <v>2463333</v>
      </c>
      <c r="DK28" s="1020">
        <f t="shared" si="73"/>
        <v>2463333</v>
      </c>
      <c r="DL28" s="1445">
        <f t="shared" si="74"/>
        <v>2463333</v>
      </c>
      <c r="DM28" s="1012">
        <f t="shared" si="75"/>
        <v>2463333</v>
      </c>
      <c r="DN28" s="1014">
        <v>6220667</v>
      </c>
      <c r="DO28" s="1014">
        <v>3010000</v>
      </c>
      <c r="DP28" s="1014">
        <v>3010000</v>
      </c>
      <c r="DQ28" s="1014">
        <v>3210667</v>
      </c>
      <c r="DR28" s="1014">
        <v>3210667</v>
      </c>
      <c r="DS28" s="1014"/>
      <c r="DT28" s="1014"/>
      <c r="DU28" s="1014"/>
      <c r="DV28" s="1014"/>
      <c r="DW28" s="1014"/>
      <c r="DX28" s="1014"/>
      <c r="DY28" s="1014"/>
      <c r="DZ28" s="1015"/>
      <c r="EA28" s="1015"/>
      <c r="EB28" s="1015"/>
      <c r="EC28" s="1015"/>
      <c r="ED28" s="1015"/>
      <c r="EE28" s="1015"/>
      <c r="EF28" s="1015"/>
      <c r="EG28" s="1015"/>
      <c r="EH28" s="1015"/>
      <c r="EI28" s="1015"/>
      <c r="EJ28" s="1015"/>
      <c r="EK28" s="1015"/>
      <c r="EL28" s="1015"/>
      <c r="EM28" s="643">
        <f>EI28+EG28+EE28+EC28+EA28+DY28+DW28+DU28+DS28+DQ28+DO28+EK28</f>
        <v>6220667</v>
      </c>
      <c r="EN28" s="643">
        <f t="shared" si="77"/>
        <v>6220667</v>
      </c>
      <c r="EO28" s="643">
        <f t="shared" si="76"/>
        <v>6220667</v>
      </c>
      <c r="EP28" s="641">
        <f>DO28+DQ28+DS28+DU28+DW28+DY28+EA28+EC28+EE28+EG28+EI28+EK28</f>
        <v>6220667</v>
      </c>
      <c r="EQ28" s="641">
        <f t="shared" si="51"/>
        <v>6220667</v>
      </c>
      <c r="ER28" s="1007">
        <f t="shared" si="26"/>
        <v>0</v>
      </c>
      <c r="ES28" s="1007">
        <f t="shared" si="21"/>
        <v>1</v>
      </c>
      <c r="ET28" s="1016">
        <f t="shared" si="22"/>
        <v>1</v>
      </c>
      <c r="EU28" s="1016">
        <f t="shared" si="23"/>
        <v>1</v>
      </c>
      <c r="EV28" s="1016">
        <f t="shared" si="24"/>
        <v>1</v>
      </c>
      <c r="EW28" s="1073"/>
      <c r="EX28" s="1073"/>
      <c r="EY28" s="1073"/>
      <c r="EZ28" s="1018"/>
      <c r="FA28" s="1018"/>
      <c r="FB28" s="777"/>
      <c r="FC28" s="77"/>
      <c r="FD28" s="77"/>
    </row>
    <row r="29" spans="1:160" ht="31.9" customHeight="1" thickBot="1" x14ac:dyDescent="0.3">
      <c r="A29" s="710"/>
      <c r="B29" s="710"/>
      <c r="C29" s="710"/>
      <c r="D29" s="710"/>
      <c r="E29" s="710"/>
      <c r="F29" s="79" t="s">
        <v>347</v>
      </c>
      <c r="G29" s="1033">
        <f>G24+G27</f>
        <v>20000</v>
      </c>
      <c r="H29" s="1447">
        <v>2500</v>
      </c>
      <c r="I29" s="1035"/>
      <c r="J29" s="1035"/>
      <c r="K29" s="1035">
        <v>2500</v>
      </c>
      <c r="L29" s="1035">
        <v>0</v>
      </c>
      <c r="M29" s="1035">
        <v>2500</v>
      </c>
      <c r="N29" s="1040">
        <v>741</v>
      </c>
      <c r="O29" s="1035">
        <v>2500</v>
      </c>
      <c r="P29" s="1040">
        <v>1257</v>
      </c>
      <c r="Q29" s="1035">
        <v>2500</v>
      </c>
      <c r="R29" s="1036">
        <v>1908</v>
      </c>
      <c r="S29" s="1035">
        <v>2500</v>
      </c>
      <c r="T29" s="1039">
        <v>2210</v>
      </c>
      <c r="U29" s="1035">
        <v>2500</v>
      </c>
      <c r="V29" s="1035">
        <v>2500</v>
      </c>
      <c r="W29" s="1038">
        <f t="shared" si="58"/>
        <v>2500</v>
      </c>
      <c r="X29" s="1038">
        <f t="shared" si="59"/>
        <v>2500</v>
      </c>
      <c r="Y29" s="1038">
        <f t="shared" si="60"/>
        <v>2500</v>
      </c>
      <c r="Z29" s="1038">
        <f t="shared" si="61"/>
        <v>2500</v>
      </c>
      <c r="AA29" s="1038">
        <f t="shared" si="61"/>
        <v>2500</v>
      </c>
      <c r="AB29" s="1033">
        <v>3500</v>
      </c>
      <c r="AC29" s="1033">
        <v>246</v>
      </c>
      <c r="AD29" s="1033">
        <v>246</v>
      </c>
      <c r="AE29" s="1033">
        <v>301</v>
      </c>
      <c r="AF29" s="1033">
        <v>301</v>
      </c>
      <c r="AG29" s="1033">
        <v>296</v>
      </c>
      <c r="AH29" s="1033">
        <v>296</v>
      </c>
      <c r="AI29" s="1033">
        <v>300</v>
      </c>
      <c r="AJ29" s="1033">
        <v>300</v>
      </c>
      <c r="AK29" s="1040">
        <v>320</v>
      </c>
      <c r="AL29" s="1040">
        <v>320</v>
      </c>
      <c r="AM29" s="1040">
        <v>297</v>
      </c>
      <c r="AN29" s="1040">
        <f>+AN24</f>
        <v>297</v>
      </c>
      <c r="AO29" s="1040">
        <v>290</v>
      </c>
      <c r="AP29" s="1040">
        <v>293</v>
      </c>
      <c r="AQ29" s="1040">
        <v>290</v>
      </c>
      <c r="AR29" s="1040">
        <v>311</v>
      </c>
      <c r="AS29" s="1040">
        <v>290</v>
      </c>
      <c r="AT29" s="1040">
        <v>295</v>
      </c>
      <c r="AU29" s="1040">
        <v>290</v>
      </c>
      <c r="AV29" s="1040">
        <v>292</v>
      </c>
      <c r="AW29" s="1040">
        <v>290</v>
      </c>
      <c r="AX29" s="1040">
        <v>291</v>
      </c>
      <c r="AY29" s="1040">
        <v>290</v>
      </c>
      <c r="AZ29" s="1040">
        <v>298</v>
      </c>
      <c r="BA29" s="1038">
        <f t="shared" si="62"/>
        <v>3500</v>
      </c>
      <c r="BB29" s="1038">
        <f t="shared" si="63"/>
        <v>3500</v>
      </c>
      <c r="BC29" s="1038">
        <f t="shared" si="64"/>
        <v>3540</v>
      </c>
      <c r="BD29" s="1038">
        <f t="shared" si="65"/>
        <v>3500</v>
      </c>
      <c r="BE29" s="1038">
        <f t="shared" si="66"/>
        <v>3540</v>
      </c>
      <c r="BF29" s="1040">
        <v>5000</v>
      </c>
      <c r="BG29" s="1040">
        <f t="shared" ref="BG29:CD29" si="78">+BG24</f>
        <v>40</v>
      </c>
      <c r="BH29" s="1040">
        <f t="shared" si="78"/>
        <v>40</v>
      </c>
      <c r="BI29" s="1040">
        <f t="shared" si="78"/>
        <v>460</v>
      </c>
      <c r="BJ29" s="1040">
        <f t="shared" si="78"/>
        <v>464</v>
      </c>
      <c r="BK29" s="1040">
        <f t="shared" si="78"/>
        <v>450</v>
      </c>
      <c r="BL29" s="1040">
        <f t="shared" si="78"/>
        <v>452</v>
      </c>
      <c r="BM29" s="1040">
        <f t="shared" si="78"/>
        <v>450</v>
      </c>
      <c r="BN29" s="1040">
        <f t="shared" si="78"/>
        <v>448</v>
      </c>
      <c r="BO29" s="1040">
        <f t="shared" si="78"/>
        <v>450</v>
      </c>
      <c r="BP29" s="1040">
        <f t="shared" si="78"/>
        <v>457</v>
      </c>
      <c r="BQ29" s="1040">
        <f t="shared" si="78"/>
        <v>450</v>
      </c>
      <c r="BR29" s="1040">
        <f t="shared" si="78"/>
        <v>451</v>
      </c>
      <c r="BS29" s="1040">
        <f t="shared" si="78"/>
        <v>450</v>
      </c>
      <c r="BT29" s="1040">
        <f t="shared" si="78"/>
        <v>455</v>
      </c>
      <c r="BU29" s="1040">
        <f t="shared" si="78"/>
        <v>450</v>
      </c>
      <c r="BV29" s="1040">
        <f t="shared" si="78"/>
        <v>475</v>
      </c>
      <c r="BW29" s="1040">
        <f t="shared" si="78"/>
        <v>450</v>
      </c>
      <c r="BX29" s="1040">
        <f t="shared" si="78"/>
        <v>460</v>
      </c>
      <c r="BY29" s="1040">
        <f t="shared" si="78"/>
        <v>450</v>
      </c>
      <c r="BZ29" s="1040">
        <f t="shared" si="78"/>
        <v>450</v>
      </c>
      <c r="CA29" s="1040">
        <f t="shared" si="78"/>
        <v>450</v>
      </c>
      <c r="CB29" s="1040">
        <f t="shared" si="78"/>
        <v>450</v>
      </c>
      <c r="CC29" s="1040">
        <f t="shared" si="78"/>
        <v>512</v>
      </c>
      <c r="CD29" s="1040">
        <f t="shared" si="78"/>
        <v>460</v>
      </c>
      <c r="CE29" s="1038">
        <f t="shared" si="67"/>
        <v>5062</v>
      </c>
      <c r="CF29" s="1038">
        <f t="shared" si="68"/>
        <v>5062</v>
      </c>
      <c r="CG29" s="1038">
        <f t="shared" si="69"/>
        <v>5062</v>
      </c>
      <c r="CH29" s="1038">
        <f t="shared" si="70"/>
        <v>5062</v>
      </c>
      <c r="CI29" s="1038">
        <f t="shared" si="71"/>
        <v>5062</v>
      </c>
      <c r="CJ29" s="1040">
        <v>6000</v>
      </c>
      <c r="CK29" s="1039">
        <f t="shared" ref="CK29:DH29" si="79">+CK24</f>
        <v>0</v>
      </c>
      <c r="CL29" s="1039">
        <f t="shared" si="79"/>
        <v>0</v>
      </c>
      <c r="CM29" s="1039">
        <f t="shared" si="79"/>
        <v>575</v>
      </c>
      <c r="CN29" s="1039">
        <f t="shared" si="79"/>
        <v>600</v>
      </c>
      <c r="CO29" s="1039">
        <f t="shared" si="79"/>
        <v>575</v>
      </c>
      <c r="CP29" s="1039">
        <f t="shared" si="79"/>
        <v>650</v>
      </c>
      <c r="CQ29" s="1039">
        <f t="shared" si="79"/>
        <v>575</v>
      </c>
      <c r="CR29" s="1039">
        <f t="shared" si="79"/>
        <v>600</v>
      </c>
      <c r="CS29" s="1039">
        <f t="shared" si="79"/>
        <v>575</v>
      </c>
      <c r="CT29" s="1039">
        <f t="shared" si="79"/>
        <v>600</v>
      </c>
      <c r="CU29" s="1039">
        <f t="shared" si="79"/>
        <v>575</v>
      </c>
      <c r="CV29" s="1039">
        <f t="shared" si="79"/>
        <v>615</v>
      </c>
      <c r="CW29" s="1039">
        <f t="shared" si="79"/>
        <v>575</v>
      </c>
      <c r="CX29" s="1039">
        <f t="shared" si="79"/>
        <v>575</v>
      </c>
      <c r="CY29" s="1039">
        <f t="shared" si="79"/>
        <v>575</v>
      </c>
      <c r="CZ29" s="1039">
        <f t="shared" si="79"/>
        <v>671</v>
      </c>
      <c r="DA29" s="1039">
        <f t="shared" si="79"/>
        <v>575</v>
      </c>
      <c r="DB29" s="1039">
        <f t="shared" si="79"/>
        <v>585</v>
      </c>
      <c r="DC29" s="1039">
        <f t="shared" si="79"/>
        <v>575</v>
      </c>
      <c r="DD29" s="1039">
        <f t="shared" si="79"/>
        <v>611</v>
      </c>
      <c r="DE29" s="1039">
        <f t="shared" si="79"/>
        <v>575</v>
      </c>
      <c r="DF29" s="1039">
        <f t="shared" si="79"/>
        <v>223</v>
      </c>
      <c r="DG29" s="1039">
        <f t="shared" si="79"/>
        <v>250</v>
      </c>
      <c r="DH29" s="1039">
        <f t="shared" si="79"/>
        <v>192</v>
      </c>
      <c r="DI29" s="1446">
        <f t="shared" si="72"/>
        <v>6000</v>
      </c>
      <c r="DJ29" s="1033">
        <f t="shared" si="73"/>
        <v>6000</v>
      </c>
      <c r="DK29" s="1033">
        <f t="shared" si="73"/>
        <v>5922</v>
      </c>
      <c r="DL29" s="1446">
        <f t="shared" si="74"/>
        <v>6000</v>
      </c>
      <c r="DM29" s="1033">
        <f t="shared" si="75"/>
        <v>5922</v>
      </c>
      <c r="DN29" s="1033">
        <f>DN24+DN27</f>
        <v>2976</v>
      </c>
      <c r="DO29" s="1033">
        <f t="shared" ref="DO29:DZ29" si="80">DO24+DO27</f>
        <v>600</v>
      </c>
      <c r="DP29" s="1033">
        <f t="shared" si="80"/>
        <v>600</v>
      </c>
      <c r="DQ29" s="1033">
        <f t="shared" si="80"/>
        <v>500</v>
      </c>
      <c r="DR29" s="1033">
        <f t="shared" si="80"/>
        <v>500</v>
      </c>
      <c r="DS29" s="1033">
        <f t="shared" si="80"/>
        <v>500</v>
      </c>
      <c r="DT29" s="1033">
        <f t="shared" si="80"/>
        <v>512</v>
      </c>
      <c r="DU29" s="1033">
        <f t="shared" si="80"/>
        <v>500</v>
      </c>
      <c r="DV29" s="1033">
        <f t="shared" si="80"/>
        <v>0</v>
      </c>
      <c r="DW29" s="1033">
        <f t="shared" si="80"/>
        <v>500</v>
      </c>
      <c r="DX29" s="1033">
        <f t="shared" si="80"/>
        <v>0</v>
      </c>
      <c r="DY29" s="1033">
        <f t="shared" si="80"/>
        <v>376</v>
      </c>
      <c r="DZ29" s="1033">
        <f t="shared" si="80"/>
        <v>0</v>
      </c>
      <c r="EA29" s="1040"/>
      <c r="EB29" s="1040"/>
      <c r="EC29" s="1040"/>
      <c r="ED29" s="1040"/>
      <c r="EE29" s="1040"/>
      <c r="EF29" s="1040"/>
      <c r="EG29" s="1040"/>
      <c r="EH29" s="1040"/>
      <c r="EI29" s="1040"/>
      <c r="EJ29" s="1040"/>
      <c r="EK29" s="1040"/>
      <c r="EL29" s="1040"/>
      <c r="EM29" s="1039">
        <f>EI29+EG29+EE29+EC29+EA29+DY29+DW29+DU29+DS29+DQ29+DO29+EK29</f>
        <v>2976</v>
      </c>
      <c r="EN29" s="1033">
        <f t="shared" si="77"/>
        <v>1600</v>
      </c>
      <c r="EO29" s="1044">
        <f t="shared" si="76"/>
        <v>1612</v>
      </c>
      <c r="EP29" s="1067">
        <f>DQ29+DS29+DU29+DW29+DY29+EA29+EC29+EE29+EG29+EI29+EK29+DO29</f>
        <v>2976</v>
      </c>
      <c r="EQ29" s="1039">
        <f t="shared" si="51"/>
        <v>1612</v>
      </c>
      <c r="ER29" s="1045">
        <f t="shared" si="26"/>
        <v>1.024</v>
      </c>
      <c r="ES29" s="1045">
        <f t="shared" si="21"/>
        <v>1.0075000000000001</v>
      </c>
      <c r="ET29" s="1046">
        <f t="shared" si="22"/>
        <v>0.54166666666666663</v>
      </c>
      <c r="EU29" s="1046">
        <f t="shared" si="23"/>
        <v>0.99860679455578183</v>
      </c>
      <c r="EV29" s="1046">
        <f t="shared" si="24"/>
        <v>0.93179999999999996</v>
      </c>
      <c r="EW29" s="1073"/>
      <c r="EX29" s="1073"/>
      <c r="EY29" s="1073"/>
      <c r="EZ29" s="1018"/>
      <c r="FA29" s="1018"/>
      <c r="FB29" s="777"/>
      <c r="FC29" s="75"/>
      <c r="FD29" s="75"/>
    </row>
    <row r="30" spans="1:160" ht="31.9" customHeight="1" thickBot="1" x14ac:dyDescent="0.3">
      <c r="A30" s="731"/>
      <c r="B30" s="731"/>
      <c r="C30" s="731"/>
      <c r="D30" s="731"/>
      <c r="E30" s="731"/>
      <c r="F30" s="81" t="s">
        <v>348</v>
      </c>
      <c r="G30" s="646">
        <f>G25+G28</f>
        <v>199747667</v>
      </c>
      <c r="H30" s="647">
        <f t="shared" ref="H30:DK30" si="81">H25+H28</f>
        <v>24546000</v>
      </c>
      <c r="I30" s="647">
        <f t="shared" si="81"/>
        <v>0</v>
      </c>
      <c r="J30" s="647">
        <f t="shared" si="81"/>
        <v>0</v>
      </c>
      <c r="K30" s="647">
        <f t="shared" si="81"/>
        <v>24546000</v>
      </c>
      <c r="L30" s="647">
        <f t="shared" si="81"/>
        <v>0</v>
      </c>
      <c r="M30" s="647">
        <f t="shared" si="81"/>
        <v>24546000</v>
      </c>
      <c r="N30" s="647">
        <f t="shared" si="81"/>
        <v>10624000</v>
      </c>
      <c r="O30" s="647">
        <f t="shared" si="81"/>
        <v>24546000</v>
      </c>
      <c r="P30" s="647">
        <f t="shared" si="81"/>
        <v>10624000</v>
      </c>
      <c r="Q30" s="647">
        <f t="shared" si="81"/>
        <v>13280000</v>
      </c>
      <c r="R30" s="647">
        <f t="shared" si="81"/>
        <v>10624000</v>
      </c>
      <c r="S30" s="647">
        <f t="shared" si="81"/>
        <v>13280000</v>
      </c>
      <c r="T30" s="647">
        <f t="shared" si="81"/>
        <v>10624000</v>
      </c>
      <c r="U30" s="647">
        <f t="shared" si="81"/>
        <v>13280000</v>
      </c>
      <c r="V30" s="647">
        <f t="shared" si="81"/>
        <v>13280000</v>
      </c>
      <c r="W30" s="647">
        <f t="shared" si="81"/>
        <v>24546000</v>
      </c>
      <c r="X30" s="647">
        <f t="shared" si="81"/>
        <v>24546000</v>
      </c>
      <c r="Y30" s="647">
        <f t="shared" si="81"/>
        <v>13280000</v>
      </c>
      <c r="Z30" s="647">
        <f t="shared" si="81"/>
        <v>13280000</v>
      </c>
      <c r="AA30" s="647">
        <f t="shared" si="81"/>
        <v>13280000</v>
      </c>
      <c r="AB30" s="647">
        <f t="shared" si="81"/>
        <v>38003400</v>
      </c>
      <c r="AC30" s="647">
        <f t="shared" si="81"/>
        <v>3718400</v>
      </c>
      <c r="AD30" s="647">
        <f t="shared" si="81"/>
        <v>3718400</v>
      </c>
      <c r="AE30" s="647">
        <f t="shared" si="81"/>
        <v>27200000</v>
      </c>
      <c r="AF30" s="647">
        <f t="shared" si="81"/>
        <v>27200000</v>
      </c>
      <c r="AG30" s="647">
        <f t="shared" si="81"/>
        <v>0</v>
      </c>
      <c r="AH30" s="647">
        <f t="shared" si="81"/>
        <v>0</v>
      </c>
      <c r="AI30" s="647">
        <f t="shared" si="81"/>
        <v>0</v>
      </c>
      <c r="AJ30" s="647">
        <f t="shared" si="81"/>
        <v>0</v>
      </c>
      <c r="AK30" s="647">
        <f t="shared" si="81"/>
        <v>0</v>
      </c>
      <c r="AL30" s="647">
        <f t="shared" si="81"/>
        <v>0</v>
      </c>
      <c r="AM30" s="647">
        <f t="shared" si="81"/>
        <v>0</v>
      </c>
      <c r="AN30" s="647">
        <f t="shared" si="81"/>
        <v>0</v>
      </c>
      <c r="AO30" s="647">
        <f t="shared" si="81"/>
        <v>0</v>
      </c>
      <c r="AP30" s="647">
        <f t="shared" si="81"/>
        <v>0</v>
      </c>
      <c r="AQ30" s="647">
        <f t="shared" si="81"/>
        <v>0</v>
      </c>
      <c r="AR30" s="647">
        <f t="shared" si="81"/>
        <v>0</v>
      </c>
      <c r="AS30" s="647">
        <f t="shared" si="81"/>
        <v>2720000</v>
      </c>
      <c r="AT30" s="647">
        <f t="shared" si="81"/>
        <v>0</v>
      </c>
      <c r="AU30" s="647">
        <f t="shared" si="81"/>
        <v>0</v>
      </c>
      <c r="AV30" s="647">
        <f t="shared" si="81"/>
        <v>0</v>
      </c>
      <c r="AW30" s="647">
        <f t="shared" si="81"/>
        <v>0</v>
      </c>
      <c r="AX30" s="647">
        <f t="shared" si="81"/>
        <v>0</v>
      </c>
      <c r="AY30" s="647">
        <f t="shared" si="81"/>
        <v>0</v>
      </c>
      <c r="AZ30" s="647">
        <f t="shared" si="81"/>
        <v>2720000</v>
      </c>
      <c r="BA30" s="647">
        <f t="shared" si="81"/>
        <v>33638400</v>
      </c>
      <c r="BB30" s="647">
        <f t="shared" si="81"/>
        <v>33638400</v>
      </c>
      <c r="BC30" s="647">
        <f t="shared" si="81"/>
        <v>33638400</v>
      </c>
      <c r="BD30" s="647">
        <f t="shared" si="81"/>
        <v>33638400</v>
      </c>
      <c r="BE30" s="647">
        <f t="shared" si="81"/>
        <v>33638400</v>
      </c>
      <c r="BF30" s="647">
        <f t="shared" si="81"/>
        <v>33454667</v>
      </c>
      <c r="BG30" s="647">
        <f t="shared" si="81"/>
        <v>30100000</v>
      </c>
      <c r="BH30" s="647">
        <f t="shared" si="81"/>
        <v>30100000</v>
      </c>
      <c r="BI30" s="647">
        <f t="shared" si="81"/>
        <v>3354667</v>
      </c>
      <c r="BJ30" s="647">
        <f t="shared" si="81"/>
        <v>3354667</v>
      </c>
      <c r="BK30" s="647">
        <f t="shared" si="81"/>
        <v>0</v>
      </c>
      <c r="BL30" s="647">
        <f t="shared" si="81"/>
        <v>0</v>
      </c>
      <c r="BM30" s="647">
        <f t="shared" si="81"/>
        <v>0</v>
      </c>
      <c r="BN30" s="647">
        <f t="shared" si="81"/>
        <v>0</v>
      </c>
      <c r="BO30" s="647">
        <f t="shared" si="81"/>
        <v>0</v>
      </c>
      <c r="BP30" s="647">
        <f t="shared" si="81"/>
        <v>0</v>
      </c>
      <c r="BQ30" s="647">
        <f t="shared" si="81"/>
        <v>835200</v>
      </c>
      <c r="BR30" s="647">
        <f t="shared" si="81"/>
        <v>0</v>
      </c>
      <c r="BS30" s="647">
        <f t="shared" si="81"/>
        <v>-417600</v>
      </c>
      <c r="BT30" s="647">
        <f t="shared" si="81"/>
        <v>0</v>
      </c>
      <c r="BU30" s="647">
        <f t="shared" si="81"/>
        <v>0</v>
      </c>
      <c r="BV30" s="647">
        <f t="shared" si="81"/>
        <v>0</v>
      </c>
      <c r="BW30" s="647">
        <f t="shared" si="81"/>
        <v>0</v>
      </c>
      <c r="BX30" s="647">
        <f t="shared" si="81"/>
        <v>417600</v>
      </c>
      <c r="BY30" s="647">
        <f t="shared" si="81"/>
        <v>0</v>
      </c>
      <c r="BZ30" s="647">
        <f t="shared" si="81"/>
        <v>0</v>
      </c>
      <c r="CA30" s="647">
        <f t="shared" si="81"/>
        <v>3010000</v>
      </c>
      <c r="CB30" s="647">
        <f t="shared" si="81"/>
        <v>3010000</v>
      </c>
      <c r="CC30" s="647">
        <f t="shared" si="81"/>
        <v>0</v>
      </c>
      <c r="CD30" s="647">
        <f t="shared" si="81"/>
        <v>0</v>
      </c>
      <c r="CE30" s="647">
        <f t="shared" si="81"/>
        <v>36882267</v>
      </c>
      <c r="CF30" s="647">
        <f t="shared" si="81"/>
        <v>36882267</v>
      </c>
      <c r="CG30" s="647">
        <f t="shared" si="81"/>
        <v>36882267</v>
      </c>
      <c r="CH30" s="647">
        <f t="shared" si="81"/>
        <v>36882267</v>
      </c>
      <c r="CI30" s="647">
        <f t="shared" si="81"/>
        <v>36882267</v>
      </c>
      <c r="CJ30" s="647">
        <f t="shared" si="81"/>
        <v>35625517</v>
      </c>
      <c r="CK30" s="647">
        <f t="shared" si="81"/>
        <v>2377583</v>
      </c>
      <c r="CL30" s="647">
        <f t="shared" si="81"/>
        <v>2377583</v>
      </c>
      <c r="CM30" s="647">
        <f t="shared" si="81"/>
        <v>33138725</v>
      </c>
      <c r="CN30" s="647">
        <f t="shared" si="81"/>
        <v>33138725</v>
      </c>
      <c r="CO30" s="647">
        <f t="shared" si="81"/>
        <v>28725</v>
      </c>
      <c r="CP30" s="647">
        <f t="shared" si="81"/>
        <v>28725</v>
      </c>
      <c r="CQ30" s="647">
        <f t="shared" si="81"/>
        <v>80484</v>
      </c>
      <c r="CR30" s="647">
        <f t="shared" si="81"/>
        <v>28300</v>
      </c>
      <c r="CS30" s="647">
        <f t="shared" si="81"/>
        <v>0</v>
      </c>
      <c r="CT30" s="647">
        <f t="shared" si="81"/>
        <v>0</v>
      </c>
      <c r="CU30" s="647">
        <f t="shared" si="81"/>
        <v>-52184</v>
      </c>
      <c r="CV30" s="647">
        <f t="shared" si="81"/>
        <v>0</v>
      </c>
      <c r="CW30" s="647">
        <f t="shared" si="81"/>
        <v>3010000</v>
      </c>
      <c r="CX30" s="647">
        <f t="shared" si="81"/>
        <v>0</v>
      </c>
      <c r="CY30" s="647">
        <f t="shared" si="81"/>
        <v>0</v>
      </c>
      <c r="CZ30" s="647">
        <f t="shared" si="81"/>
        <v>0</v>
      </c>
      <c r="DA30" s="647">
        <f t="shared" si="81"/>
        <v>0</v>
      </c>
      <c r="DB30" s="647">
        <f t="shared" si="81"/>
        <v>0</v>
      </c>
      <c r="DC30" s="647">
        <f t="shared" si="81"/>
        <v>0</v>
      </c>
      <c r="DD30" s="647">
        <f t="shared" si="81"/>
        <v>0</v>
      </c>
      <c r="DE30" s="647">
        <f t="shared" si="81"/>
        <v>0</v>
      </c>
      <c r="DF30" s="647">
        <f t="shared" si="81"/>
        <v>0</v>
      </c>
      <c r="DG30" s="647">
        <f t="shared" si="81"/>
        <v>0</v>
      </c>
      <c r="DH30" s="647">
        <f t="shared" si="81"/>
        <v>3010000</v>
      </c>
      <c r="DI30" s="647">
        <f t="shared" si="81"/>
        <v>38583333</v>
      </c>
      <c r="DJ30" s="647">
        <f t="shared" si="81"/>
        <v>38583333</v>
      </c>
      <c r="DK30" s="647">
        <f t="shared" si="81"/>
        <v>38583333</v>
      </c>
      <c r="DL30" s="647">
        <f>DL25+DL28</f>
        <v>38583333</v>
      </c>
      <c r="DM30" s="647">
        <f t="shared" ref="DM30:EQ30" si="82">DM25+DM28</f>
        <v>38583333</v>
      </c>
      <c r="DN30" s="647">
        <f t="shared" si="82"/>
        <v>77363667</v>
      </c>
      <c r="DO30" s="647">
        <f t="shared" si="82"/>
        <v>3010000</v>
      </c>
      <c r="DP30" s="647">
        <f t="shared" si="82"/>
        <v>3010000</v>
      </c>
      <c r="DQ30" s="647">
        <f t="shared" si="82"/>
        <v>17454667</v>
      </c>
      <c r="DR30" s="647">
        <f t="shared" si="82"/>
        <v>3210667</v>
      </c>
      <c r="DS30" s="647">
        <f t="shared" si="82"/>
        <v>0</v>
      </c>
      <c r="DT30" s="647">
        <f t="shared" si="82"/>
        <v>17252000</v>
      </c>
      <c r="DU30" s="647">
        <f t="shared" si="82"/>
        <v>0</v>
      </c>
      <c r="DV30" s="647">
        <f t="shared" si="82"/>
        <v>0</v>
      </c>
      <c r="DW30" s="647">
        <f t="shared" si="82"/>
        <v>0</v>
      </c>
      <c r="DX30" s="647">
        <f t="shared" si="82"/>
        <v>0</v>
      </c>
      <c r="DY30" s="647">
        <f t="shared" si="82"/>
        <v>56899000</v>
      </c>
      <c r="DZ30" s="647">
        <f t="shared" si="82"/>
        <v>0</v>
      </c>
      <c r="EA30" s="647">
        <f t="shared" si="82"/>
        <v>0</v>
      </c>
      <c r="EB30" s="647">
        <f t="shared" si="82"/>
        <v>0</v>
      </c>
      <c r="EC30" s="647">
        <f t="shared" si="82"/>
        <v>0</v>
      </c>
      <c r="ED30" s="647">
        <f t="shared" si="82"/>
        <v>0</v>
      </c>
      <c r="EE30" s="647">
        <f t="shared" si="82"/>
        <v>0</v>
      </c>
      <c r="EF30" s="647">
        <f t="shared" si="82"/>
        <v>0</v>
      </c>
      <c r="EG30" s="647">
        <f t="shared" si="82"/>
        <v>0</v>
      </c>
      <c r="EH30" s="647">
        <f t="shared" si="82"/>
        <v>0</v>
      </c>
      <c r="EI30" s="647">
        <f t="shared" si="82"/>
        <v>0</v>
      </c>
      <c r="EJ30" s="647">
        <f t="shared" si="82"/>
        <v>0</v>
      </c>
      <c r="EK30" s="647">
        <f t="shared" si="82"/>
        <v>0</v>
      </c>
      <c r="EL30" s="647">
        <f t="shared" si="82"/>
        <v>0</v>
      </c>
      <c r="EM30" s="647">
        <f t="shared" si="82"/>
        <v>77363667</v>
      </c>
      <c r="EN30" s="647">
        <f t="shared" si="82"/>
        <v>20464667</v>
      </c>
      <c r="EO30" s="647">
        <f t="shared" si="82"/>
        <v>23472667</v>
      </c>
      <c r="EP30" s="647">
        <f t="shared" si="82"/>
        <v>77363667</v>
      </c>
      <c r="EQ30" s="647">
        <f t="shared" si="82"/>
        <v>23472667</v>
      </c>
      <c r="ER30" s="648">
        <f t="shared" si="26"/>
        <v>0</v>
      </c>
      <c r="ES30" s="648">
        <f t="shared" si="21"/>
        <v>1.1469850450046415</v>
      </c>
      <c r="ET30" s="649">
        <f t="shared" si="22"/>
        <v>0.30340685634769615</v>
      </c>
      <c r="EU30" s="649">
        <f t="shared" si="23"/>
        <v>1.0210572493476611</v>
      </c>
      <c r="EV30" s="650">
        <f t="shared" si="24"/>
        <v>0.73020460859750613</v>
      </c>
      <c r="EW30" s="1076"/>
      <c r="EX30" s="1076"/>
      <c r="EY30" s="1076"/>
      <c r="EZ30" s="1048"/>
      <c r="FA30" s="1048"/>
      <c r="FB30" s="778"/>
      <c r="FC30" s="87"/>
      <c r="FD30" s="87"/>
    </row>
    <row r="31" spans="1:160" ht="31.9" customHeight="1" x14ac:dyDescent="0.25">
      <c r="A31" s="758" t="s">
        <v>353</v>
      </c>
      <c r="B31" s="759">
        <v>4</v>
      </c>
      <c r="C31" s="758" t="s">
        <v>354</v>
      </c>
      <c r="D31" s="758" t="s">
        <v>355</v>
      </c>
      <c r="E31" s="758">
        <v>199</v>
      </c>
      <c r="F31" s="73" t="s">
        <v>340</v>
      </c>
      <c r="G31" s="993">
        <v>1</v>
      </c>
      <c r="H31" s="994">
        <v>0.05</v>
      </c>
      <c r="I31" s="995"/>
      <c r="J31" s="995"/>
      <c r="K31" s="996">
        <v>0.05</v>
      </c>
      <c r="L31" s="997">
        <v>0</v>
      </c>
      <c r="M31" s="996">
        <v>0.05</v>
      </c>
      <c r="N31" s="996">
        <v>0.01</v>
      </c>
      <c r="O31" s="996">
        <v>0.05</v>
      </c>
      <c r="P31" s="996">
        <v>0.02</v>
      </c>
      <c r="Q31" s="996">
        <v>0.05</v>
      </c>
      <c r="R31" s="996">
        <v>0.03</v>
      </c>
      <c r="S31" s="996">
        <v>0.05</v>
      </c>
      <c r="T31" s="997">
        <v>0.04</v>
      </c>
      <c r="U31" s="996">
        <v>0.05</v>
      </c>
      <c r="V31" s="996">
        <v>0.05</v>
      </c>
      <c r="W31" s="998">
        <f t="shared" ref="W31:W36" si="83">+H31</f>
        <v>0.05</v>
      </c>
      <c r="X31" s="998">
        <f t="shared" ref="X31:X36" si="84">+H31</f>
        <v>0.05</v>
      </c>
      <c r="Y31" s="998">
        <f t="shared" ref="Y31:Y36" si="85">+V31</f>
        <v>0.05</v>
      </c>
      <c r="Z31" s="998">
        <f t="shared" ref="Z31:AA36" si="86">+U31</f>
        <v>0.05</v>
      </c>
      <c r="AA31" s="998">
        <f t="shared" si="86"/>
        <v>0.05</v>
      </c>
      <c r="AB31" s="998">
        <v>0.2</v>
      </c>
      <c r="AC31" s="998">
        <v>0.01</v>
      </c>
      <c r="AD31" s="998">
        <v>0.01</v>
      </c>
      <c r="AE31" s="1000">
        <v>0.03</v>
      </c>
      <c r="AF31" s="1000">
        <v>0.03</v>
      </c>
      <c r="AG31" s="1000">
        <v>0.01</v>
      </c>
      <c r="AH31" s="1000">
        <v>0.01</v>
      </c>
      <c r="AI31" s="1000">
        <v>0.01</v>
      </c>
      <c r="AJ31" s="1000">
        <v>0.01</v>
      </c>
      <c r="AK31" s="1000">
        <v>0.01</v>
      </c>
      <c r="AL31" s="1000">
        <v>0.01</v>
      </c>
      <c r="AM31" s="1000">
        <v>0.01</v>
      </c>
      <c r="AN31" s="1000">
        <v>0.01</v>
      </c>
      <c r="AO31" s="1000">
        <v>0.02</v>
      </c>
      <c r="AP31" s="996">
        <v>0.02</v>
      </c>
      <c r="AQ31" s="1000">
        <v>0.01</v>
      </c>
      <c r="AR31" s="1000">
        <v>0.01</v>
      </c>
      <c r="AS31" s="1000">
        <v>0.01</v>
      </c>
      <c r="AT31" s="1000">
        <v>0.01</v>
      </c>
      <c r="AU31" s="1000">
        <v>0.01</v>
      </c>
      <c r="AV31" s="1000">
        <v>0.01</v>
      </c>
      <c r="AW31" s="1000">
        <v>0.01</v>
      </c>
      <c r="AX31" s="1000">
        <v>0.01</v>
      </c>
      <c r="AY31" s="996">
        <v>0.01</v>
      </c>
      <c r="AZ31" s="996">
        <v>0.01</v>
      </c>
      <c r="BA31" s="998">
        <f>AY31+AW31+AU31+AS31+AO31+AM31+AK31+AI31+AG31+AE31+AC31+AQ31</f>
        <v>0.15</v>
      </c>
      <c r="BB31" s="1001">
        <f t="shared" ref="BB31:BB36" si="87">AC31+AE31+AG31+AI31+AK31+AM31+AO31+AQ31+AS31+AU31+AW31+AY31</f>
        <v>0.15000000000000002</v>
      </c>
      <c r="BC31" s="998">
        <f t="shared" ref="BC31:BC36" si="88">+AN31+AD31+AF31+AH31+AJ31+AL31+AP31+AR31+AT31+AV31+AX31+AZ31</f>
        <v>0.15000000000000002</v>
      </c>
      <c r="BD31" s="998">
        <f>+BA31+AA31</f>
        <v>0.2</v>
      </c>
      <c r="BE31" s="998">
        <f>BC31+H31</f>
        <v>0.2</v>
      </c>
      <c r="BF31" s="996">
        <v>0.6</v>
      </c>
      <c r="BG31" s="996">
        <v>0.01</v>
      </c>
      <c r="BH31" s="996">
        <v>0.01</v>
      </c>
      <c r="BI31" s="996">
        <v>0.02</v>
      </c>
      <c r="BJ31" s="996">
        <v>0.02</v>
      </c>
      <c r="BK31" s="996">
        <v>0.02</v>
      </c>
      <c r="BL31" s="996">
        <v>0.02</v>
      </c>
      <c r="BM31" s="996">
        <v>0.02</v>
      </c>
      <c r="BN31" s="996">
        <v>0.02</v>
      </c>
      <c r="BO31" s="996">
        <v>0.02</v>
      </c>
      <c r="BP31" s="996">
        <v>0.02</v>
      </c>
      <c r="BQ31" s="996">
        <v>0.03</v>
      </c>
      <c r="BR31" s="996">
        <v>0.03</v>
      </c>
      <c r="BS31" s="996">
        <v>0.03</v>
      </c>
      <c r="BT31" s="996">
        <v>0.03</v>
      </c>
      <c r="BU31" s="996">
        <v>0.04</v>
      </c>
      <c r="BV31" s="996">
        <v>0.04</v>
      </c>
      <c r="BW31" s="996">
        <v>0.05</v>
      </c>
      <c r="BX31" s="996">
        <v>0.05</v>
      </c>
      <c r="BY31" s="996">
        <v>0.02</v>
      </c>
      <c r="BZ31" s="996">
        <v>0.02</v>
      </c>
      <c r="CA31" s="996">
        <v>0.1</v>
      </c>
      <c r="CB31" s="996">
        <v>0.1</v>
      </c>
      <c r="CC31" s="996">
        <v>0.04</v>
      </c>
      <c r="CD31" s="996">
        <v>0.04</v>
      </c>
      <c r="CE31" s="998">
        <v>0.4</v>
      </c>
      <c r="CF31" s="1001">
        <f t="shared" ref="CF31:CF36" si="89">+BG31+BI31+BK31+BM31+BO31+BQ31+BS31+BU31+BW31+BY31+CA31+CC31</f>
        <v>0.40000000000000008</v>
      </c>
      <c r="CG31" s="998">
        <f t="shared" ref="CG31:CG36" si="90">+BR31+BH31+BJ31+BL31+BN31+BP31+BT31+BV31+BX31+BZ31+CB31+CD31</f>
        <v>0.40000000000000008</v>
      </c>
      <c r="CH31" s="998">
        <f>+CE31+BE31</f>
        <v>0.60000000000000009</v>
      </c>
      <c r="CI31" s="998">
        <f>CG31+BE31</f>
        <v>0.60000000000000009</v>
      </c>
      <c r="CJ31" s="996">
        <v>0.9</v>
      </c>
      <c r="CK31" s="996">
        <v>0.02</v>
      </c>
      <c r="CL31" s="996">
        <v>0.02</v>
      </c>
      <c r="CM31" s="996">
        <v>0.02</v>
      </c>
      <c r="CN31" s="996">
        <v>0.02</v>
      </c>
      <c r="CO31" s="996">
        <v>0.03</v>
      </c>
      <c r="CP31" s="996">
        <v>0.03</v>
      </c>
      <c r="CQ31" s="996">
        <v>0.04</v>
      </c>
      <c r="CR31" s="996">
        <v>0.04</v>
      </c>
      <c r="CS31" s="996">
        <v>0.03</v>
      </c>
      <c r="CT31" s="996">
        <v>0.04</v>
      </c>
      <c r="CU31" s="996">
        <v>0.03</v>
      </c>
      <c r="CV31" s="996">
        <v>0.03</v>
      </c>
      <c r="CW31" s="996">
        <v>0.02</v>
      </c>
      <c r="CX31" s="996">
        <v>0.02</v>
      </c>
      <c r="CY31" s="996">
        <v>0.04</v>
      </c>
      <c r="CZ31" s="996">
        <v>0.04</v>
      </c>
      <c r="DA31" s="996">
        <v>0.03</v>
      </c>
      <c r="DB31" s="996">
        <v>0.03</v>
      </c>
      <c r="DC31" s="996">
        <v>0.02</v>
      </c>
      <c r="DD31" s="996">
        <v>0.02</v>
      </c>
      <c r="DE31" s="996">
        <v>0.01</v>
      </c>
      <c r="DF31" s="1002">
        <v>5.0000000000000001E-3</v>
      </c>
      <c r="DG31" s="996">
        <v>0.01</v>
      </c>
      <c r="DH31" s="1002">
        <v>5.0000000000000001E-3</v>
      </c>
      <c r="DI31" s="997">
        <f t="shared" ref="DI31:DI36" si="91">DG31+DE31+DC31+DA31+CY31+CW31+CU31+CS31+CQ31+CO31+CM31+CK31</f>
        <v>0.30000000000000004</v>
      </c>
      <c r="DJ31" s="999">
        <f t="shared" ref="DJ31:DK36" si="92">CK31+CM31+CO31+CQ31+CS31+CU31+CW31+CY31+DA31+DC31+DE31+DG31</f>
        <v>0.30000000000000004</v>
      </c>
      <c r="DK31" s="999">
        <f t="shared" si="92"/>
        <v>0.30000000000000004</v>
      </c>
      <c r="DL31" s="999">
        <f>+DI31+CI31</f>
        <v>0.90000000000000013</v>
      </c>
      <c r="DM31" s="998">
        <f>DK31+CI31</f>
        <v>0.90000000000000013</v>
      </c>
      <c r="DN31" s="996">
        <v>1</v>
      </c>
      <c r="DO31" s="1003">
        <v>0.01</v>
      </c>
      <c r="DP31" s="1004">
        <v>0.01</v>
      </c>
      <c r="DQ31" s="1004">
        <v>0.02</v>
      </c>
      <c r="DR31" s="1004">
        <v>0.02</v>
      </c>
      <c r="DS31" s="1005">
        <v>0.02</v>
      </c>
      <c r="DT31" s="1005">
        <v>0.02</v>
      </c>
      <c r="DU31" s="1005">
        <v>0.02</v>
      </c>
      <c r="DV31" s="1005"/>
      <c r="DW31" s="1005">
        <v>0.02</v>
      </c>
      <c r="DX31" s="1005"/>
      <c r="DY31" s="1005">
        <v>0.01</v>
      </c>
      <c r="DZ31" s="995"/>
      <c r="EA31" s="995"/>
      <c r="EB31" s="995"/>
      <c r="EC31" s="995"/>
      <c r="ED31" s="995"/>
      <c r="EE31" s="995"/>
      <c r="EF31" s="995"/>
      <c r="EG31" s="995"/>
      <c r="EH31" s="995"/>
      <c r="EI31" s="995"/>
      <c r="EJ31" s="995"/>
      <c r="EK31" s="995"/>
      <c r="EL31" s="995"/>
      <c r="EM31" s="998">
        <f>EK31+EI31+EG31+EE31+EC31+EA31+DY31+DW31+DU31+DS31+DQ31+DO31</f>
        <v>0.1</v>
      </c>
      <c r="EN31" s="998">
        <f>DO31+DQ31+DS31</f>
        <v>0.05</v>
      </c>
      <c r="EO31" s="998">
        <f t="shared" ref="EO31:EO36" si="93">DP31+DR31+DT31+DV31</f>
        <v>0.05</v>
      </c>
      <c r="EP31" s="998">
        <f>EM31+DL31</f>
        <v>1.0000000000000002</v>
      </c>
      <c r="EQ31" s="998">
        <f>EO31+DM31</f>
        <v>0.95000000000000018</v>
      </c>
      <c r="ER31" s="1008">
        <f t="shared" si="26"/>
        <v>1</v>
      </c>
      <c r="ES31" s="1008">
        <f t="shared" si="21"/>
        <v>1</v>
      </c>
      <c r="ET31" s="1009">
        <f t="shared" si="22"/>
        <v>0.95</v>
      </c>
      <c r="EU31" s="1009">
        <f t="shared" si="23"/>
        <v>1</v>
      </c>
      <c r="EV31" s="1009">
        <f>EQ31/G31</f>
        <v>0.95000000000000018</v>
      </c>
      <c r="EW31" s="1010" t="s">
        <v>1551</v>
      </c>
      <c r="EX31" s="1011" t="s">
        <v>178</v>
      </c>
      <c r="EY31" s="1011" t="s">
        <v>178</v>
      </c>
      <c r="EZ31" s="1011" t="s">
        <v>181</v>
      </c>
      <c r="FA31" s="1011" t="s">
        <v>182</v>
      </c>
      <c r="FB31" s="776"/>
      <c r="FC31" s="75"/>
      <c r="FD31" s="75"/>
    </row>
    <row r="32" spans="1:160" ht="31.9" customHeight="1" x14ac:dyDescent="0.25">
      <c r="A32" s="710"/>
      <c r="B32" s="710"/>
      <c r="C32" s="710"/>
      <c r="D32" s="710"/>
      <c r="E32" s="710"/>
      <c r="F32" s="76" t="s">
        <v>343</v>
      </c>
      <c r="G32" s="641">
        <f>AA32+BE32+CI32+DM32+EP32</f>
        <v>476379033</v>
      </c>
      <c r="H32" s="1012">
        <v>90000000</v>
      </c>
      <c r="I32" s="1012"/>
      <c r="J32" s="1012"/>
      <c r="K32" s="1012">
        <v>90000000</v>
      </c>
      <c r="L32" s="1012">
        <v>0</v>
      </c>
      <c r="M32" s="1012">
        <v>90000000</v>
      </c>
      <c r="N32" s="1012">
        <v>69812000</v>
      </c>
      <c r="O32" s="1012">
        <v>90000000</v>
      </c>
      <c r="P32" s="1012">
        <v>69812000</v>
      </c>
      <c r="Q32" s="1012">
        <v>90000000</v>
      </c>
      <c r="R32" s="1012">
        <v>69812000</v>
      </c>
      <c r="S32" s="1012">
        <v>95347000</v>
      </c>
      <c r="T32" s="1012">
        <v>69812000</v>
      </c>
      <c r="U32" s="1012">
        <v>95347000</v>
      </c>
      <c r="V32" s="1012">
        <v>95159000</v>
      </c>
      <c r="W32" s="1012">
        <f t="shared" si="83"/>
        <v>90000000</v>
      </c>
      <c r="X32" s="1012">
        <f t="shared" si="84"/>
        <v>90000000</v>
      </c>
      <c r="Y32" s="1012">
        <f t="shared" si="85"/>
        <v>95159000</v>
      </c>
      <c r="Z32" s="1012">
        <f t="shared" si="86"/>
        <v>95347000</v>
      </c>
      <c r="AA32" s="1012">
        <f t="shared" si="86"/>
        <v>95159000</v>
      </c>
      <c r="AB32" s="1012">
        <v>68299000</v>
      </c>
      <c r="AC32" s="1012">
        <v>0</v>
      </c>
      <c r="AD32" s="1012">
        <v>0</v>
      </c>
      <c r="AE32" s="1012">
        <v>0</v>
      </c>
      <c r="AF32" s="1012">
        <v>0</v>
      </c>
      <c r="AG32" s="1012">
        <v>64664000</v>
      </c>
      <c r="AH32" s="1012">
        <v>64664000</v>
      </c>
      <c r="AI32" s="1012">
        <v>0</v>
      </c>
      <c r="AJ32" s="1012">
        <v>0</v>
      </c>
      <c r="AK32" s="1012">
        <v>0</v>
      </c>
      <c r="AL32" s="1012">
        <v>0</v>
      </c>
      <c r="AM32" s="1012">
        <v>0</v>
      </c>
      <c r="AN32" s="1012">
        <v>0</v>
      </c>
      <c r="AO32" s="1012">
        <v>0</v>
      </c>
      <c r="AP32" s="1012">
        <v>0</v>
      </c>
      <c r="AQ32" s="1012">
        <v>0</v>
      </c>
      <c r="AR32" s="1012">
        <v>0</v>
      </c>
      <c r="AS32" s="1012">
        <v>12124500</v>
      </c>
      <c r="AT32" s="1012">
        <v>0</v>
      </c>
      <c r="AU32" s="1012">
        <v>0</v>
      </c>
      <c r="AV32" s="1012">
        <v>0</v>
      </c>
      <c r="AW32" s="1012">
        <v>0</v>
      </c>
      <c r="AX32" s="1012">
        <v>12124500</v>
      </c>
      <c r="AY32" s="1012">
        <v>0</v>
      </c>
      <c r="AZ32" s="1012">
        <v>0</v>
      </c>
      <c r="BA32" s="1012">
        <f>AY32+AW32+AU32+AS32+AQ32+AO32+AM32+AK32+AI32+AG32+AE32+AC32</f>
        <v>76788500</v>
      </c>
      <c r="BB32" s="1012">
        <f t="shared" si="87"/>
        <v>76788500</v>
      </c>
      <c r="BC32" s="1012">
        <f t="shared" si="88"/>
        <v>76788500</v>
      </c>
      <c r="BD32" s="1012">
        <f>BA32</f>
        <v>76788500</v>
      </c>
      <c r="BE32" s="1012">
        <f>AF32+AH32+AJ32+AL32+AD32+AN32+AP32+AR32+AT32+AV32+AX32+AZ32</f>
        <v>76788500</v>
      </c>
      <c r="BF32" s="1012">
        <v>70434000</v>
      </c>
      <c r="BG32" s="1012">
        <v>70434000</v>
      </c>
      <c r="BH32" s="1012">
        <v>70434000</v>
      </c>
      <c r="BI32" s="1012">
        <v>0</v>
      </c>
      <c r="BJ32" s="1012">
        <v>0</v>
      </c>
      <c r="BK32" s="1012">
        <v>0</v>
      </c>
      <c r="BL32" s="1012">
        <v>0</v>
      </c>
      <c r="BM32" s="1012">
        <v>0</v>
      </c>
      <c r="BN32" s="1012">
        <v>0</v>
      </c>
      <c r="BO32" s="1012">
        <v>0</v>
      </c>
      <c r="BP32" s="1012">
        <v>0</v>
      </c>
      <c r="BQ32" s="1012">
        <v>0</v>
      </c>
      <c r="BR32" s="1012">
        <v>0</v>
      </c>
      <c r="BS32" s="1012">
        <v>0</v>
      </c>
      <c r="BT32" s="1012">
        <v>0</v>
      </c>
      <c r="BU32" s="1012">
        <v>0</v>
      </c>
      <c r="BV32" s="1012">
        <v>0</v>
      </c>
      <c r="BW32" s="1012">
        <v>11739000</v>
      </c>
      <c r="BX32" s="1012">
        <v>0</v>
      </c>
      <c r="BY32" s="1012">
        <v>0</v>
      </c>
      <c r="BZ32" s="1012">
        <v>11739000</v>
      </c>
      <c r="CA32" s="1012">
        <v>3913000</v>
      </c>
      <c r="CB32" s="1012">
        <v>3913000</v>
      </c>
      <c r="CC32" s="1012">
        <v>0</v>
      </c>
      <c r="CD32" s="1012">
        <v>0</v>
      </c>
      <c r="CE32" s="1012">
        <f>CC32+CA32+BY32+BW32+BU32+BS32+BQ32+BO32+BM32+BK32+BI32+BG32</f>
        <v>86086000</v>
      </c>
      <c r="CF32" s="1012">
        <f t="shared" si="89"/>
        <v>86086000</v>
      </c>
      <c r="CG32" s="1012">
        <f t="shared" si="90"/>
        <v>86086000</v>
      </c>
      <c r="CH32" s="1012">
        <f>CE32</f>
        <v>86086000</v>
      </c>
      <c r="CI32" s="1012">
        <f>BJ32+BL32+BN32+BP32+BH32+BR32+BT32+BV32+BX32+BZ32+CB32+CD32</f>
        <v>86086000</v>
      </c>
      <c r="CJ32" s="1012">
        <v>86086000</v>
      </c>
      <c r="CK32" s="1012">
        <v>0</v>
      </c>
      <c r="CL32" s="1012"/>
      <c r="CM32" s="1012">
        <f>86086000-7826000</f>
        <v>78260000</v>
      </c>
      <c r="CN32" s="1012">
        <v>78260000</v>
      </c>
      <c r="CO32" s="1012"/>
      <c r="CP32" s="1012"/>
      <c r="CQ32" s="1012">
        <v>0</v>
      </c>
      <c r="CR32" s="1012">
        <v>0</v>
      </c>
      <c r="CS32" s="1012"/>
      <c r="CT32" s="1012">
        <v>0</v>
      </c>
      <c r="CU32" s="1012"/>
      <c r="CV32" s="1012"/>
      <c r="CW32" s="1012">
        <v>2869534</v>
      </c>
      <c r="CX32" s="1012"/>
      <c r="CY32" s="1012"/>
      <c r="CZ32" s="1012">
        <v>0</v>
      </c>
      <c r="DA32" s="1012"/>
      <c r="DB32" s="1012"/>
      <c r="DC32" s="1012"/>
      <c r="DD32" s="1012"/>
      <c r="DE32" s="1012"/>
      <c r="DF32" s="1012"/>
      <c r="DG32" s="1012">
        <v>7826000</v>
      </c>
      <c r="DH32" s="1012">
        <v>10695533</v>
      </c>
      <c r="DI32" s="1013">
        <f t="shared" si="91"/>
        <v>88955534</v>
      </c>
      <c r="DJ32" s="1012">
        <f t="shared" si="92"/>
        <v>88955534</v>
      </c>
      <c r="DK32" s="1012">
        <f t="shared" si="92"/>
        <v>88955533</v>
      </c>
      <c r="DL32" s="1013">
        <f>+DI32</f>
        <v>88955534</v>
      </c>
      <c r="DM32" s="1012">
        <f>CN32+CP32+CR32+CT32+CL32+CV32+CX32+CZ32+DB32+DD32+DF32+DH32</f>
        <v>88955533</v>
      </c>
      <c r="DN32" s="1012">
        <v>129390000</v>
      </c>
      <c r="DO32" s="1014">
        <v>7826000</v>
      </c>
      <c r="DP32" s="1014">
        <v>7826000</v>
      </c>
      <c r="DQ32" s="1014">
        <v>26678000</v>
      </c>
      <c r="DR32" s="1014">
        <v>0</v>
      </c>
      <c r="DS32" s="1014"/>
      <c r="DT32" s="1014">
        <v>17252000</v>
      </c>
      <c r="DU32" s="1014">
        <v>12939000</v>
      </c>
      <c r="DV32" s="1014"/>
      <c r="DW32" s="1014"/>
      <c r="DX32" s="1014"/>
      <c r="DY32" s="1014">
        <f>DN32-DQ32-DP32-DU32</f>
        <v>81947000</v>
      </c>
      <c r="DZ32" s="1015"/>
      <c r="EA32" s="1015"/>
      <c r="EB32" s="1015"/>
      <c r="EC32" s="1015"/>
      <c r="ED32" s="1015"/>
      <c r="EE32" s="1015"/>
      <c r="EF32" s="1015"/>
      <c r="EG32" s="1015"/>
      <c r="EH32" s="1015"/>
      <c r="EI32" s="1015"/>
      <c r="EJ32" s="1015"/>
      <c r="EK32" s="1015"/>
      <c r="EL32" s="1015"/>
      <c r="EM32" s="643">
        <f>EK32+EI32+EG32+EE32+EC32+EA32+DY32+DW32+DU32+DS32+DQ32+DO32</f>
        <v>129390000</v>
      </c>
      <c r="EN32" s="643">
        <f>DO32+DQ32+DS32</f>
        <v>34504000</v>
      </c>
      <c r="EO32" s="643">
        <f t="shared" si="93"/>
        <v>25078000</v>
      </c>
      <c r="EP32" s="641">
        <f>DO32+DQ32+DS32+DU32+DW32+DY32</f>
        <v>129390000</v>
      </c>
      <c r="EQ32" s="641">
        <f t="shared" si="51"/>
        <v>25078000</v>
      </c>
      <c r="ER32" s="1007">
        <f t="shared" si="26"/>
        <v>0</v>
      </c>
      <c r="ES32" s="1007">
        <f t="shared" si="21"/>
        <v>0.72681428240204038</v>
      </c>
      <c r="ET32" s="1016">
        <f t="shared" si="22"/>
        <v>0.19381714197387742</v>
      </c>
      <c r="EU32" s="1016">
        <f t="shared" si="23"/>
        <v>0.97481142591958081</v>
      </c>
      <c r="EV32" s="1016">
        <f>(AA32+BE32+CI32+DM32+EQ32)/G32</f>
        <v>0.78103150480176575</v>
      </c>
      <c r="EW32" s="1017"/>
      <c r="EX32" s="1018"/>
      <c r="EY32" s="1018"/>
      <c r="EZ32" s="1018"/>
      <c r="FA32" s="1018"/>
      <c r="FB32" s="777"/>
      <c r="FC32" s="77"/>
      <c r="FD32" s="77"/>
    </row>
    <row r="33" spans="1:160" ht="31.9" customHeight="1" x14ac:dyDescent="0.25">
      <c r="A33" s="710"/>
      <c r="B33" s="710"/>
      <c r="C33" s="710"/>
      <c r="D33" s="710"/>
      <c r="E33" s="710"/>
      <c r="F33" s="78" t="s">
        <v>344</v>
      </c>
      <c r="G33" s="1012"/>
      <c r="H33" s="1012"/>
      <c r="I33" s="1012"/>
      <c r="J33" s="1012"/>
      <c r="K33" s="1012"/>
      <c r="L33" s="1012"/>
      <c r="M33" s="1012"/>
      <c r="N33" s="1012"/>
      <c r="O33" s="1012"/>
      <c r="P33" s="1012"/>
      <c r="Q33" s="1012"/>
      <c r="R33" s="1012"/>
      <c r="S33" s="1012"/>
      <c r="T33" s="1012"/>
      <c r="U33" s="1012"/>
      <c r="V33" s="1012"/>
      <c r="W33" s="1012">
        <f t="shared" si="83"/>
        <v>0</v>
      </c>
      <c r="X33" s="1012">
        <f t="shared" si="84"/>
        <v>0</v>
      </c>
      <c r="Y33" s="1012">
        <f t="shared" si="85"/>
        <v>0</v>
      </c>
      <c r="Z33" s="1012">
        <f t="shared" si="86"/>
        <v>0</v>
      </c>
      <c r="AA33" s="1012">
        <f t="shared" si="86"/>
        <v>0</v>
      </c>
      <c r="AB33" s="1012"/>
      <c r="AC33" s="1012"/>
      <c r="AD33" s="1012"/>
      <c r="AE33" s="1012"/>
      <c r="AF33" s="1012"/>
      <c r="AG33" s="1012"/>
      <c r="AH33" s="1012"/>
      <c r="AI33" s="1012">
        <v>4041500</v>
      </c>
      <c r="AJ33" s="1012">
        <v>4041500</v>
      </c>
      <c r="AK33" s="1012">
        <v>8083000</v>
      </c>
      <c r="AL33" s="1012">
        <v>8083000</v>
      </c>
      <c r="AM33" s="1012">
        <v>8130820</v>
      </c>
      <c r="AN33" s="1012">
        <v>8083000</v>
      </c>
      <c r="AO33" s="1012">
        <v>8130820</v>
      </c>
      <c r="AP33" s="1012">
        <v>8083000</v>
      </c>
      <c r="AQ33" s="1012">
        <v>8130820</v>
      </c>
      <c r="AR33" s="1012">
        <v>8083000</v>
      </c>
      <c r="AS33" s="1012">
        <v>8130820</v>
      </c>
      <c r="AT33" s="1012">
        <v>8083000</v>
      </c>
      <c r="AU33" s="1012">
        <v>8130820</v>
      </c>
      <c r="AV33" s="1012">
        <v>8083000</v>
      </c>
      <c r="AW33" s="1012">
        <v>8130820</v>
      </c>
      <c r="AX33" s="1012">
        <v>8083000</v>
      </c>
      <c r="AY33" s="1012">
        <f>8130820</f>
        <v>8130820</v>
      </c>
      <c r="AZ33" s="1012">
        <v>8083000</v>
      </c>
      <c r="BA33" s="1012">
        <f>AW33+AU33+AS33+AQ33+AO33+AM33+AK33+AI33+AG33+AE33+AC33+AY33</f>
        <v>69040240</v>
      </c>
      <c r="BB33" s="1012">
        <f t="shared" si="87"/>
        <v>69040240</v>
      </c>
      <c r="BC33" s="1012">
        <f t="shared" si="88"/>
        <v>68705500</v>
      </c>
      <c r="BD33" s="1012">
        <f>BA33</f>
        <v>69040240</v>
      </c>
      <c r="BE33" s="1012">
        <f>AF33+AH33+AJ33+AL33+AD33+AN33+AP33+AR33+AT33+AV33+AX33+AZ33</f>
        <v>68705500</v>
      </c>
      <c r="BF33" s="1012"/>
      <c r="BG33" s="1012">
        <v>0</v>
      </c>
      <c r="BH33" s="1012">
        <v>0</v>
      </c>
      <c r="BI33" s="1012">
        <v>5217334</v>
      </c>
      <c r="BJ33" s="1012">
        <v>2478233</v>
      </c>
      <c r="BK33" s="1012">
        <v>7826000</v>
      </c>
      <c r="BL33" s="1012">
        <f>12912900-2478233</f>
        <v>10434667</v>
      </c>
      <c r="BM33" s="1012">
        <v>7826000</v>
      </c>
      <c r="BN33" s="1012">
        <v>7826000</v>
      </c>
      <c r="BO33" s="1012">
        <v>7826000</v>
      </c>
      <c r="BP33" s="1012">
        <v>7826000</v>
      </c>
      <c r="BQ33" s="1012">
        <v>7826000</v>
      </c>
      <c r="BR33" s="1012">
        <v>7826000</v>
      </c>
      <c r="BS33" s="1012">
        <v>7826000</v>
      </c>
      <c r="BT33" s="1012">
        <v>7826000</v>
      </c>
      <c r="BU33" s="1012">
        <v>7826000</v>
      </c>
      <c r="BV33" s="1012">
        <v>7826000</v>
      </c>
      <c r="BW33" s="1012">
        <v>7826000</v>
      </c>
      <c r="BX33" s="1012">
        <v>7826000</v>
      </c>
      <c r="BY33" s="1012">
        <f>5217333+2608667</f>
        <v>7826000</v>
      </c>
      <c r="BZ33" s="1012">
        <v>5217333</v>
      </c>
      <c r="CA33" s="1012">
        <f>3913000+3913000</f>
        <v>7826000</v>
      </c>
      <c r="CB33" s="1012">
        <v>6130367</v>
      </c>
      <c r="CC33" s="1012">
        <f>1304333+5217333+3913000</f>
        <v>10434666</v>
      </c>
      <c r="CD33" s="1012">
        <v>13173767</v>
      </c>
      <c r="CE33" s="1012">
        <f>CA33+BY33+BW33+BU33+BS33+BQ33+BO33+BM33+BK33+BI33+BG33+CC33</f>
        <v>86086000</v>
      </c>
      <c r="CF33" s="1012">
        <f t="shared" si="89"/>
        <v>86086000</v>
      </c>
      <c r="CG33" s="1012">
        <f t="shared" si="90"/>
        <v>84390367</v>
      </c>
      <c r="CH33" s="1012">
        <f>CE33</f>
        <v>86086000</v>
      </c>
      <c r="CI33" s="1012">
        <f>BJ33+BL33+BN33+BP33+BH33+BR33+BT33+BV33+BX33+BZ33+CB33+CD33</f>
        <v>84390367</v>
      </c>
      <c r="CJ33" s="1012"/>
      <c r="CK33" s="1012"/>
      <c r="CL33" s="1012"/>
      <c r="CM33" s="1012"/>
      <c r="CN33" s="1012"/>
      <c r="CO33" s="1012">
        <v>5086900</v>
      </c>
      <c r="CP33" s="1012">
        <v>5086900</v>
      </c>
      <c r="CQ33" s="1012">
        <v>7826000</v>
      </c>
      <c r="CR33" s="1012">
        <v>7434700</v>
      </c>
      <c r="CS33" s="1012">
        <v>7826000</v>
      </c>
      <c r="CT33" s="1012">
        <v>7826000</v>
      </c>
      <c r="CU33" s="1012">
        <v>7826000</v>
      </c>
      <c r="CV33" s="1012">
        <v>7826000</v>
      </c>
      <c r="CW33" s="1012">
        <v>7826000</v>
      </c>
      <c r="CX33" s="1012">
        <v>7826000</v>
      </c>
      <c r="CY33" s="1012">
        <v>7826000</v>
      </c>
      <c r="CZ33" s="1012">
        <v>7826000</v>
      </c>
      <c r="DA33" s="1012">
        <v>7826000</v>
      </c>
      <c r="DB33" s="1012">
        <v>7826000</v>
      </c>
      <c r="DC33" s="1012">
        <v>7826000</v>
      </c>
      <c r="DD33" s="1012">
        <v>7826000</v>
      </c>
      <c r="DE33" s="1012">
        <v>7826000</v>
      </c>
      <c r="DF33" s="1012">
        <v>7826000</v>
      </c>
      <c r="DG33" s="1012">
        <f>18391100+2869534</f>
        <v>21260634</v>
      </c>
      <c r="DH33" s="1012">
        <v>11739000</v>
      </c>
      <c r="DI33" s="1013">
        <f t="shared" si="91"/>
        <v>88955534</v>
      </c>
      <c r="DJ33" s="1012">
        <f t="shared" si="92"/>
        <v>88955534</v>
      </c>
      <c r="DK33" s="1012">
        <f t="shared" si="92"/>
        <v>79042600</v>
      </c>
      <c r="DL33" s="1019">
        <f>+DI33</f>
        <v>88955534</v>
      </c>
      <c r="DM33" s="1012">
        <f>CN33+CP33+CR33+CT33+CL33+CV33+CX33+CZ33+DB33+DD33+DF33+DH33</f>
        <v>79042600</v>
      </c>
      <c r="DN33" s="1020">
        <v>129390000</v>
      </c>
      <c r="DO33" s="1014"/>
      <c r="DP33" s="1014"/>
      <c r="DQ33" s="1014">
        <v>4313000</v>
      </c>
      <c r="DR33" s="1014">
        <v>1956500</v>
      </c>
      <c r="DS33" s="1014">
        <v>4313000</v>
      </c>
      <c r="DT33" s="1014">
        <v>3913000</v>
      </c>
      <c r="DU33" s="1014">
        <v>4313000</v>
      </c>
      <c r="DV33" s="1014"/>
      <c r="DW33" s="1014">
        <f>4313000+4313000</f>
        <v>8626000</v>
      </c>
      <c r="DX33" s="1014"/>
      <c r="DY33" s="1014">
        <f>+EM32-21565000</f>
        <v>107825000</v>
      </c>
      <c r="DZ33" s="1015"/>
      <c r="EA33" s="1015"/>
      <c r="EB33" s="1015"/>
      <c r="EC33" s="1015"/>
      <c r="ED33" s="1015"/>
      <c r="EE33" s="1015"/>
      <c r="EF33" s="1015"/>
      <c r="EG33" s="1015"/>
      <c r="EH33" s="1015"/>
      <c r="EI33" s="1015"/>
      <c r="EJ33" s="1015"/>
      <c r="EK33" s="1015"/>
      <c r="EL33" s="1015"/>
      <c r="EM33" s="643">
        <f>EI33+EG33+EE33+EC33+EA33+DY33+DW33+DU33+DS33+DQ33+DO33+EK33</f>
        <v>129390000</v>
      </c>
      <c r="EN33" s="643">
        <f t="shared" ref="EN33:EN36" si="94">DO33+DQ33+DS33</f>
        <v>8626000</v>
      </c>
      <c r="EO33" s="643">
        <f t="shared" si="93"/>
        <v>5869500</v>
      </c>
      <c r="EP33" s="641">
        <f>DQ33+DS33+DU33+DW33+DY33+EA33+EC33+EE33+EG33+EI33+EK33</f>
        <v>129390000</v>
      </c>
      <c r="EQ33" s="641">
        <f t="shared" si="51"/>
        <v>5869500</v>
      </c>
      <c r="ER33" s="1007">
        <f t="shared" si="26"/>
        <v>0.90725712960816141</v>
      </c>
      <c r="ES33" s="1007">
        <f t="shared" si="21"/>
        <v>0.68044284720612103</v>
      </c>
      <c r="ET33" s="1016">
        <f>EQ33/EP33</f>
        <v>4.5362856480408068E-2</v>
      </c>
      <c r="EU33" s="1016">
        <f t="shared" si="23"/>
        <v>0.94183080810169295</v>
      </c>
      <c r="EV33" s="1016">
        <f>IFERROR((AA33+BE33+CI33+DM33+EQ33)/G33,0)</f>
        <v>0</v>
      </c>
      <c r="EW33" s="1017"/>
      <c r="EX33" s="1018"/>
      <c r="EY33" s="1018"/>
      <c r="EZ33" s="1018"/>
      <c r="FA33" s="1018"/>
      <c r="FB33" s="777"/>
      <c r="FC33" s="77"/>
      <c r="FD33" s="77"/>
    </row>
    <row r="34" spans="1:160" ht="31.9" customHeight="1" x14ac:dyDescent="0.25">
      <c r="A34" s="710"/>
      <c r="B34" s="710"/>
      <c r="C34" s="710"/>
      <c r="D34" s="710"/>
      <c r="E34" s="710"/>
      <c r="F34" s="79" t="s">
        <v>345</v>
      </c>
      <c r="G34" s="1020">
        <f>AA34+BE34+CI34+DM34+EP34</f>
        <v>0</v>
      </c>
      <c r="H34" s="1021"/>
      <c r="I34" s="1022"/>
      <c r="J34" s="1022"/>
      <c r="K34" s="1022"/>
      <c r="L34" s="1022"/>
      <c r="M34" s="1022"/>
      <c r="N34" s="1022"/>
      <c r="O34" s="1022"/>
      <c r="P34" s="1022"/>
      <c r="Q34" s="1022"/>
      <c r="R34" s="1022"/>
      <c r="S34" s="1022"/>
      <c r="T34" s="1023"/>
      <c r="U34" s="1022"/>
      <c r="V34" s="1023"/>
      <c r="W34" s="1024">
        <f t="shared" si="83"/>
        <v>0</v>
      </c>
      <c r="X34" s="1024">
        <f t="shared" si="84"/>
        <v>0</v>
      </c>
      <c r="Y34" s="1024">
        <f t="shared" si="85"/>
        <v>0</v>
      </c>
      <c r="Z34" s="1024">
        <f t="shared" si="86"/>
        <v>0</v>
      </c>
      <c r="AA34" s="1024">
        <f t="shared" si="86"/>
        <v>0</v>
      </c>
      <c r="AB34" s="1025"/>
      <c r="AC34" s="1025"/>
      <c r="AD34" s="1025"/>
      <c r="AE34" s="1025"/>
      <c r="AF34" s="1025"/>
      <c r="AG34" s="1025"/>
      <c r="AH34" s="1025"/>
      <c r="AI34" s="1025"/>
      <c r="AJ34" s="1025"/>
      <c r="AK34" s="1022"/>
      <c r="AL34" s="1022"/>
      <c r="AM34" s="1022"/>
      <c r="AN34" s="1022"/>
      <c r="AO34" s="1022"/>
      <c r="AP34" s="1022"/>
      <c r="AQ34" s="1022"/>
      <c r="AR34" s="1022"/>
      <c r="AS34" s="1022"/>
      <c r="AT34" s="1022"/>
      <c r="AU34" s="1022"/>
      <c r="AV34" s="1022"/>
      <c r="AW34" s="1022"/>
      <c r="AX34" s="1022"/>
      <c r="AY34" s="1022"/>
      <c r="AZ34" s="1022"/>
      <c r="BA34" s="1020">
        <v>0</v>
      </c>
      <c r="BB34" s="1024">
        <f t="shared" si="87"/>
        <v>0</v>
      </c>
      <c r="BC34" s="1024">
        <f t="shared" si="88"/>
        <v>0</v>
      </c>
      <c r="BD34" s="1024">
        <f>AC34+AE34+AG34+AI34+AK34+AM34+AO34+AQ34+AS34+AU34+AW34+AY34</f>
        <v>0</v>
      </c>
      <c r="BE34" s="1024">
        <f>AF34+AH34+AJ34+AL34+AD34+AN34+AP34+AR34+AT34+AV34+AX34+AZ34</f>
        <v>0</v>
      </c>
      <c r="BF34" s="1026"/>
      <c r="BG34" s="1022"/>
      <c r="BH34" s="1022"/>
      <c r="BI34" s="1022"/>
      <c r="BJ34" s="1022"/>
      <c r="BK34" s="1022"/>
      <c r="BL34" s="1022"/>
      <c r="BM34" s="1022"/>
      <c r="BN34" s="1022"/>
      <c r="BO34" s="1022"/>
      <c r="BP34" s="1022"/>
      <c r="BQ34" s="1022"/>
      <c r="BR34" s="1022"/>
      <c r="BS34" s="1022"/>
      <c r="BT34" s="1022"/>
      <c r="BU34" s="1022"/>
      <c r="BV34" s="1022"/>
      <c r="BW34" s="1022"/>
      <c r="BX34" s="1022"/>
      <c r="BY34" s="1022"/>
      <c r="BZ34" s="1022"/>
      <c r="CA34" s="1022"/>
      <c r="CB34" s="1022"/>
      <c r="CC34" s="1022"/>
      <c r="CD34" s="1022"/>
      <c r="CE34" s="1020">
        <v>0</v>
      </c>
      <c r="CF34" s="1024">
        <f t="shared" si="89"/>
        <v>0</v>
      </c>
      <c r="CG34" s="1024">
        <f t="shared" si="90"/>
        <v>0</v>
      </c>
      <c r="CH34" s="1024">
        <f>BG34+BI34+BK34+BM34+BO34+BQ34+BS34+BU34+BW34+BY34+CA34+CC34</f>
        <v>0</v>
      </c>
      <c r="CI34" s="1024">
        <f>BJ34+BL34+BN34+BP34+BH34+BR34+BT34+BV34+BX34+BZ34+CB34+CD34</f>
        <v>0</v>
      </c>
      <c r="CJ34" s="1022"/>
      <c r="CK34" s="1022"/>
      <c r="CL34" s="1022"/>
      <c r="CM34" s="1022"/>
      <c r="CN34" s="1022"/>
      <c r="CO34" s="1022"/>
      <c r="CP34" s="1022"/>
      <c r="CQ34" s="1022"/>
      <c r="CR34" s="1022"/>
      <c r="CS34" s="1022"/>
      <c r="CT34" s="1022"/>
      <c r="CU34" s="1022"/>
      <c r="CV34" s="1022"/>
      <c r="CW34" s="1022"/>
      <c r="CX34" s="1022"/>
      <c r="CY34" s="1022"/>
      <c r="CZ34" s="1022"/>
      <c r="DA34" s="1022"/>
      <c r="DB34" s="1022"/>
      <c r="DC34" s="1022"/>
      <c r="DD34" s="1022"/>
      <c r="DE34" s="1022"/>
      <c r="DF34" s="1022"/>
      <c r="DG34" s="1022"/>
      <c r="DH34" s="1022"/>
      <c r="DI34" s="1027">
        <f t="shared" si="91"/>
        <v>0</v>
      </c>
      <c r="DJ34" s="1028">
        <f t="shared" si="92"/>
        <v>0</v>
      </c>
      <c r="DK34" s="1028">
        <f t="shared" si="92"/>
        <v>0</v>
      </c>
      <c r="DL34" s="1019">
        <f>+DI34+CI34</f>
        <v>0</v>
      </c>
      <c r="DM34" s="1020">
        <f>CN34+CP34+CR34+CT34+CL34+CV34+CX34+CZ34+DB34+DD34+DF34+DH34</f>
        <v>0</v>
      </c>
      <c r="DN34" s="1022"/>
      <c r="DO34" s="1029"/>
      <c r="DP34" s="1029"/>
      <c r="DQ34" s="1029"/>
      <c r="DR34" s="1029"/>
      <c r="DS34" s="1029"/>
      <c r="DT34" s="1029"/>
      <c r="DU34" s="1029"/>
      <c r="DV34" s="1029"/>
      <c r="DW34" s="1029"/>
      <c r="DX34" s="1029"/>
      <c r="DY34" s="1029"/>
      <c r="DZ34" s="1022"/>
      <c r="EA34" s="1022"/>
      <c r="EB34" s="1022"/>
      <c r="EC34" s="1022"/>
      <c r="ED34" s="1022"/>
      <c r="EE34" s="1022"/>
      <c r="EF34" s="1022"/>
      <c r="EG34" s="1022"/>
      <c r="EH34" s="1022"/>
      <c r="EI34" s="1022"/>
      <c r="EJ34" s="1022"/>
      <c r="EK34" s="1022"/>
      <c r="EL34" s="1022"/>
      <c r="EM34" s="1006">
        <f>EI34+EG34+EE34+EC34+EA34+DY34+DW34+DU34+DS34+DQ34+DO34+EK34</f>
        <v>0</v>
      </c>
      <c r="EN34" s="1006">
        <f t="shared" si="94"/>
        <v>0</v>
      </c>
      <c r="EO34" s="1030">
        <f t="shared" si="93"/>
        <v>0</v>
      </c>
      <c r="EP34" s="1031">
        <f>DQ34+DS34+DU34+DW34+DY34+EA34+EC34+EE34+EG34+EI34+EK34</f>
        <v>0</v>
      </c>
      <c r="EQ34" s="1006">
        <f t="shared" si="51"/>
        <v>0</v>
      </c>
      <c r="ER34" s="1007">
        <f t="shared" si="26"/>
        <v>0</v>
      </c>
      <c r="ES34" s="1007">
        <f>IFERROR(EO34/EN34,0)</f>
        <v>0</v>
      </c>
      <c r="ET34" s="1016">
        <f>IFERROR(EQ34/EP34,0)</f>
        <v>0</v>
      </c>
      <c r="EU34" s="1016">
        <f>IFERROR((AA34+BE34+CI34+DM34+EO34)/(Z34+BD34+CH34+DL34+EN34),0)</f>
        <v>0</v>
      </c>
      <c r="EV34" s="1016">
        <f>IFERROR((AA34+BE34+CI34+DM34+EQ34)/G34,0)</f>
        <v>0</v>
      </c>
      <c r="EW34" s="1017"/>
      <c r="EX34" s="1018"/>
      <c r="EY34" s="1018"/>
      <c r="EZ34" s="1018"/>
      <c r="FA34" s="1018"/>
      <c r="FB34" s="777"/>
      <c r="FC34" s="75"/>
      <c r="FD34" s="75"/>
    </row>
    <row r="35" spans="1:160" ht="31.9" customHeight="1" x14ac:dyDescent="0.25">
      <c r="A35" s="710"/>
      <c r="B35" s="710"/>
      <c r="C35" s="710"/>
      <c r="D35" s="710"/>
      <c r="E35" s="710"/>
      <c r="F35" s="80" t="s">
        <v>346</v>
      </c>
      <c r="G35" s="641">
        <f>AA35+BE35+CI35+DM35+EP35</f>
        <v>44933800</v>
      </c>
      <c r="H35" s="1012"/>
      <c r="I35" s="1012"/>
      <c r="J35" s="1012"/>
      <c r="K35" s="1012"/>
      <c r="L35" s="1012"/>
      <c r="M35" s="1012"/>
      <c r="N35" s="1012"/>
      <c r="O35" s="1012"/>
      <c r="P35" s="1012"/>
      <c r="Q35" s="1012"/>
      <c r="R35" s="1012"/>
      <c r="S35" s="1012"/>
      <c r="T35" s="1012"/>
      <c r="U35" s="1012"/>
      <c r="V35" s="1012"/>
      <c r="W35" s="1012">
        <f t="shared" si="83"/>
        <v>0</v>
      </c>
      <c r="X35" s="1012">
        <f t="shared" si="84"/>
        <v>0</v>
      </c>
      <c r="Y35" s="1012">
        <f t="shared" si="85"/>
        <v>0</v>
      </c>
      <c r="Z35" s="1012">
        <f t="shared" si="86"/>
        <v>0</v>
      </c>
      <c r="AA35" s="1012">
        <f t="shared" si="86"/>
        <v>0</v>
      </c>
      <c r="AB35" s="1012">
        <v>25242234</v>
      </c>
      <c r="AC35" s="1012">
        <v>7079600</v>
      </c>
      <c r="AD35" s="1012">
        <v>7079600</v>
      </c>
      <c r="AE35" s="1012">
        <f>16193367-AD35</f>
        <v>9113767</v>
      </c>
      <c r="AF35" s="1012">
        <v>9113767</v>
      </c>
      <c r="AG35" s="1012">
        <f>25242234-AD35-AF35</f>
        <v>9048867</v>
      </c>
      <c r="AH35" s="1012">
        <v>9048867</v>
      </c>
      <c r="AI35" s="1012">
        <v>0</v>
      </c>
      <c r="AJ35" s="1012">
        <v>0</v>
      </c>
      <c r="AK35" s="1012">
        <v>0</v>
      </c>
      <c r="AL35" s="1012">
        <v>0</v>
      </c>
      <c r="AM35" s="1012">
        <v>0</v>
      </c>
      <c r="AN35" s="1012">
        <v>0</v>
      </c>
      <c r="AO35" s="1012">
        <v>0</v>
      </c>
      <c r="AP35" s="1012">
        <v>0</v>
      </c>
      <c r="AQ35" s="1012"/>
      <c r="AR35" s="1012"/>
      <c r="AS35" s="1012"/>
      <c r="AT35" s="1012">
        <v>0</v>
      </c>
      <c r="AU35" s="1012"/>
      <c r="AV35" s="1012">
        <v>0</v>
      </c>
      <c r="AW35" s="1012"/>
      <c r="AX35" s="1012">
        <v>0</v>
      </c>
      <c r="AY35" s="1012"/>
      <c r="AZ35" s="1012">
        <v>0</v>
      </c>
      <c r="BA35" s="1012">
        <f>AW35+AU35+AS35+AQ35+AO35+AM35+AK35+AI35+AG35+AE35+AC35+AY35</f>
        <v>25242234</v>
      </c>
      <c r="BB35" s="1012">
        <f t="shared" si="87"/>
        <v>25242234</v>
      </c>
      <c r="BC35" s="1012">
        <f t="shared" si="88"/>
        <v>25242234</v>
      </c>
      <c r="BD35" s="1012">
        <f>BA35</f>
        <v>25242234</v>
      </c>
      <c r="BE35" s="1012">
        <f>AF35+AH35+AJ35+AL35+AD35+AN35+AP35+AR35+AT35+AV35+AX35+AZ35</f>
        <v>25242234</v>
      </c>
      <c r="BF35" s="1012">
        <v>8083000</v>
      </c>
      <c r="BG35" s="1012">
        <v>8083000</v>
      </c>
      <c r="BH35" s="1012">
        <v>8083000</v>
      </c>
      <c r="BI35" s="1012">
        <v>0</v>
      </c>
      <c r="BJ35" s="1012">
        <v>0</v>
      </c>
      <c r="BK35" s="1012">
        <v>0</v>
      </c>
      <c r="BL35" s="1012">
        <v>0</v>
      </c>
      <c r="BM35" s="1012">
        <v>0</v>
      </c>
      <c r="BN35" s="1012">
        <v>0</v>
      </c>
      <c r="BO35" s="1012">
        <v>0</v>
      </c>
      <c r="BP35" s="1012"/>
      <c r="BQ35" s="1012">
        <v>0</v>
      </c>
      <c r="BR35" s="1012">
        <v>0</v>
      </c>
      <c r="BS35" s="1012">
        <v>0</v>
      </c>
      <c r="BT35" s="1012">
        <v>0</v>
      </c>
      <c r="BU35" s="1012"/>
      <c r="BV35" s="1012">
        <v>0</v>
      </c>
      <c r="BW35" s="1012"/>
      <c r="BX35" s="1012"/>
      <c r="BY35" s="1012">
        <v>0</v>
      </c>
      <c r="BZ35" s="1012">
        <v>0</v>
      </c>
      <c r="CA35" s="1012"/>
      <c r="CB35" s="1012">
        <v>0</v>
      </c>
      <c r="CC35" s="1012"/>
      <c r="CD35" s="1012"/>
      <c r="CE35" s="1012">
        <f>CA35+BY35+BW35+BU35+BS35+BQ35+BO35+BM35+BK35+BI35+BG35+CC35</f>
        <v>8083000</v>
      </c>
      <c r="CF35" s="1012">
        <f t="shared" si="89"/>
        <v>8083000</v>
      </c>
      <c r="CG35" s="1012">
        <f t="shared" si="90"/>
        <v>8083000</v>
      </c>
      <c r="CH35" s="1012">
        <f>CE35</f>
        <v>8083000</v>
      </c>
      <c r="CI35" s="1012">
        <f>BJ35+BL35+BN35+BP35+BH35+BR35+BT35+BV35+BX35+BZ35+CB35+CD35</f>
        <v>8083000</v>
      </c>
      <c r="CJ35" s="1012">
        <v>1695633</v>
      </c>
      <c r="CK35" s="1012">
        <v>1695633</v>
      </c>
      <c r="CL35" s="1012">
        <v>1695633</v>
      </c>
      <c r="CM35" s="1012"/>
      <c r="CN35" s="1012">
        <v>0</v>
      </c>
      <c r="CO35" s="1012"/>
      <c r="CP35" s="1012"/>
      <c r="CQ35" s="1012"/>
      <c r="CR35" s="1012">
        <v>0</v>
      </c>
      <c r="CS35" s="1012"/>
      <c r="CT35" s="1012">
        <v>0</v>
      </c>
      <c r="CU35" s="1012"/>
      <c r="CV35" s="1012"/>
      <c r="CW35" s="1012"/>
      <c r="CX35" s="1012"/>
      <c r="CY35" s="1012"/>
      <c r="CZ35" s="1012"/>
      <c r="DA35" s="1012"/>
      <c r="DB35" s="1012"/>
      <c r="DC35" s="1012"/>
      <c r="DD35" s="1012"/>
      <c r="DE35" s="1012"/>
      <c r="DF35" s="1012"/>
      <c r="DG35" s="1012"/>
      <c r="DH35" s="1012"/>
      <c r="DI35" s="1013">
        <f t="shared" si="91"/>
        <v>1695633</v>
      </c>
      <c r="DJ35" s="1013">
        <f t="shared" si="92"/>
        <v>1695633</v>
      </c>
      <c r="DK35" s="1013">
        <f t="shared" si="92"/>
        <v>1695633</v>
      </c>
      <c r="DL35" s="1013">
        <f>+DI35</f>
        <v>1695633</v>
      </c>
      <c r="DM35" s="1012">
        <f>CN35+CP35+CR35+CT35+CL35+CV35+CX35+CZ35+DB35+DD35+DF35+DH35</f>
        <v>1695633</v>
      </c>
      <c r="DN35" s="1012">
        <v>9912933</v>
      </c>
      <c r="DO35" s="1032"/>
      <c r="DP35" s="1014"/>
      <c r="DQ35" s="1014">
        <v>1956500</v>
      </c>
      <c r="DR35" s="1014">
        <v>3521700</v>
      </c>
      <c r="DS35" s="1014"/>
      <c r="DT35" s="1014"/>
      <c r="DU35" s="1014">
        <v>1173900</v>
      </c>
      <c r="DV35" s="1014"/>
      <c r="DW35" s="1014">
        <v>3913000</v>
      </c>
      <c r="DX35" s="1014"/>
      <c r="DY35" s="1014">
        <v>2869533</v>
      </c>
      <c r="DZ35" s="1015"/>
      <c r="EA35" s="1015"/>
      <c r="EB35" s="1015"/>
      <c r="EC35" s="1015"/>
      <c r="ED35" s="1015"/>
      <c r="EE35" s="1015"/>
      <c r="EF35" s="1015"/>
      <c r="EG35" s="1015"/>
      <c r="EH35" s="1015"/>
      <c r="EI35" s="1015"/>
      <c r="EJ35" s="1015"/>
      <c r="EK35" s="1015"/>
      <c r="EL35" s="1015"/>
      <c r="EM35" s="643">
        <f>EI35+EG35+EE35+EC35+EA35+DY35+DW35+DU35+DS35+DQ35+DO35+EK35</f>
        <v>9912933</v>
      </c>
      <c r="EN35" s="643">
        <f t="shared" si="94"/>
        <v>1956500</v>
      </c>
      <c r="EO35" s="643">
        <f t="shared" si="93"/>
        <v>3521700</v>
      </c>
      <c r="EP35" s="641">
        <f>DQ35+DS35+DU35+DW35+DY35+EA35+EC35+EE35+EG35+EI35+EK35+DO35</f>
        <v>9912933</v>
      </c>
      <c r="EQ35" s="641">
        <f>DR35+DT35+DV35+DX35+DP35+DZ35+EB35+ED35+EF35+EH35+EJ35+EL35</f>
        <v>3521700</v>
      </c>
      <c r="ER35" s="1007">
        <f t="shared" si="26"/>
        <v>0</v>
      </c>
      <c r="ES35" s="1007">
        <f t="shared" si="21"/>
        <v>1.8</v>
      </c>
      <c r="ET35" s="1016">
        <f t="shared" si="22"/>
        <v>0.35526316984085338</v>
      </c>
      <c r="EU35" s="1016">
        <f t="shared" si="23"/>
        <v>1.0423285952187997</v>
      </c>
      <c r="EV35" s="1016">
        <f t="shared" si="24"/>
        <v>0.85776335408979432</v>
      </c>
      <c r="EW35" s="1017"/>
      <c r="EX35" s="1018"/>
      <c r="EY35" s="1018"/>
      <c r="EZ35" s="1018"/>
      <c r="FA35" s="1018"/>
      <c r="FB35" s="777"/>
      <c r="FC35" s="77"/>
      <c r="FD35" s="77"/>
    </row>
    <row r="36" spans="1:160" ht="31.9" customHeight="1" thickBot="1" x14ac:dyDescent="0.3">
      <c r="A36" s="710"/>
      <c r="B36" s="710"/>
      <c r="C36" s="710"/>
      <c r="D36" s="710"/>
      <c r="E36" s="710"/>
      <c r="F36" s="79" t="s">
        <v>347</v>
      </c>
      <c r="G36" s="1033">
        <f>G31+G34</f>
        <v>1</v>
      </c>
      <c r="H36" s="1034">
        <v>0.05</v>
      </c>
      <c r="I36" s="1035"/>
      <c r="J36" s="1035"/>
      <c r="K36" s="1036">
        <v>0.05</v>
      </c>
      <c r="L36" s="1036">
        <v>0</v>
      </c>
      <c r="M36" s="1036">
        <v>0.05</v>
      </c>
      <c r="N36" s="1036">
        <v>0.01</v>
      </c>
      <c r="O36" s="1036">
        <v>0.05</v>
      </c>
      <c r="P36" s="1036">
        <v>0.01</v>
      </c>
      <c r="Q36" s="1036">
        <v>0.05</v>
      </c>
      <c r="R36" s="1036">
        <v>0.03</v>
      </c>
      <c r="S36" s="1036">
        <v>0.05</v>
      </c>
      <c r="T36" s="1037">
        <v>0.04</v>
      </c>
      <c r="U36" s="1036">
        <v>0.05</v>
      </c>
      <c r="V36" s="1036">
        <v>0.05</v>
      </c>
      <c r="W36" s="1038">
        <f t="shared" si="83"/>
        <v>0.05</v>
      </c>
      <c r="X36" s="1038">
        <f t="shared" si="84"/>
        <v>0.05</v>
      </c>
      <c r="Y36" s="1038">
        <f t="shared" si="85"/>
        <v>0.05</v>
      </c>
      <c r="Z36" s="1038">
        <f t="shared" si="86"/>
        <v>0.05</v>
      </c>
      <c r="AA36" s="1038">
        <f t="shared" si="86"/>
        <v>0.05</v>
      </c>
      <c r="AB36" s="1039">
        <v>0.2</v>
      </c>
      <c r="AC36" s="1039">
        <v>0.01</v>
      </c>
      <c r="AD36" s="1039">
        <v>0.01</v>
      </c>
      <c r="AE36" s="1039">
        <v>0.03</v>
      </c>
      <c r="AF36" s="1039">
        <v>0.03</v>
      </c>
      <c r="AG36" s="1039">
        <v>0.01</v>
      </c>
      <c r="AH36" s="1039">
        <v>0.01</v>
      </c>
      <c r="AI36" s="1039">
        <v>0.01</v>
      </c>
      <c r="AJ36" s="1039">
        <v>0.01</v>
      </c>
      <c r="AK36" s="1040">
        <v>0.01</v>
      </c>
      <c r="AL36" s="1040">
        <v>0.01</v>
      </c>
      <c r="AM36" s="1040">
        <v>0.01</v>
      </c>
      <c r="AN36" s="1040">
        <v>0.01</v>
      </c>
      <c r="AO36" s="1040">
        <v>0.02</v>
      </c>
      <c r="AP36" s="1040">
        <v>0.02</v>
      </c>
      <c r="AQ36" s="1040">
        <v>0.01</v>
      </c>
      <c r="AR36" s="1040">
        <v>0.01</v>
      </c>
      <c r="AS36" s="1040">
        <v>0.01</v>
      </c>
      <c r="AT36" s="1040">
        <v>0.01</v>
      </c>
      <c r="AU36" s="1040">
        <v>0.01</v>
      </c>
      <c r="AV36" s="1040">
        <v>0.01</v>
      </c>
      <c r="AW36" s="1040">
        <v>0.01</v>
      </c>
      <c r="AX36" s="1040">
        <v>0.01</v>
      </c>
      <c r="AY36" s="1040">
        <v>0</v>
      </c>
      <c r="AZ36" s="1040">
        <v>0.01</v>
      </c>
      <c r="BA36" s="1039">
        <f>BA31+BA34</f>
        <v>0.15</v>
      </c>
      <c r="BB36" s="1038">
        <f t="shared" si="87"/>
        <v>0.14000000000000001</v>
      </c>
      <c r="BC36" s="1038">
        <f t="shared" si="88"/>
        <v>0.15000000000000002</v>
      </c>
      <c r="BD36" s="1039">
        <f>+BA36+AA36</f>
        <v>0.2</v>
      </c>
      <c r="BE36" s="1039">
        <f>BC36+H36</f>
        <v>0.2</v>
      </c>
      <c r="BF36" s="1040">
        <v>0.6</v>
      </c>
      <c r="BG36" s="1040">
        <f t="shared" ref="BG36:CD36" si="95">+BG31</f>
        <v>0.01</v>
      </c>
      <c r="BH36" s="1040">
        <f t="shared" si="95"/>
        <v>0.01</v>
      </c>
      <c r="BI36" s="1040">
        <f t="shared" si="95"/>
        <v>0.02</v>
      </c>
      <c r="BJ36" s="1040">
        <f t="shared" si="95"/>
        <v>0.02</v>
      </c>
      <c r="BK36" s="1040">
        <f t="shared" si="95"/>
        <v>0.02</v>
      </c>
      <c r="BL36" s="1040">
        <f t="shared" si="95"/>
        <v>0.02</v>
      </c>
      <c r="BM36" s="1040">
        <f t="shared" si="95"/>
        <v>0.02</v>
      </c>
      <c r="BN36" s="1040">
        <f t="shared" si="95"/>
        <v>0.02</v>
      </c>
      <c r="BO36" s="1040">
        <f t="shared" si="95"/>
        <v>0.02</v>
      </c>
      <c r="BP36" s="1040">
        <f t="shared" si="95"/>
        <v>0.02</v>
      </c>
      <c r="BQ36" s="1040">
        <f t="shared" si="95"/>
        <v>0.03</v>
      </c>
      <c r="BR36" s="1040">
        <f t="shared" si="95"/>
        <v>0.03</v>
      </c>
      <c r="BS36" s="1040">
        <f t="shared" si="95"/>
        <v>0.03</v>
      </c>
      <c r="BT36" s="1040">
        <f t="shared" si="95"/>
        <v>0.03</v>
      </c>
      <c r="BU36" s="1040">
        <f t="shared" si="95"/>
        <v>0.04</v>
      </c>
      <c r="BV36" s="1040">
        <f t="shared" si="95"/>
        <v>0.04</v>
      </c>
      <c r="BW36" s="1040">
        <f t="shared" si="95"/>
        <v>0.05</v>
      </c>
      <c r="BX36" s="1040">
        <f t="shared" si="95"/>
        <v>0.05</v>
      </c>
      <c r="BY36" s="1040">
        <f t="shared" si="95"/>
        <v>0.02</v>
      </c>
      <c r="BZ36" s="1040">
        <f t="shared" si="95"/>
        <v>0.02</v>
      </c>
      <c r="CA36" s="1040">
        <f t="shared" si="95"/>
        <v>0.1</v>
      </c>
      <c r="CB36" s="1040">
        <f t="shared" si="95"/>
        <v>0.1</v>
      </c>
      <c r="CC36" s="1040">
        <f t="shared" si="95"/>
        <v>0.04</v>
      </c>
      <c r="CD36" s="1040">
        <f t="shared" si="95"/>
        <v>0.04</v>
      </c>
      <c r="CE36" s="1039">
        <f>CE31+CE34</f>
        <v>0.4</v>
      </c>
      <c r="CF36" s="1038">
        <f t="shared" si="89"/>
        <v>0.40000000000000008</v>
      </c>
      <c r="CG36" s="1039">
        <f t="shared" si="90"/>
        <v>0.40000000000000008</v>
      </c>
      <c r="CH36" s="1039">
        <f>+CE36+BE36</f>
        <v>0.60000000000000009</v>
      </c>
      <c r="CI36" s="1039">
        <f>CG36+BE36</f>
        <v>0.60000000000000009</v>
      </c>
      <c r="CJ36" s="1040">
        <v>0.9</v>
      </c>
      <c r="CK36" s="1039">
        <f t="shared" ref="CK36:DH36" si="96">+CK31</f>
        <v>0.02</v>
      </c>
      <c r="CL36" s="1039">
        <f t="shared" si="96"/>
        <v>0.02</v>
      </c>
      <c r="CM36" s="1039">
        <f t="shared" si="96"/>
        <v>0.02</v>
      </c>
      <c r="CN36" s="1039">
        <f t="shared" si="96"/>
        <v>0.02</v>
      </c>
      <c r="CO36" s="1039">
        <f t="shared" si="96"/>
        <v>0.03</v>
      </c>
      <c r="CP36" s="1039">
        <f t="shared" si="96"/>
        <v>0.03</v>
      </c>
      <c r="CQ36" s="1039">
        <f t="shared" si="96"/>
        <v>0.04</v>
      </c>
      <c r="CR36" s="1039">
        <f t="shared" si="96"/>
        <v>0.04</v>
      </c>
      <c r="CS36" s="1039">
        <f t="shared" si="96"/>
        <v>0.03</v>
      </c>
      <c r="CT36" s="1039">
        <f t="shared" si="96"/>
        <v>0.04</v>
      </c>
      <c r="CU36" s="1039">
        <f t="shared" si="96"/>
        <v>0.03</v>
      </c>
      <c r="CV36" s="1039">
        <f t="shared" si="96"/>
        <v>0.03</v>
      </c>
      <c r="CW36" s="1039">
        <f t="shared" si="96"/>
        <v>0.02</v>
      </c>
      <c r="CX36" s="1039">
        <f t="shared" si="96"/>
        <v>0.02</v>
      </c>
      <c r="CY36" s="1039">
        <f t="shared" si="96"/>
        <v>0.04</v>
      </c>
      <c r="CZ36" s="1039">
        <f t="shared" si="96"/>
        <v>0.04</v>
      </c>
      <c r="DA36" s="1039">
        <f t="shared" si="96"/>
        <v>0.03</v>
      </c>
      <c r="DB36" s="1039">
        <f t="shared" si="96"/>
        <v>0.03</v>
      </c>
      <c r="DC36" s="1039">
        <f t="shared" si="96"/>
        <v>0.02</v>
      </c>
      <c r="DD36" s="1039">
        <f t="shared" si="96"/>
        <v>0.02</v>
      </c>
      <c r="DE36" s="1039">
        <f t="shared" si="96"/>
        <v>0.01</v>
      </c>
      <c r="DF36" s="1039">
        <f t="shared" si="96"/>
        <v>5.0000000000000001E-3</v>
      </c>
      <c r="DG36" s="1039">
        <f t="shared" si="96"/>
        <v>0.01</v>
      </c>
      <c r="DH36" s="1039">
        <f t="shared" si="96"/>
        <v>5.0000000000000001E-3</v>
      </c>
      <c r="DI36" s="1041">
        <f t="shared" si="91"/>
        <v>0.30000000000000004</v>
      </c>
      <c r="DJ36" s="1042">
        <f t="shared" si="92"/>
        <v>0.30000000000000004</v>
      </c>
      <c r="DK36" s="1042">
        <f t="shared" si="92"/>
        <v>0.30000000000000004</v>
      </c>
      <c r="DL36" s="1043">
        <f>+DI36+CI36</f>
        <v>0.90000000000000013</v>
      </c>
      <c r="DM36" s="1042">
        <f>DK36+CI36</f>
        <v>0.90000000000000013</v>
      </c>
      <c r="DN36" s="1040">
        <f>+DN31</f>
        <v>1</v>
      </c>
      <c r="DO36" s="1040">
        <f t="shared" ref="DO36:DZ36" si="97">+DO31</f>
        <v>0.01</v>
      </c>
      <c r="DP36" s="1040">
        <f t="shared" si="97"/>
        <v>0.01</v>
      </c>
      <c r="DQ36" s="1040">
        <f t="shared" si="97"/>
        <v>0.02</v>
      </c>
      <c r="DR36" s="1040">
        <f t="shared" si="97"/>
        <v>0.02</v>
      </c>
      <c r="DS36" s="1040">
        <f t="shared" si="97"/>
        <v>0.02</v>
      </c>
      <c r="DT36" s="1040">
        <f t="shared" si="97"/>
        <v>0.02</v>
      </c>
      <c r="DU36" s="1040">
        <f t="shared" si="97"/>
        <v>0.02</v>
      </c>
      <c r="DV36" s="1040">
        <f t="shared" si="97"/>
        <v>0</v>
      </c>
      <c r="DW36" s="1040">
        <f t="shared" si="97"/>
        <v>0.02</v>
      </c>
      <c r="DX36" s="1040">
        <f t="shared" si="97"/>
        <v>0</v>
      </c>
      <c r="DY36" s="1040">
        <f t="shared" si="97"/>
        <v>0.01</v>
      </c>
      <c r="DZ36" s="1040">
        <f t="shared" si="97"/>
        <v>0</v>
      </c>
      <c r="EA36" s="1040"/>
      <c r="EB36" s="1040"/>
      <c r="EC36" s="1040"/>
      <c r="ED36" s="1040"/>
      <c r="EE36" s="1040"/>
      <c r="EF36" s="1040"/>
      <c r="EG36" s="1040"/>
      <c r="EH36" s="1040"/>
      <c r="EI36" s="1040"/>
      <c r="EJ36" s="1040"/>
      <c r="EK36" s="1040"/>
      <c r="EL36" s="1040"/>
      <c r="EM36" s="1039">
        <f>EI36+EG36+EE36+EC36+EA36+DY36+DW36+DU36+DS36+DQ36+DO36+EK36</f>
        <v>0.1</v>
      </c>
      <c r="EN36" s="1039">
        <f t="shared" si="94"/>
        <v>0.05</v>
      </c>
      <c r="EO36" s="1044">
        <f t="shared" si="93"/>
        <v>0.05</v>
      </c>
      <c r="EP36" s="1039">
        <f>EM36+DL36</f>
        <v>1.0000000000000002</v>
      </c>
      <c r="EQ36" s="1039">
        <f>EO36+DM36</f>
        <v>0.95000000000000018</v>
      </c>
      <c r="ER36" s="1045">
        <f t="shared" si="26"/>
        <v>1</v>
      </c>
      <c r="ES36" s="1045">
        <f t="shared" si="21"/>
        <v>1</v>
      </c>
      <c r="ET36" s="1046">
        <f t="shared" si="22"/>
        <v>0.95</v>
      </c>
      <c r="EU36" s="1046">
        <f t="shared" si="23"/>
        <v>1</v>
      </c>
      <c r="EV36" s="1124">
        <f>EQ36/G36</f>
        <v>0.95000000000000018</v>
      </c>
      <c r="EW36" s="1017"/>
      <c r="EX36" s="1018"/>
      <c r="EY36" s="1018"/>
      <c r="EZ36" s="1018"/>
      <c r="FA36" s="1018"/>
      <c r="FB36" s="777"/>
      <c r="FC36" s="75"/>
      <c r="FD36" s="75"/>
    </row>
    <row r="37" spans="1:160" ht="31.9" customHeight="1" thickBot="1" x14ac:dyDescent="0.3">
      <c r="A37" s="710"/>
      <c r="B37" s="731"/>
      <c r="C37" s="731"/>
      <c r="D37" s="731"/>
      <c r="E37" s="731"/>
      <c r="F37" s="81" t="s">
        <v>348</v>
      </c>
      <c r="G37" s="646">
        <f>G32+G35</f>
        <v>521312833</v>
      </c>
      <c r="H37" s="647">
        <f t="shared" ref="H37:DK37" si="98">H32+H35</f>
        <v>90000000</v>
      </c>
      <c r="I37" s="647">
        <f t="shared" si="98"/>
        <v>0</v>
      </c>
      <c r="J37" s="647">
        <f t="shared" si="98"/>
        <v>0</v>
      </c>
      <c r="K37" s="647">
        <f t="shared" si="98"/>
        <v>90000000</v>
      </c>
      <c r="L37" s="647">
        <f t="shared" si="98"/>
        <v>0</v>
      </c>
      <c r="M37" s="647">
        <f t="shared" si="98"/>
        <v>90000000</v>
      </c>
      <c r="N37" s="647">
        <f t="shared" si="98"/>
        <v>69812000</v>
      </c>
      <c r="O37" s="647">
        <f t="shared" si="98"/>
        <v>90000000</v>
      </c>
      <c r="P37" s="647">
        <f t="shared" si="98"/>
        <v>69812000</v>
      </c>
      <c r="Q37" s="647">
        <f t="shared" si="98"/>
        <v>90000000</v>
      </c>
      <c r="R37" s="647">
        <f t="shared" si="98"/>
        <v>69812000</v>
      </c>
      <c r="S37" s="647">
        <f t="shared" si="98"/>
        <v>95347000</v>
      </c>
      <c r="T37" s="647">
        <f t="shared" si="98"/>
        <v>69812000</v>
      </c>
      <c r="U37" s="647">
        <f t="shared" si="98"/>
        <v>95347000</v>
      </c>
      <c r="V37" s="647">
        <f t="shared" si="98"/>
        <v>95159000</v>
      </c>
      <c r="W37" s="647">
        <f t="shared" si="98"/>
        <v>90000000</v>
      </c>
      <c r="X37" s="647">
        <f t="shared" si="98"/>
        <v>90000000</v>
      </c>
      <c r="Y37" s="647">
        <f t="shared" si="98"/>
        <v>95159000</v>
      </c>
      <c r="Z37" s="647">
        <f t="shared" si="98"/>
        <v>95347000</v>
      </c>
      <c r="AA37" s="647">
        <f t="shared" si="98"/>
        <v>95159000</v>
      </c>
      <c r="AB37" s="647">
        <f t="shared" si="98"/>
        <v>93541234</v>
      </c>
      <c r="AC37" s="647">
        <f t="shared" si="98"/>
        <v>7079600</v>
      </c>
      <c r="AD37" s="647">
        <f t="shared" si="98"/>
        <v>7079600</v>
      </c>
      <c r="AE37" s="647">
        <f t="shared" si="98"/>
        <v>9113767</v>
      </c>
      <c r="AF37" s="647">
        <f t="shared" si="98"/>
        <v>9113767</v>
      </c>
      <c r="AG37" s="647">
        <f t="shared" si="98"/>
        <v>73712867</v>
      </c>
      <c r="AH37" s="647">
        <f t="shared" si="98"/>
        <v>73712867</v>
      </c>
      <c r="AI37" s="647">
        <f t="shared" si="98"/>
        <v>0</v>
      </c>
      <c r="AJ37" s="647">
        <f t="shared" si="98"/>
        <v>0</v>
      </c>
      <c r="AK37" s="647">
        <f t="shared" si="98"/>
        <v>0</v>
      </c>
      <c r="AL37" s="647">
        <f t="shared" si="98"/>
        <v>0</v>
      </c>
      <c r="AM37" s="647">
        <f t="shared" si="98"/>
        <v>0</v>
      </c>
      <c r="AN37" s="647">
        <f t="shared" si="98"/>
        <v>0</v>
      </c>
      <c r="AO37" s="647">
        <f t="shared" si="98"/>
        <v>0</v>
      </c>
      <c r="AP37" s="647">
        <f t="shared" si="98"/>
        <v>0</v>
      </c>
      <c r="AQ37" s="647">
        <f t="shared" si="98"/>
        <v>0</v>
      </c>
      <c r="AR37" s="647">
        <f t="shared" si="98"/>
        <v>0</v>
      </c>
      <c r="AS37" s="647">
        <f t="shared" si="98"/>
        <v>12124500</v>
      </c>
      <c r="AT37" s="647">
        <f t="shared" si="98"/>
        <v>0</v>
      </c>
      <c r="AU37" s="647">
        <f t="shared" si="98"/>
        <v>0</v>
      </c>
      <c r="AV37" s="647">
        <f t="shared" si="98"/>
        <v>0</v>
      </c>
      <c r="AW37" s="647">
        <f t="shared" si="98"/>
        <v>0</v>
      </c>
      <c r="AX37" s="647">
        <f t="shared" si="98"/>
        <v>12124500</v>
      </c>
      <c r="AY37" s="647">
        <f t="shared" si="98"/>
        <v>0</v>
      </c>
      <c r="AZ37" s="647">
        <f t="shared" si="98"/>
        <v>0</v>
      </c>
      <c r="BA37" s="647">
        <f t="shared" si="98"/>
        <v>102030734</v>
      </c>
      <c r="BB37" s="647">
        <f t="shared" si="98"/>
        <v>102030734</v>
      </c>
      <c r="BC37" s="647">
        <f t="shared" si="98"/>
        <v>102030734</v>
      </c>
      <c r="BD37" s="647">
        <f t="shared" si="98"/>
        <v>102030734</v>
      </c>
      <c r="BE37" s="647">
        <f t="shared" si="98"/>
        <v>102030734</v>
      </c>
      <c r="BF37" s="647">
        <f t="shared" si="98"/>
        <v>78517000</v>
      </c>
      <c r="BG37" s="647">
        <f t="shared" si="98"/>
        <v>78517000</v>
      </c>
      <c r="BH37" s="647">
        <f t="shared" si="98"/>
        <v>78517000</v>
      </c>
      <c r="BI37" s="647">
        <f t="shared" si="98"/>
        <v>0</v>
      </c>
      <c r="BJ37" s="647">
        <f t="shared" si="98"/>
        <v>0</v>
      </c>
      <c r="BK37" s="647">
        <f t="shared" si="98"/>
        <v>0</v>
      </c>
      <c r="BL37" s="647">
        <f t="shared" si="98"/>
        <v>0</v>
      </c>
      <c r="BM37" s="647">
        <f t="shared" si="98"/>
        <v>0</v>
      </c>
      <c r="BN37" s="647">
        <f t="shared" si="98"/>
        <v>0</v>
      </c>
      <c r="BO37" s="647">
        <f t="shared" si="98"/>
        <v>0</v>
      </c>
      <c r="BP37" s="647">
        <f t="shared" si="98"/>
        <v>0</v>
      </c>
      <c r="BQ37" s="647">
        <f t="shared" si="98"/>
        <v>0</v>
      </c>
      <c r="BR37" s="647">
        <f t="shared" si="98"/>
        <v>0</v>
      </c>
      <c r="BS37" s="647">
        <f t="shared" si="98"/>
        <v>0</v>
      </c>
      <c r="BT37" s="647">
        <f t="shared" si="98"/>
        <v>0</v>
      </c>
      <c r="BU37" s="647">
        <f t="shared" si="98"/>
        <v>0</v>
      </c>
      <c r="BV37" s="647">
        <f t="shared" si="98"/>
        <v>0</v>
      </c>
      <c r="BW37" s="647">
        <f t="shared" si="98"/>
        <v>11739000</v>
      </c>
      <c r="BX37" s="647">
        <f t="shared" si="98"/>
        <v>0</v>
      </c>
      <c r="BY37" s="647">
        <f t="shared" si="98"/>
        <v>0</v>
      </c>
      <c r="BZ37" s="647">
        <f t="shared" si="98"/>
        <v>11739000</v>
      </c>
      <c r="CA37" s="647">
        <f t="shared" si="98"/>
        <v>3913000</v>
      </c>
      <c r="CB37" s="647">
        <f t="shared" si="98"/>
        <v>3913000</v>
      </c>
      <c r="CC37" s="647">
        <f t="shared" si="98"/>
        <v>0</v>
      </c>
      <c r="CD37" s="647">
        <f t="shared" si="98"/>
        <v>0</v>
      </c>
      <c r="CE37" s="647">
        <f t="shared" si="98"/>
        <v>94169000</v>
      </c>
      <c r="CF37" s="647">
        <f t="shared" si="98"/>
        <v>94169000</v>
      </c>
      <c r="CG37" s="647">
        <f t="shared" si="98"/>
        <v>94169000</v>
      </c>
      <c r="CH37" s="647">
        <f t="shared" si="98"/>
        <v>94169000</v>
      </c>
      <c r="CI37" s="647">
        <f t="shared" si="98"/>
        <v>94169000</v>
      </c>
      <c r="CJ37" s="647">
        <f t="shared" si="98"/>
        <v>87781633</v>
      </c>
      <c r="CK37" s="647">
        <f t="shared" si="98"/>
        <v>1695633</v>
      </c>
      <c r="CL37" s="647">
        <f t="shared" si="98"/>
        <v>1695633</v>
      </c>
      <c r="CM37" s="647">
        <f t="shared" si="98"/>
        <v>78260000</v>
      </c>
      <c r="CN37" s="647">
        <f t="shared" si="98"/>
        <v>78260000</v>
      </c>
      <c r="CO37" s="647">
        <f t="shared" si="98"/>
        <v>0</v>
      </c>
      <c r="CP37" s="647">
        <f t="shared" si="98"/>
        <v>0</v>
      </c>
      <c r="CQ37" s="647">
        <f t="shared" si="98"/>
        <v>0</v>
      </c>
      <c r="CR37" s="647">
        <f t="shared" si="98"/>
        <v>0</v>
      </c>
      <c r="CS37" s="647">
        <f t="shared" si="98"/>
        <v>0</v>
      </c>
      <c r="CT37" s="647">
        <f t="shared" si="98"/>
        <v>0</v>
      </c>
      <c r="CU37" s="647">
        <f t="shared" si="98"/>
        <v>0</v>
      </c>
      <c r="CV37" s="647">
        <f t="shared" si="98"/>
        <v>0</v>
      </c>
      <c r="CW37" s="647">
        <f t="shared" si="98"/>
        <v>2869534</v>
      </c>
      <c r="CX37" s="647">
        <f t="shared" si="98"/>
        <v>0</v>
      </c>
      <c r="CY37" s="647">
        <f t="shared" si="98"/>
        <v>0</v>
      </c>
      <c r="CZ37" s="647">
        <f t="shared" si="98"/>
        <v>0</v>
      </c>
      <c r="DA37" s="647">
        <f t="shared" si="98"/>
        <v>0</v>
      </c>
      <c r="DB37" s="647">
        <f t="shared" si="98"/>
        <v>0</v>
      </c>
      <c r="DC37" s="647">
        <f t="shared" si="98"/>
        <v>0</v>
      </c>
      <c r="DD37" s="647">
        <f t="shared" si="98"/>
        <v>0</v>
      </c>
      <c r="DE37" s="647">
        <f t="shared" si="98"/>
        <v>0</v>
      </c>
      <c r="DF37" s="647">
        <f t="shared" si="98"/>
        <v>0</v>
      </c>
      <c r="DG37" s="647">
        <f t="shared" si="98"/>
        <v>7826000</v>
      </c>
      <c r="DH37" s="647">
        <f t="shared" si="98"/>
        <v>10695533</v>
      </c>
      <c r="DI37" s="647">
        <f t="shared" si="98"/>
        <v>90651167</v>
      </c>
      <c r="DJ37" s="647">
        <f t="shared" si="98"/>
        <v>90651167</v>
      </c>
      <c r="DK37" s="647">
        <f t="shared" si="98"/>
        <v>90651166</v>
      </c>
      <c r="DL37" s="647">
        <f>DL32+DL35</f>
        <v>90651167</v>
      </c>
      <c r="DM37" s="647">
        <f t="shared" ref="DM37:EQ37" si="99">DM32+DM35</f>
        <v>90651166</v>
      </c>
      <c r="DN37" s="647">
        <f t="shared" si="99"/>
        <v>139302933</v>
      </c>
      <c r="DO37" s="647">
        <f t="shared" si="99"/>
        <v>7826000</v>
      </c>
      <c r="DP37" s="647">
        <f t="shared" si="99"/>
        <v>7826000</v>
      </c>
      <c r="DQ37" s="647">
        <f t="shared" si="99"/>
        <v>28634500</v>
      </c>
      <c r="DR37" s="647">
        <f t="shared" si="99"/>
        <v>3521700</v>
      </c>
      <c r="DS37" s="647">
        <f t="shared" si="99"/>
        <v>0</v>
      </c>
      <c r="DT37" s="647">
        <f t="shared" si="99"/>
        <v>17252000</v>
      </c>
      <c r="DU37" s="647">
        <f t="shared" si="99"/>
        <v>14112900</v>
      </c>
      <c r="DV37" s="647">
        <f t="shared" si="99"/>
        <v>0</v>
      </c>
      <c r="DW37" s="647">
        <f t="shared" si="99"/>
        <v>3913000</v>
      </c>
      <c r="DX37" s="647">
        <f t="shared" si="99"/>
        <v>0</v>
      </c>
      <c r="DY37" s="647">
        <f t="shared" si="99"/>
        <v>84816533</v>
      </c>
      <c r="DZ37" s="647">
        <f t="shared" si="99"/>
        <v>0</v>
      </c>
      <c r="EA37" s="647">
        <f t="shared" si="99"/>
        <v>0</v>
      </c>
      <c r="EB37" s="647">
        <f t="shared" si="99"/>
        <v>0</v>
      </c>
      <c r="EC37" s="647">
        <f t="shared" si="99"/>
        <v>0</v>
      </c>
      <c r="ED37" s="647">
        <f t="shared" si="99"/>
        <v>0</v>
      </c>
      <c r="EE37" s="647">
        <f t="shared" si="99"/>
        <v>0</v>
      </c>
      <c r="EF37" s="647">
        <f t="shared" si="99"/>
        <v>0</v>
      </c>
      <c r="EG37" s="647">
        <f t="shared" si="99"/>
        <v>0</v>
      </c>
      <c r="EH37" s="647">
        <f t="shared" si="99"/>
        <v>0</v>
      </c>
      <c r="EI37" s="647">
        <f t="shared" si="99"/>
        <v>0</v>
      </c>
      <c r="EJ37" s="647">
        <f t="shared" si="99"/>
        <v>0</v>
      </c>
      <c r="EK37" s="647">
        <f t="shared" si="99"/>
        <v>0</v>
      </c>
      <c r="EL37" s="647">
        <f t="shared" si="99"/>
        <v>0</v>
      </c>
      <c r="EM37" s="647">
        <f t="shared" si="99"/>
        <v>139302933</v>
      </c>
      <c r="EN37" s="647">
        <f t="shared" si="99"/>
        <v>36460500</v>
      </c>
      <c r="EO37" s="647">
        <f t="shared" si="99"/>
        <v>28599700</v>
      </c>
      <c r="EP37" s="647">
        <f t="shared" si="99"/>
        <v>139302933</v>
      </c>
      <c r="EQ37" s="647">
        <f t="shared" si="99"/>
        <v>28599700</v>
      </c>
      <c r="ER37" s="648">
        <f t="shared" si="26"/>
        <v>0</v>
      </c>
      <c r="ES37" s="648">
        <f t="shared" si="21"/>
        <v>0.78440229837769637</v>
      </c>
      <c r="ET37" s="649">
        <f t="shared" si="22"/>
        <v>0.20530579926841885</v>
      </c>
      <c r="EU37" s="649">
        <f t="shared" si="23"/>
        <v>0.98077477728674556</v>
      </c>
      <c r="EV37" s="650">
        <f t="shared" si="24"/>
        <v>0.7876452947399436</v>
      </c>
      <c r="EW37" s="1047"/>
      <c r="EX37" s="1048"/>
      <c r="EY37" s="1048"/>
      <c r="EZ37" s="1048"/>
      <c r="FA37" s="1048"/>
      <c r="FB37" s="778"/>
      <c r="FC37" s="87"/>
      <c r="FD37" s="87"/>
    </row>
    <row r="38" spans="1:160" ht="31.9" customHeight="1" x14ac:dyDescent="0.25">
      <c r="A38" s="710"/>
      <c r="B38" s="759">
        <v>5</v>
      </c>
      <c r="C38" s="758" t="s">
        <v>356</v>
      </c>
      <c r="D38" s="758" t="s">
        <v>177</v>
      </c>
      <c r="E38" s="758">
        <v>199</v>
      </c>
      <c r="F38" s="73" t="s">
        <v>340</v>
      </c>
      <c r="G38" s="993">
        <f>AA38+BE38+CI38+DM38+EP38</f>
        <v>800</v>
      </c>
      <c r="H38" s="1049">
        <v>50</v>
      </c>
      <c r="I38" s="993"/>
      <c r="J38" s="993"/>
      <c r="K38" s="993">
        <v>50</v>
      </c>
      <c r="L38" s="993">
        <v>0</v>
      </c>
      <c r="M38" s="993">
        <v>50</v>
      </c>
      <c r="N38" s="998">
        <v>5</v>
      </c>
      <c r="O38" s="993">
        <v>50</v>
      </c>
      <c r="P38" s="998">
        <v>10</v>
      </c>
      <c r="Q38" s="993">
        <v>50</v>
      </c>
      <c r="R38" s="999">
        <v>30</v>
      </c>
      <c r="S38" s="993">
        <v>50</v>
      </c>
      <c r="T38" s="998">
        <v>45</v>
      </c>
      <c r="U38" s="993">
        <v>50</v>
      </c>
      <c r="V38" s="993">
        <v>50</v>
      </c>
      <c r="W38" s="1001">
        <f t="shared" ref="W38:W43" si="100">+H38</f>
        <v>50</v>
      </c>
      <c r="X38" s="1001">
        <f t="shared" ref="X38:X43" si="101">+H38</f>
        <v>50</v>
      </c>
      <c r="Y38" s="1001">
        <f t="shared" ref="Y38:Y43" si="102">+V38</f>
        <v>50</v>
      </c>
      <c r="Z38" s="1001">
        <f t="shared" ref="Z38:AA43" si="103">+U38</f>
        <v>50</v>
      </c>
      <c r="AA38" s="1001">
        <f t="shared" si="103"/>
        <v>50</v>
      </c>
      <c r="AB38" s="993">
        <v>96</v>
      </c>
      <c r="AC38" s="993">
        <v>20</v>
      </c>
      <c r="AD38" s="993">
        <v>20</v>
      </c>
      <c r="AE38" s="993">
        <v>20</v>
      </c>
      <c r="AF38" s="998">
        <v>20</v>
      </c>
      <c r="AG38" s="993">
        <v>5</v>
      </c>
      <c r="AH38" s="998">
        <v>5</v>
      </c>
      <c r="AI38" s="998">
        <v>5</v>
      </c>
      <c r="AJ38" s="998">
        <v>5</v>
      </c>
      <c r="AK38" s="998">
        <v>5</v>
      </c>
      <c r="AL38" s="998">
        <v>5</v>
      </c>
      <c r="AM38" s="998">
        <v>2</v>
      </c>
      <c r="AN38" s="998">
        <v>2</v>
      </c>
      <c r="AO38" s="998">
        <v>2</v>
      </c>
      <c r="AP38" s="998">
        <v>2</v>
      </c>
      <c r="AQ38" s="998">
        <v>2</v>
      </c>
      <c r="AR38" s="998">
        <v>2</v>
      </c>
      <c r="AS38" s="998">
        <v>15</v>
      </c>
      <c r="AT38" s="998">
        <v>15</v>
      </c>
      <c r="AU38" s="998">
        <v>30</v>
      </c>
      <c r="AV38" s="998">
        <v>30</v>
      </c>
      <c r="AW38" s="998">
        <v>34</v>
      </c>
      <c r="AX38" s="998">
        <v>34</v>
      </c>
      <c r="AY38" s="993">
        <v>20</v>
      </c>
      <c r="AZ38" s="998">
        <v>20</v>
      </c>
      <c r="BA38" s="1001">
        <f>AY38+AW38+AU38+AS38+AO38+AM38+AK38+AI38+AG38+AE38+AC38+AQ38</f>
        <v>160</v>
      </c>
      <c r="BB38" s="1001">
        <f t="shared" ref="BB38:BB43" si="104">AC38+AE38+AG38+AI38+AK38+AM38+AO38+AQ38+AS38+AU38+AW38+AY38</f>
        <v>160</v>
      </c>
      <c r="BC38" s="1001">
        <f t="shared" ref="BC38:BC43" si="105">+AN38+AD38+AF38+AH38+AJ38+AL38+AP38+AR38+AT38+AV38+AX38+AZ38</f>
        <v>160</v>
      </c>
      <c r="BD38" s="1001">
        <f>BA38</f>
        <v>160</v>
      </c>
      <c r="BE38" s="1001">
        <f t="shared" ref="BE38:BE43" si="106">AF38+AH38+AJ38+AL38+AD38+AN38+AP38+AR38+AT38+AV38+AX38+AZ38</f>
        <v>160</v>
      </c>
      <c r="BF38" s="993">
        <v>190</v>
      </c>
      <c r="BG38" s="993">
        <v>0</v>
      </c>
      <c r="BH38" s="993">
        <v>0</v>
      </c>
      <c r="BI38" s="1050">
        <v>20</v>
      </c>
      <c r="BJ38" s="1050">
        <v>20</v>
      </c>
      <c r="BK38" s="1050">
        <v>20</v>
      </c>
      <c r="BL38" s="1050">
        <v>20</v>
      </c>
      <c r="BM38" s="1050">
        <v>10</v>
      </c>
      <c r="BN38" s="1050">
        <v>10</v>
      </c>
      <c r="BO38" s="1050">
        <v>10</v>
      </c>
      <c r="BP38" s="996">
        <v>10</v>
      </c>
      <c r="BQ38" s="1050">
        <v>10</v>
      </c>
      <c r="BR38" s="1050">
        <v>10</v>
      </c>
      <c r="BS38" s="1050">
        <v>5</v>
      </c>
      <c r="BT38" s="1050">
        <v>5</v>
      </c>
      <c r="BU38" s="1050">
        <v>5</v>
      </c>
      <c r="BV38" s="1050">
        <v>5</v>
      </c>
      <c r="BW38" s="1050">
        <v>30</v>
      </c>
      <c r="BX38" s="1050">
        <v>30</v>
      </c>
      <c r="BY38" s="1050">
        <v>30</v>
      </c>
      <c r="BZ38" s="1050">
        <v>30</v>
      </c>
      <c r="CA38" s="1050">
        <v>30</v>
      </c>
      <c r="CB38" s="1050">
        <v>30</v>
      </c>
      <c r="CC38" s="1050">
        <v>20</v>
      </c>
      <c r="CD38" s="1050">
        <v>20</v>
      </c>
      <c r="CE38" s="1001">
        <f>CC38+CA38+BY38+BW38+BS38+BQ38+BO38+BM38+BK38+BI38+BG38+BU38</f>
        <v>190</v>
      </c>
      <c r="CF38" s="1001">
        <f t="shared" ref="CF38:CF43" si="107">+BG38+BI38+BK38+BM38+BO38+BQ38+BS38+BU38+BW38+BY38+CA38+CC38</f>
        <v>190</v>
      </c>
      <c r="CG38" s="1001">
        <f t="shared" ref="CG38:CG43" si="108">+BR38+BH38+BJ38+BL38+BN38+BP38+BT38+BV38+BX38+BZ38+CB38+CD38</f>
        <v>190</v>
      </c>
      <c r="CH38" s="1001">
        <f>CE38</f>
        <v>190</v>
      </c>
      <c r="CI38" s="1001">
        <f t="shared" ref="CI38:CI43" si="109">BJ38+BL38+BN38+BP38+BH38+BR38+BT38+BV38+BX38+BZ38+CB38+CD38</f>
        <v>190</v>
      </c>
      <c r="CJ38" s="993">
        <v>290</v>
      </c>
      <c r="CK38" s="993">
        <v>0</v>
      </c>
      <c r="CL38" s="993"/>
      <c r="CM38" s="993">
        <v>10</v>
      </c>
      <c r="CN38" s="993">
        <v>10</v>
      </c>
      <c r="CO38" s="993">
        <v>20</v>
      </c>
      <c r="CP38" s="993">
        <v>20</v>
      </c>
      <c r="CQ38" s="993">
        <v>30</v>
      </c>
      <c r="CR38" s="993">
        <v>30</v>
      </c>
      <c r="CS38" s="993">
        <v>30</v>
      </c>
      <c r="CT38" s="993">
        <v>30</v>
      </c>
      <c r="CU38" s="993">
        <v>30</v>
      </c>
      <c r="CV38" s="993">
        <v>30</v>
      </c>
      <c r="CW38" s="993">
        <v>10</v>
      </c>
      <c r="CX38" s="993">
        <v>10</v>
      </c>
      <c r="CY38" s="993">
        <v>10</v>
      </c>
      <c r="CZ38" s="993">
        <v>10</v>
      </c>
      <c r="DA38" s="993">
        <v>40</v>
      </c>
      <c r="DB38" s="993">
        <v>40</v>
      </c>
      <c r="DC38" s="993">
        <v>40</v>
      </c>
      <c r="DD38" s="993">
        <v>40</v>
      </c>
      <c r="DE38" s="993">
        <v>40</v>
      </c>
      <c r="DF38" s="993">
        <v>40</v>
      </c>
      <c r="DG38" s="993">
        <v>30</v>
      </c>
      <c r="DH38" s="993">
        <v>30</v>
      </c>
      <c r="DI38" s="993">
        <f>DG38+DE38+DC38+DA38+CY38+CW38+CU38+CS38+CQ38+CO38+CM38+CK38</f>
        <v>290</v>
      </c>
      <c r="DJ38" s="999">
        <f t="shared" ref="DJ38:DK43" si="110">CK38+CM38+CO38+CQ38+CS38+CU38+CW38+CY38+DA38+DC38+DE38+DG38</f>
        <v>290</v>
      </c>
      <c r="DK38" s="999">
        <f t="shared" si="110"/>
        <v>290</v>
      </c>
      <c r="DL38" s="1001">
        <f t="shared" ref="DL38:DL43" si="111">DI38</f>
        <v>290</v>
      </c>
      <c r="DM38" s="998">
        <f t="shared" ref="DM38:DM43" si="112">CN38+CP38+CR38+CT38+CL38+CV38+CX38+CZ38+DB38+DD38+DF38+DH38</f>
        <v>290</v>
      </c>
      <c r="DN38" s="998">
        <v>110</v>
      </c>
      <c r="DO38" s="1051">
        <v>30</v>
      </c>
      <c r="DP38" s="1051">
        <v>30</v>
      </c>
      <c r="DQ38" s="1051">
        <v>10</v>
      </c>
      <c r="DR38" s="1051">
        <v>10</v>
      </c>
      <c r="DS38" s="1051">
        <v>25</v>
      </c>
      <c r="DT38" s="998">
        <v>25</v>
      </c>
      <c r="DU38" s="1051">
        <v>20</v>
      </c>
      <c r="DV38" s="1051"/>
      <c r="DW38" s="1051">
        <v>20</v>
      </c>
      <c r="DX38" s="1051"/>
      <c r="DY38" s="1051">
        <v>5</v>
      </c>
      <c r="DZ38" s="998"/>
      <c r="EA38" s="998"/>
      <c r="EB38" s="998"/>
      <c r="EC38" s="998"/>
      <c r="ED38" s="998"/>
      <c r="EE38" s="998"/>
      <c r="EF38" s="998"/>
      <c r="EG38" s="993"/>
      <c r="EH38" s="993"/>
      <c r="EI38" s="993"/>
      <c r="EJ38" s="993"/>
      <c r="EK38" s="993"/>
      <c r="EL38" s="993"/>
      <c r="EM38" s="993">
        <f>EK38+EI38+EG38+EE38+EC38+EA38+DY38+DW38+DU38+DS38+DQ38+DO38</f>
        <v>110</v>
      </c>
      <c r="EN38" s="993">
        <f>DO38+DQ38+DS38</f>
        <v>65</v>
      </c>
      <c r="EO38" s="993">
        <f t="shared" ref="EO38:EO43" si="113">DP38+DR38+DT38+DV38</f>
        <v>65</v>
      </c>
      <c r="EP38" s="1052">
        <f>DQ38+DS38+DU38+DW38+DY38+EA38+EC38+EE38+EG38+EI38+EK38+DO38</f>
        <v>110</v>
      </c>
      <c r="EQ38" s="998">
        <f t="shared" si="51"/>
        <v>65</v>
      </c>
      <c r="ER38" s="1008">
        <f t="shared" si="26"/>
        <v>1</v>
      </c>
      <c r="ES38" s="1008">
        <f t="shared" si="21"/>
        <v>1</v>
      </c>
      <c r="ET38" s="1009">
        <f t="shared" si="22"/>
        <v>0.59090909090909094</v>
      </c>
      <c r="EU38" s="1009">
        <f t="shared" si="23"/>
        <v>1</v>
      </c>
      <c r="EV38" s="1009">
        <f t="shared" si="24"/>
        <v>0.94374999999999998</v>
      </c>
      <c r="EW38" s="1053" t="s">
        <v>1553</v>
      </c>
      <c r="EX38" s="1011" t="s">
        <v>178</v>
      </c>
      <c r="EY38" s="1011" t="s">
        <v>178</v>
      </c>
      <c r="EZ38" s="1011" t="s">
        <v>357</v>
      </c>
      <c r="FA38" s="1011" t="s">
        <v>182</v>
      </c>
      <c r="FB38" s="776"/>
      <c r="FC38" s="75"/>
      <c r="FD38" s="75"/>
    </row>
    <row r="39" spans="1:160" ht="31.9" customHeight="1" x14ac:dyDescent="0.25">
      <c r="A39" s="710"/>
      <c r="B39" s="710"/>
      <c r="C39" s="710"/>
      <c r="D39" s="710"/>
      <c r="E39" s="710"/>
      <c r="F39" s="76" t="s">
        <v>343</v>
      </c>
      <c r="G39" s="641">
        <f>AA39+BE39+CI39+DM39+EP39</f>
        <v>4112981395</v>
      </c>
      <c r="H39" s="1054">
        <v>668935490</v>
      </c>
      <c r="I39" s="1055"/>
      <c r="J39" s="1055"/>
      <c r="K39" s="1055">
        <v>668935490</v>
      </c>
      <c r="L39" s="1055">
        <v>328110000</v>
      </c>
      <c r="M39" s="1055">
        <v>641192490</v>
      </c>
      <c r="N39" s="1055">
        <v>519353000</v>
      </c>
      <c r="O39" s="1055">
        <v>641192490</v>
      </c>
      <c r="P39" s="1055">
        <v>532019000</v>
      </c>
      <c r="Q39" s="1055">
        <v>734428327</v>
      </c>
      <c r="R39" s="1055">
        <v>532019000</v>
      </c>
      <c r="S39" s="1055">
        <v>714428327</v>
      </c>
      <c r="T39" s="1012">
        <v>556969163</v>
      </c>
      <c r="U39" s="1012">
        <v>714428327</v>
      </c>
      <c r="V39" s="1012">
        <v>706859293</v>
      </c>
      <c r="W39" s="1024">
        <f t="shared" si="100"/>
        <v>668935490</v>
      </c>
      <c r="X39" s="1024">
        <f t="shared" si="101"/>
        <v>668935490</v>
      </c>
      <c r="Y39" s="1024">
        <f t="shared" si="102"/>
        <v>706859293</v>
      </c>
      <c r="Z39" s="1012">
        <f t="shared" si="103"/>
        <v>714428327</v>
      </c>
      <c r="AA39" s="1012">
        <f t="shared" si="103"/>
        <v>706859293</v>
      </c>
      <c r="AB39" s="1012">
        <v>699388000</v>
      </c>
      <c r="AC39" s="1012">
        <v>0</v>
      </c>
      <c r="AD39" s="1012">
        <v>0</v>
      </c>
      <c r="AE39" s="1012">
        <v>61356000</v>
      </c>
      <c r="AF39" s="1012">
        <v>61356000</v>
      </c>
      <c r="AG39" s="1012">
        <f>346784000-AF39</f>
        <v>285428000</v>
      </c>
      <c r="AH39" s="1012">
        <v>285428000</v>
      </c>
      <c r="AI39" s="1012">
        <v>0</v>
      </c>
      <c r="AJ39" s="1012">
        <v>0</v>
      </c>
      <c r="AK39" s="1012">
        <f>346784000-AH39-AF39</f>
        <v>0</v>
      </c>
      <c r="AL39" s="1012">
        <v>0</v>
      </c>
      <c r="AM39" s="1012">
        <v>0</v>
      </c>
      <c r="AN39" s="1012">
        <v>0</v>
      </c>
      <c r="AO39" s="1012">
        <v>0</v>
      </c>
      <c r="AP39" s="1012">
        <v>0</v>
      </c>
      <c r="AQ39" s="1012">
        <v>0</v>
      </c>
      <c r="AR39" s="1012">
        <v>0</v>
      </c>
      <c r="AS39" s="1012">
        <v>292448222</v>
      </c>
      <c r="AT39" s="1012">
        <v>208200000</v>
      </c>
      <c r="AU39" s="1012">
        <v>70000000</v>
      </c>
      <c r="AV39" s="1012">
        <v>13868300</v>
      </c>
      <c r="AW39" s="1012">
        <v>0</v>
      </c>
      <c r="AX39" s="1012">
        <v>49256100</v>
      </c>
      <c r="AY39" s="1012">
        <v>580967</v>
      </c>
      <c r="AZ39" s="1012">
        <v>17790500</v>
      </c>
      <c r="BA39" s="1012">
        <f>AY39+AW39+AU39+AS39+AQ39+AO39+AM39+AK39+AI39+AG39+AE39+AC39</f>
        <v>709813189</v>
      </c>
      <c r="BB39" s="1012">
        <f t="shared" si="104"/>
        <v>709813189</v>
      </c>
      <c r="BC39" s="1012">
        <f t="shared" si="105"/>
        <v>635898900</v>
      </c>
      <c r="BD39" s="1012">
        <f>BA39</f>
        <v>709813189</v>
      </c>
      <c r="BE39" s="1012">
        <f t="shared" si="106"/>
        <v>635898900</v>
      </c>
      <c r="BF39" s="1012">
        <v>672748000</v>
      </c>
      <c r="BG39" s="1012">
        <v>490896000</v>
      </c>
      <c r="BH39" s="1012">
        <v>490896000</v>
      </c>
      <c r="BI39" s="1012">
        <v>41274000</v>
      </c>
      <c r="BJ39" s="1012">
        <v>0</v>
      </c>
      <c r="BK39" s="1012">
        <v>0</v>
      </c>
      <c r="BL39" s="1012">
        <v>0</v>
      </c>
      <c r="BM39" s="1012">
        <v>0</v>
      </c>
      <c r="BN39" s="1012">
        <v>0</v>
      </c>
      <c r="BO39" s="1012">
        <v>0</v>
      </c>
      <c r="BP39" s="1012">
        <v>0</v>
      </c>
      <c r="BQ39" s="1012">
        <v>0</v>
      </c>
      <c r="BR39" s="1012">
        <v>40000000</v>
      </c>
      <c r="BS39" s="1012">
        <v>140000000</v>
      </c>
      <c r="BT39" s="1012">
        <v>141580000</v>
      </c>
      <c r="BU39" s="1012">
        <v>0</v>
      </c>
      <c r="BV39" s="1012">
        <v>0</v>
      </c>
      <c r="BW39" s="1012">
        <v>57928800</v>
      </c>
      <c r="BX39" s="1012">
        <v>95365267</v>
      </c>
      <c r="BY39" s="1012">
        <v>48627934</v>
      </c>
      <c r="BZ39" s="1012">
        <v>7278467</v>
      </c>
      <c r="CA39" s="1012">
        <f>170704+9817396</f>
        <v>9988100</v>
      </c>
      <c r="CB39" s="1012">
        <v>14081833</v>
      </c>
      <c r="CC39" s="1012">
        <v>578000</v>
      </c>
      <c r="CD39" s="1012">
        <v>0</v>
      </c>
      <c r="CE39" s="1012">
        <f>CC39+CA39+BY39+BW39+BU39+BS39+BQ39+BO39+BM39+BK39+BI39+BG39</f>
        <v>789292834</v>
      </c>
      <c r="CF39" s="1012">
        <f t="shared" si="107"/>
        <v>789292834</v>
      </c>
      <c r="CG39" s="1012">
        <f t="shared" si="108"/>
        <v>789201567</v>
      </c>
      <c r="CH39" s="1012">
        <f>CE39</f>
        <v>789292834</v>
      </c>
      <c r="CI39" s="1012">
        <f t="shared" si="109"/>
        <v>789201567</v>
      </c>
      <c r="CJ39" s="1012">
        <v>930550000</v>
      </c>
      <c r="CK39" s="1012">
        <v>0</v>
      </c>
      <c r="CL39" s="1012">
        <v>0</v>
      </c>
      <c r="CM39" s="1012">
        <f>645326000-58666000</f>
        <v>586660000</v>
      </c>
      <c r="CN39" s="1012">
        <v>586660000</v>
      </c>
      <c r="CO39" s="1012">
        <v>0</v>
      </c>
      <c r="CP39" s="1012">
        <v>0</v>
      </c>
      <c r="CQ39" s="1012">
        <v>0</v>
      </c>
      <c r="CR39" s="1012">
        <v>0</v>
      </c>
      <c r="CS39" s="1012">
        <v>65131000</v>
      </c>
      <c r="CT39" s="1012">
        <v>0</v>
      </c>
      <c r="CU39" s="1012">
        <v>162817000</v>
      </c>
      <c r="CV39" s="1012"/>
      <c r="CW39" s="1012">
        <v>23010100</v>
      </c>
      <c r="CX39" s="1012"/>
      <c r="CY39" s="1012"/>
      <c r="CZ39" s="1012">
        <v>162817000</v>
      </c>
      <c r="DA39" s="1012"/>
      <c r="DB39" s="1012">
        <v>65131000</v>
      </c>
      <c r="DC39" s="1012">
        <v>50000000</v>
      </c>
      <c r="DD39" s="1012"/>
      <c r="DE39" s="1012">
        <v>-27112401</v>
      </c>
      <c r="DF39" s="1012"/>
      <c r="DG39" s="1012">
        <v>65942000</v>
      </c>
      <c r="DH39" s="1012">
        <v>111652635</v>
      </c>
      <c r="DI39" s="1012">
        <f>DG39+DE39+DC39+DA39+CY39+CW39+CU39+CS39+CQ39+CO39+CM39+CK39</f>
        <v>926447699</v>
      </c>
      <c r="DJ39" s="1012">
        <f t="shared" si="110"/>
        <v>926447699</v>
      </c>
      <c r="DK39" s="1012">
        <f t="shared" si="110"/>
        <v>926260635</v>
      </c>
      <c r="DL39" s="1012">
        <f t="shared" si="111"/>
        <v>926447699</v>
      </c>
      <c r="DM39" s="1012">
        <f t="shared" si="112"/>
        <v>926260635</v>
      </c>
      <c r="DN39" s="1012">
        <v>1054761000</v>
      </c>
      <c r="DO39" s="1056">
        <v>31724000</v>
      </c>
      <c r="DP39" s="1056">
        <v>31724000</v>
      </c>
      <c r="DQ39" s="1056">
        <v>259412000</v>
      </c>
      <c r="DR39" s="1056">
        <v>153936000</v>
      </c>
      <c r="DS39" s="1056"/>
      <c r="DT39" s="1056">
        <v>55100000</v>
      </c>
      <c r="DU39" s="1056">
        <f>11194000+27264000</f>
        <v>38458000</v>
      </c>
      <c r="DV39" s="1056"/>
      <c r="DW39" s="1056"/>
      <c r="DX39" s="1056"/>
      <c r="DY39" s="1014">
        <f>DN39-DQ39-DP39-DU39</f>
        <v>725167000</v>
      </c>
      <c r="DZ39" s="1055"/>
      <c r="EA39" s="1055"/>
      <c r="EB39" s="1055"/>
      <c r="EC39" s="1055"/>
      <c r="ED39" s="1055"/>
      <c r="EE39" s="1055"/>
      <c r="EF39" s="1055"/>
      <c r="EG39" s="1055"/>
      <c r="EH39" s="1055"/>
      <c r="EI39" s="1055"/>
      <c r="EJ39" s="1055"/>
      <c r="EK39" s="1055"/>
      <c r="EL39" s="1055"/>
      <c r="EM39" s="643">
        <f>EK39+EI39+EG39+EE39+EC39+EA39+DY39+DW39+DU39+DS39+DQ39+DO39</f>
        <v>1054761000</v>
      </c>
      <c r="EN39" s="643">
        <f>DO39+DQ39+DS39</f>
        <v>291136000</v>
      </c>
      <c r="EO39" s="643">
        <f t="shared" si="113"/>
        <v>240760000</v>
      </c>
      <c r="EP39" s="641">
        <f>DQ39+DS39+DU39+DW39+DY39+EA39+EC39+EE39+EG39+EI39+EK39+DO39</f>
        <v>1054761000</v>
      </c>
      <c r="EQ39" s="641">
        <f t="shared" si="51"/>
        <v>240760000</v>
      </c>
      <c r="ER39" s="1007">
        <f t="shared" si="26"/>
        <v>0</v>
      </c>
      <c r="ES39" s="1007">
        <f t="shared" si="21"/>
        <v>0.82696746537700594</v>
      </c>
      <c r="ET39" s="1016">
        <f t="shared" si="22"/>
        <v>0.22826024094557915</v>
      </c>
      <c r="EU39" s="1016">
        <f t="shared" si="23"/>
        <v>0.96148845591642884</v>
      </c>
      <c r="EV39" s="1016">
        <f t="shared" si="24"/>
        <v>0.80208979282290194</v>
      </c>
      <c r="EW39" s="1057"/>
      <c r="EX39" s="1018"/>
      <c r="EY39" s="1018"/>
      <c r="EZ39" s="1018"/>
      <c r="FA39" s="1018"/>
      <c r="FB39" s="777"/>
      <c r="FC39" s="82"/>
      <c r="FD39" s="82"/>
    </row>
    <row r="40" spans="1:160" ht="31.9" customHeight="1" x14ac:dyDescent="0.25">
      <c r="A40" s="710"/>
      <c r="B40" s="710"/>
      <c r="C40" s="710"/>
      <c r="D40" s="710"/>
      <c r="E40" s="710"/>
      <c r="F40" s="78" t="s">
        <v>344</v>
      </c>
      <c r="G40" s="1012"/>
      <c r="H40" s="1054"/>
      <c r="I40" s="1055"/>
      <c r="J40" s="1055"/>
      <c r="K40" s="1055"/>
      <c r="L40" s="1055"/>
      <c r="M40" s="1055"/>
      <c r="N40" s="1055"/>
      <c r="O40" s="1055"/>
      <c r="P40" s="1055"/>
      <c r="Q40" s="1055"/>
      <c r="R40" s="1055"/>
      <c r="S40" s="1055"/>
      <c r="T40" s="1012"/>
      <c r="U40" s="1012"/>
      <c r="V40" s="1012"/>
      <c r="W40" s="1024">
        <f t="shared" si="100"/>
        <v>0</v>
      </c>
      <c r="X40" s="1024">
        <f t="shared" si="101"/>
        <v>0</v>
      </c>
      <c r="Y40" s="1024">
        <f t="shared" si="102"/>
        <v>0</v>
      </c>
      <c r="Z40" s="1012">
        <f t="shared" si="103"/>
        <v>0</v>
      </c>
      <c r="AA40" s="1012">
        <f t="shared" si="103"/>
        <v>0</v>
      </c>
      <c r="AB40" s="1012"/>
      <c r="AC40" s="1012"/>
      <c r="AD40" s="1012"/>
      <c r="AE40" s="1012"/>
      <c r="AF40" s="1012"/>
      <c r="AG40" s="1012"/>
      <c r="AH40" s="1012"/>
      <c r="AI40" s="1012">
        <v>25354666</v>
      </c>
      <c r="AJ40" s="1012">
        <v>25354666</v>
      </c>
      <c r="AK40" s="1012">
        <v>43348000</v>
      </c>
      <c r="AL40" s="1012">
        <v>43348000</v>
      </c>
      <c r="AM40" s="1012">
        <v>43602990</v>
      </c>
      <c r="AN40" s="1012">
        <v>43348000</v>
      </c>
      <c r="AO40" s="1012">
        <v>43602990</v>
      </c>
      <c r="AP40" s="1012">
        <v>43348000</v>
      </c>
      <c r="AQ40" s="1012">
        <v>43602990</v>
      </c>
      <c r="AR40" s="1012">
        <v>43348000</v>
      </c>
      <c r="AS40" s="1012">
        <v>43602990</v>
      </c>
      <c r="AT40" s="1012">
        <v>43348000</v>
      </c>
      <c r="AU40" s="1012">
        <v>43602990</v>
      </c>
      <c r="AV40" s="1012">
        <v>68100667</v>
      </c>
      <c r="AW40" s="1012">
        <v>43602990</v>
      </c>
      <c r="AX40" s="1012">
        <v>109972000</v>
      </c>
      <c r="AY40" s="1012">
        <v>16767216</v>
      </c>
      <c r="AZ40" s="1012">
        <v>99633600</v>
      </c>
      <c r="BA40" s="1012">
        <f>AW40+AU40+AS40+AQ40+AO40+AM40+AK40+AI40+AG40+AE40+AC40+AY40</f>
        <v>347087822</v>
      </c>
      <c r="BB40" s="1012">
        <f t="shared" si="104"/>
        <v>347087822</v>
      </c>
      <c r="BC40" s="1012">
        <f t="shared" si="105"/>
        <v>519800933</v>
      </c>
      <c r="BD40" s="1012">
        <f>BA40</f>
        <v>347087822</v>
      </c>
      <c r="BE40" s="1012">
        <f t="shared" si="106"/>
        <v>519800933</v>
      </c>
      <c r="BF40" s="1012"/>
      <c r="BG40" s="1012">
        <v>0</v>
      </c>
      <c r="BH40" s="1012">
        <v>0</v>
      </c>
      <c r="BI40" s="1012">
        <v>34425498</v>
      </c>
      <c r="BJ40" s="1012">
        <v>7337300</v>
      </c>
      <c r="BK40" s="1012">
        <v>58666000</v>
      </c>
      <c r="BL40" s="1012">
        <f>68435501-7337300</f>
        <v>61098201</v>
      </c>
      <c r="BM40" s="1012">
        <v>58666000</v>
      </c>
      <c r="BN40" s="1012">
        <v>58666000</v>
      </c>
      <c r="BO40" s="1012">
        <v>58666000</v>
      </c>
      <c r="BP40" s="1012">
        <v>58666000</v>
      </c>
      <c r="BQ40" s="1012">
        <v>58666000</v>
      </c>
      <c r="BR40" s="1012">
        <v>58666000</v>
      </c>
      <c r="BS40" s="1012">
        <v>92331151</v>
      </c>
      <c r="BT40" s="1012">
        <v>55656000</v>
      </c>
      <c r="BU40" s="1012">
        <v>58666000</v>
      </c>
      <c r="BV40" s="1012">
        <v>61676000</v>
      </c>
      <c r="BW40" s="1012">
        <f>58666000</f>
        <v>58666000</v>
      </c>
      <c r="BX40" s="1012">
        <v>90742716.87474829</v>
      </c>
      <c r="BY40" s="1012">
        <f>30343668+9509534</f>
        <v>39853202</v>
      </c>
      <c r="BZ40" s="1012">
        <v>100968295.12525171</v>
      </c>
      <c r="CA40" s="1012">
        <f>21342334+45601468</f>
        <v>66943802</v>
      </c>
      <c r="CB40" s="1012">
        <v>82573000</v>
      </c>
      <c r="CC40" s="1012">
        <f>142309349+51445732+170704+9817396</f>
        <v>203743181</v>
      </c>
      <c r="CD40" s="1012">
        <v>97404991</v>
      </c>
      <c r="CE40" s="1012">
        <f>CA40+BY40+BW40+BU40+BS40+BQ40+BO40+BM40+BK40+BI40+BG40+CC40</f>
        <v>789292834</v>
      </c>
      <c r="CF40" s="1012">
        <f t="shared" si="107"/>
        <v>789292834</v>
      </c>
      <c r="CG40" s="1012">
        <f t="shared" si="108"/>
        <v>733454504</v>
      </c>
      <c r="CH40" s="1012">
        <f>CE40</f>
        <v>789292834</v>
      </c>
      <c r="CI40" s="1012">
        <f t="shared" si="109"/>
        <v>733454504</v>
      </c>
      <c r="CJ40" s="1012"/>
      <c r="CK40" s="1012">
        <v>0</v>
      </c>
      <c r="CL40" s="1012">
        <v>0</v>
      </c>
      <c r="CM40" s="1012">
        <v>0</v>
      </c>
      <c r="CN40" s="1012">
        <v>0</v>
      </c>
      <c r="CO40" s="1012">
        <v>27365765</v>
      </c>
      <c r="CP40" s="1012">
        <v>27365765</v>
      </c>
      <c r="CQ40" s="1012">
        <v>58666000</v>
      </c>
      <c r="CR40" s="1012">
        <v>54085201</v>
      </c>
      <c r="CS40" s="1012">
        <v>58666000</v>
      </c>
      <c r="CT40" s="1012">
        <v>61676000</v>
      </c>
      <c r="CU40" s="1012">
        <v>58666000</v>
      </c>
      <c r="CV40" s="1012">
        <v>54257000</v>
      </c>
      <c r="CW40" s="1012">
        <v>83442500</v>
      </c>
      <c r="CX40" s="1012">
        <v>63075000</v>
      </c>
      <c r="CY40" s="1012">
        <v>108219000</v>
      </c>
      <c r="CZ40" s="1012">
        <v>52706200</v>
      </c>
      <c r="DA40" s="1012">
        <v>108219000</v>
      </c>
      <c r="DB40" s="1012">
        <v>65357101</v>
      </c>
      <c r="DC40" s="1012">
        <f>72824000+24776500</f>
        <v>97600500</v>
      </c>
      <c r="DD40" s="1012">
        <v>95431614</v>
      </c>
      <c r="DE40" s="1012">
        <v>72824000</v>
      </c>
      <c r="DF40" s="1012">
        <v>92466800</v>
      </c>
      <c r="DG40" s="1012">
        <f>256881235-4102301</f>
        <v>252778934</v>
      </c>
      <c r="DH40" s="1012">
        <v>161445599</v>
      </c>
      <c r="DI40" s="1012">
        <f>DE40+DC40+DA40+CY40+CW40+CU40+CS40+CQ40+CO40+CM40+CK40+DG40</f>
        <v>926447699</v>
      </c>
      <c r="DJ40" s="1012">
        <f t="shared" si="110"/>
        <v>926447699</v>
      </c>
      <c r="DK40" s="1012">
        <f t="shared" si="110"/>
        <v>727866280</v>
      </c>
      <c r="DL40" s="1012">
        <f t="shared" si="111"/>
        <v>926447699</v>
      </c>
      <c r="DM40" s="1012">
        <f t="shared" si="112"/>
        <v>727866280</v>
      </c>
      <c r="DN40" s="1012">
        <v>1054761000</v>
      </c>
      <c r="DO40" s="1056"/>
      <c r="DP40" s="1056"/>
      <c r="DQ40" s="1056">
        <v>13323000</v>
      </c>
      <c r="DR40" s="1056"/>
      <c r="DS40" s="1056">
        <f>13323000+55577000</f>
        <v>68900000</v>
      </c>
      <c r="DT40" s="1056">
        <v>18635067</v>
      </c>
      <c r="DU40" s="1056">
        <v>55577000</v>
      </c>
      <c r="DV40" s="1056"/>
      <c r="DW40" s="1056">
        <f>55577000+5597000+9088000</f>
        <v>70262000</v>
      </c>
      <c r="DX40" s="1056"/>
      <c r="DY40" s="1056">
        <f>+EM39-208062000</f>
        <v>846699000</v>
      </c>
      <c r="DZ40" s="1055"/>
      <c r="EA40" s="1055"/>
      <c r="EB40" s="1055"/>
      <c r="EC40" s="1055"/>
      <c r="ED40" s="1055"/>
      <c r="EE40" s="1055"/>
      <c r="EF40" s="1055"/>
      <c r="EG40" s="1055"/>
      <c r="EH40" s="1055"/>
      <c r="EI40" s="1055"/>
      <c r="EJ40" s="1055"/>
      <c r="EK40" s="1055"/>
      <c r="EL40" s="1055"/>
      <c r="EM40" s="643">
        <f>EI40+EG40+EE40+EC40+EA40+DY40+DW40+DU40+DS40+DQ40+DO40+EK40</f>
        <v>1054761000</v>
      </c>
      <c r="EN40" s="643">
        <f t="shared" ref="EN40:EN43" si="114">DO40+DQ40+DS40</f>
        <v>82223000</v>
      </c>
      <c r="EO40" s="643">
        <f t="shared" si="113"/>
        <v>18635067</v>
      </c>
      <c r="EP40" s="641">
        <f>DQ40+DS40+DU40+DW40+DY40+EA40+EC40+EE40+EG40+EI40+EK40</f>
        <v>1054761000</v>
      </c>
      <c r="EQ40" s="641">
        <f t="shared" si="51"/>
        <v>18635067</v>
      </c>
      <c r="ER40" s="1007">
        <f t="shared" si="26"/>
        <v>0.27046541364296084</v>
      </c>
      <c r="ES40" s="1007">
        <f t="shared" si="21"/>
        <v>0.22664056285954051</v>
      </c>
      <c r="ET40" s="1016">
        <f t="shared" si="22"/>
        <v>1.7667573033132624E-2</v>
      </c>
      <c r="EU40" s="1016">
        <f t="shared" si="23"/>
        <v>0.93226522495075648</v>
      </c>
      <c r="EV40" s="1016">
        <f>IFERROR((AA40+BE40+CI40+DM40+EQ40)/G40,0)</f>
        <v>0</v>
      </c>
      <c r="EW40" s="1057"/>
      <c r="EX40" s="1018"/>
      <c r="EY40" s="1018"/>
      <c r="EZ40" s="1018"/>
      <c r="FA40" s="1018"/>
      <c r="FB40" s="777"/>
      <c r="FC40" s="82"/>
      <c r="FD40" s="82"/>
    </row>
    <row r="41" spans="1:160" ht="31.9" customHeight="1" x14ac:dyDescent="0.25">
      <c r="A41" s="710"/>
      <c r="B41" s="710"/>
      <c r="C41" s="710"/>
      <c r="D41" s="710"/>
      <c r="E41" s="710"/>
      <c r="F41" s="79" t="s">
        <v>345</v>
      </c>
      <c r="G41" s="1020">
        <f>AA41+BE41+CI41+DM41+EP41</f>
        <v>0</v>
      </c>
      <c r="H41" s="1058"/>
      <c r="I41" s="1023"/>
      <c r="J41" s="1023"/>
      <c r="K41" s="1023"/>
      <c r="L41" s="1023"/>
      <c r="M41" s="1023"/>
      <c r="N41" s="1023"/>
      <c r="O41" s="1023"/>
      <c r="P41" s="1023"/>
      <c r="Q41" s="1023"/>
      <c r="R41" s="1023"/>
      <c r="S41" s="1023"/>
      <c r="T41" s="1023"/>
      <c r="U41" s="1023"/>
      <c r="V41" s="1023"/>
      <c r="W41" s="1024">
        <f t="shared" si="100"/>
        <v>0</v>
      </c>
      <c r="X41" s="1024">
        <f t="shared" si="101"/>
        <v>0</v>
      </c>
      <c r="Y41" s="1024">
        <f t="shared" si="102"/>
        <v>0</v>
      </c>
      <c r="Z41" s="1024">
        <f t="shared" si="103"/>
        <v>0</v>
      </c>
      <c r="AA41" s="1024">
        <f t="shared" si="103"/>
        <v>0</v>
      </c>
      <c r="AB41" s="1025"/>
      <c r="AC41" s="1025"/>
      <c r="AD41" s="1025"/>
      <c r="AE41" s="1025"/>
      <c r="AF41" s="1025"/>
      <c r="AG41" s="1025"/>
      <c r="AH41" s="1025"/>
      <c r="AI41" s="1025"/>
      <c r="AJ41" s="1025"/>
      <c r="AK41" s="1023"/>
      <c r="AL41" s="1023"/>
      <c r="AM41" s="1023"/>
      <c r="AN41" s="1023"/>
      <c r="AO41" s="1059"/>
      <c r="AP41" s="1023"/>
      <c r="AQ41" s="1023"/>
      <c r="AR41" s="1023"/>
      <c r="AS41" s="1023"/>
      <c r="AT41" s="1023"/>
      <c r="AU41" s="1023"/>
      <c r="AV41" s="1023"/>
      <c r="AW41" s="1023"/>
      <c r="AX41" s="1023"/>
      <c r="AY41" s="1059"/>
      <c r="AZ41" s="1055"/>
      <c r="BA41" s="1020">
        <v>0</v>
      </c>
      <c r="BB41" s="1024">
        <f t="shared" si="104"/>
        <v>0</v>
      </c>
      <c r="BC41" s="1024">
        <f t="shared" si="105"/>
        <v>0</v>
      </c>
      <c r="BD41" s="1024">
        <f>AC41+AE41+AG41+AI41+AK41+AM41+AO41+AQ41+AS41+AU41+AW41+AY41</f>
        <v>0</v>
      </c>
      <c r="BE41" s="1024">
        <f t="shared" si="106"/>
        <v>0</v>
      </c>
      <c r="BF41" s="1023"/>
      <c r="BG41" s="1023"/>
      <c r="BH41" s="1023"/>
      <c r="BI41" s="1023"/>
      <c r="BJ41" s="1030"/>
      <c r="BK41" s="1023"/>
      <c r="BL41" s="1023"/>
      <c r="BM41" s="1023"/>
      <c r="BN41" s="1023"/>
      <c r="BO41" s="1023"/>
      <c r="BP41" s="1023"/>
      <c r="BQ41" s="1023"/>
      <c r="BR41" s="1023"/>
      <c r="BS41" s="1023"/>
      <c r="BT41" s="1023"/>
      <c r="BU41" s="1023"/>
      <c r="BV41" s="1023"/>
      <c r="BW41" s="1023"/>
      <c r="BX41" s="1023"/>
      <c r="BY41" s="1023"/>
      <c r="BZ41" s="1023"/>
      <c r="CA41" s="1023"/>
      <c r="CB41" s="1023"/>
      <c r="CC41" s="1023"/>
      <c r="CD41" s="1023"/>
      <c r="CE41" s="1020">
        <v>0</v>
      </c>
      <c r="CF41" s="1024">
        <f t="shared" si="107"/>
        <v>0</v>
      </c>
      <c r="CG41" s="1024">
        <f t="shared" si="108"/>
        <v>0</v>
      </c>
      <c r="CH41" s="1024">
        <f>BG41+BI41+BK41+BM41+BO41+BQ41+BS41+BU41+BW41+BY41+CA41+CC41</f>
        <v>0</v>
      </c>
      <c r="CI41" s="1024">
        <f t="shared" si="109"/>
        <v>0</v>
      </c>
      <c r="CJ41" s="1023"/>
      <c r="CK41" s="1023"/>
      <c r="CL41" s="1023"/>
      <c r="CM41" s="1023"/>
      <c r="CN41" s="1023"/>
      <c r="CO41" s="1023"/>
      <c r="CP41" s="1023"/>
      <c r="CQ41" s="1023"/>
      <c r="CR41" s="1023"/>
      <c r="CS41" s="1023"/>
      <c r="CT41" s="1023"/>
      <c r="CU41" s="1023"/>
      <c r="CV41" s="1023"/>
      <c r="CW41" s="1023"/>
      <c r="CX41" s="1023"/>
      <c r="CY41" s="1023"/>
      <c r="CZ41" s="1023"/>
      <c r="DA41" s="1023"/>
      <c r="DB41" s="1023"/>
      <c r="DC41" s="1023"/>
      <c r="DD41" s="1023"/>
      <c r="DE41" s="1023"/>
      <c r="DF41" s="1023"/>
      <c r="DG41" s="1023"/>
      <c r="DH41" s="1023"/>
      <c r="DI41" s="1020">
        <f>DE41+DC41+DA41+CY41+CW41+CU41+CS41+CQ41+CO41+CM41+CK41+DG41</f>
        <v>0</v>
      </c>
      <c r="DJ41" s="1028">
        <f t="shared" si="110"/>
        <v>0</v>
      </c>
      <c r="DK41" s="1028">
        <f t="shared" si="110"/>
        <v>0</v>
      </c>
      <c r="DL41" s="1020">
        <f t="shared" si="111"/>
        <v>0</v>
      </c>
      <c r="DM41" s="1020">
        <f t="shared" si="112"/>
        <v>0</v>
      </c>
      <c r="DN41" s="1023"/>
      <c r="DO41" s="1060"/>
      <c r="DP41" s="1061"/>
      <c r="DQ41" s="1060"/>
      <c r="DR41" s="1060"/>
      <c r="DS41" s="1060"/>
      <c r="DT41" s="1060"/>
      <c r="DU41" s="1060"/>
      <c r="DV41" s="1060"/>
      <c r="DW41" s="1060"/>
      <c r="DX41" s="1060"/>
      <c r="DY41" s="1060"/>
      <c r="DZ41" s="1023"/>
      <c r="EA41" s="1023"/>
      <c r="EB41" s="1023"/>
      <c r="EC41" s="1023"/>
      <c r="ED41" s="1023"/>
      <c r="EE41" s="1023"/>
      <c r="EF41" s="1023"/>
      <c r="EG41" s="1023"/>
      <c r="EH41" s="1023"/>
      <c r="EI41" s="1023"/>
      <c r="EJ41" s="1023"/>
      <c r="EK41" s="1023"/>
      <c r="EL41" s="1023"/>
      <c r="EM41" s="1006">
        <f>EI41+EG41+EE41+EC41+EA41+DY41+DW41+DU41+DS41+DQ41+DO41+EK41</f>
        <v>0</v>
      </c>
      <c r="EN41" s="1020">
        <f t="shared" si="114"/>
        <v>0</v>
      </c>
      <c r="EO41" s="1030">
        <f t="shared" si="113"/>
        <v>0</v>
      </c>
      <c r="EP41" s="1031">
        <f>DQ41+DS41+DU41+DW41+DY41+EA41+EC41+EE41+EG41+EI41+EK41</f>
        <v>0</v>
      </c>
      <c r="EQ41" s="1006">
        <f t="shared" si="51"/>
        <v>0</v>
      </c>
      <c r="ER41" s="1007">
        <f t="shared" si="26"/>
        <v>0</v>
      </c>
      <c r="ES41" s="1007">
        <f>IFERROR(EO41/EN41,0)</f>
        <v>0</v>
      </c>
      <c r="ET41" s="1016">
        <f>IFERROR(EQ41/EP41,0)</f>
        <v>0</v>
      </c>
      <c r="EU41" s="1016">
        <f>IFERROR((AA41+BE41+CI41+DM41+EO41)/(Z41+BD41+CH41+DL41+EN41),0)</f>
        <v>0</v>
      </c>
      <c r="EV41" s="1016">
        <f>IFERROR((AA41+BE41+CI41+DM41+EQ41)/G41,0)</f>
        <v>0</v>
      </c>
      <c r="EW41" s="1057"/>
      <c r="EX41" s="1018"/>
      <c r="EY41" s="1018"/>
      <c r="EZ41" s="1018"/>
      <c r="FA41" s="1018"/>
      <c r="FB41" s="777"/>
      <c r="FC41" s="75"/>
      <c r="FD41" s="75"/>
    </row>
    <row r="42" spans="1:160" ht="31.9" customHeight="1" x14ac:dyDescent="0.25">
      <c r="A42" s="710"/>
      <c r="B42" s="710"/>
      <c r="C42" s="710"/>
      <c r="D42" s="710"/>
      <c r="E42" s="710"/>
      <c r="F42" s="80" t="s">
        <v>346</v>
      </c>
      <c r="G42" s="641">
        <f>AA42+BE42+CI42+DM42+EP42</f>
        <v>619293803</v>
      </c>
      <c r="H42" s="1054"/>
      <c r="I42" s="1055"/>
      <c r="J42" s="1055"/>
      <c r="K42" s="1055"/>
      <c r="L42" s="1055"/>
      <c r="M42" s="1055"/>
      <c r="N42" s="1055"/>
      <c r="O42" s="1055"/>
      <c r="P42" s="1055"/>
      <c r="Q42" s="1055"/>
      <c r="R42" s="1055"/>
      <c r="S42" s="1055"/>
      <c r="T42" s="1012"/>
      <c r="U42" s="1012"/>
      <c r="V42" s="1012"/>
      <c r="W42" s="1024">
        <f t="shared" si="100"/>
        <v>0</v>
      </c>
      <c r="X42" s="1024">
        <f t="shared" si="101"/>
        <v>0</v>
      </c>
      <c r="Y42" s="1024">
        <f t="shared" si="102"/>
        <v>0</v>
      </c>
      <c r="Z42" s="1012">
        <f t="shared" si="103"/>
        <v>0</v>
      </c>
      <c r="AA42" s="1012">
        <f t="shared" si="103"/>
        <v>0</v>
      </c>
      <c r="AB42" s="1012">
        <v>249150644</v>
      </c>
      <c r="AC42" s="1012">
        <v>35177075</v>
      </c>
      <c r="AD42" s="1012">
        <v>35177075</v>
      </c>
      <c r="AE42" s="1012">
        <f>84962626-AD42</f>
        <v>49785551</v>
      </c>
      <c r="AF42" s="1012">
        <v>49785551</v>
      </c>
      <c r="AG42" s="1012">
        <f>130802560-AD42-AF42</f>
        <v>45839934</v>
      </c>
      <c r="AH42" s="1012">
        <v>45839934</v>
      </c>
      <c r="AI42" s="1012">
        <f>195030200-AD42-AF42-AH42</f>
        <v>64227640</v>
      </c>
      <c r="AJ42" s="1012">
        <v>64227640</v>
      </c>
      <c r="AK42" s="1012">
        <v>0</v>
      </c>
      <c r="AL42" s="1012">
        <v>0</v>
      </c>
      <c r="AM42" s="1012">
        <v>22048577</v>
      </c>
      <c r="AN42" s="1012">
        <v>22048577</v>
      </c>
      <c r="AO42" s="1012">
        <v>32011000</v>
      </c>
      <c r="AP42" s="1012">
        <v>32011000</v>
      </c>
      <c r="AQ42" s="1012">
        <v>60867</v>
      </c>
      <c r="AR42" s="1012">
        <v>0</v>
      </c>
      <c r="AS42" s="1012">
        <v>0</v>
      </c>
      <c r="AT42" s="1012">
        <v>0</v>
      </c>
      <c r="AU42" s="1012">
        <v>-60867</v>
      </c>
      <c r="AV42" s="1012">
        <v>0</v>
      </c>
      <c r="AW42" s="1012"/>
      <c r="AX42" s="1012">
        <v>0</v>
      </c>
      <c r="AY42" s="1012"/>
      <c r="AZ42" s="1012">
        <v>0</v>
      </c>
      <c r="BA42" s="1012">
        <f>AC42+AE42+AG42+AI42+AK42+AM42+AO42+AQ42+AS42+AU42+AW42+AY42</f>
        <v>249089777</v>
      </c>
      <c r="BB42" s="1012">
        <f t="shared" si="104"/>
        <v>249089777</v>
      </c>
      <c r="BC42" s="1012">
        <f t="shared" si="105"/>
        <v>249089777</v>
      </c>
      <c r="BD42" s="1012">
        <f>BA42</f>
        <v>249089777</v>
      </c>
      <c r="BE42" s="1012">
        <f t="shared" si="106"/>
        <v>249089777</v>
      </c>
      <c r="BF42" s="1012">
        <v>116097967</v>
      </c>
      <c r="BG42" s="1012">
        <v>57004267</v>
      </c>
      <c r="BH42" s="1012">
        <v>57004267</v>
      </c>
      <c r="BI42" s="1012">
        <v>42206367</v>
      </c>
      <c r="BJ42" s="1012">
        <v>49146367</v>
      </c>
      <c r="BK42" s="1012">
        <v>0</v>
      </c>
      <c r="BL42" s="1012">
        <v>0</v>
      </c>
      <c r="BM42" s="1012">
        <v>16887333</v>
      </c>
      <c r="BN42" s="1012">
        <v>6940000</v>
      </c>
      <c r="BO42" s="1012">
        <v>0</v>
      </c>
      <c r="BP42" s="1012">
        <v>3007333</v>
      </c>
      <c r="BQ42" s="1012">
        <v>0</v>
      </c>
      <c r="BR42" s="1012">
        <v>0</v>
      </c>
      <c r="BS42" s="1012">
        <v>0</v>
      </c>
      <c r="BT42" s="1012">
        <v>0</v>
      </c>
      <c r="BU42" s="1012">
        <v>0</v>
      </c>
      <c r="BV42" s="1012">
        <v>0</v>
      </c>
      <c r="BW42" s="1012">
        <v>0</v>
      </c>
      <c r="BX42" s="1012"/>
      <c r="BY42" s="1012">
        <v>0</v>
      </c>
      <c r="BZ42" s="1012">
        <v>0</v>
      </c>
      <c r="CA42" s="1012">
        <v>0</v>
      </c>
      <c r="CB42" s="1012">
        <v>0</v>
      </c>
      <c r="CC42" s="1012">
        <v>0</v>
      </c>
      <c r="CD42" s="1012"/>
      <c r="CE42" s="1012">
        <f>BG42+BI42+BK42+BM42+BO42+BQ42+BS42+BU42+BW42+BY42+CA42+CC42</f>
        <v>116097967</v>
      </c>
      <c r="CF42" s="1012">
        <f t="shared" si="107"/>
        <v>116097967</v>
      </c>
      <c r="CG42" s="1012">
        <f t="shared" si="108"/>
        <v>116097967</v>
      </c>
      <c r="CH42" s="1012">
        <f>CE42</f>
        <v>116097967</v>
      </c>
      <c r="CI42" s="1012">
        <f t="shared" si="109"/>
        <v>116097967</v>
      </c>
      <c r="CJ42" s="1012">
        <v>55747063</v>
      </c>
      <c r="CK42" s="1012">
        <v>19530933</v>
      </c>
      <c r="CL42" s="1012">
        <v>19530933</v>
      </c>
      <c r="CM42" s="1012">
        <v>19014499</v>
      </c>
      <c r="CN42" s="1012">
        <v>19014499</v>
      </c>
      <c r="CO42" s="1012">
        <v>0</v>
      </c>
      <c r="CP42" s="1012">
        <v>0</v>
      </c>
      <c r="CQ42" s="1012"/>
      <c r="CR42" s="1012">
        <v>0</v>
      </c>
      <c r="CS42" s="1012">
        <v>17201631</v>
      </c>
      <c r="CT42" s="1012">
        <v>2071277</v>
      </c>
      <c r="CU42" s="1012"/>
      <c r="CV42" s="1012"/>
      <c r="CW42" s="1012"/>
      <c r="CX42" s="1012">
        <v>225171</v>
      </c>
      <c r="CY42" s="1012"/>
      <c r="CZ42" s="1012"/>
      <c r="DA42" s="1012"/>
      <c r="DB42" s="1012"/>
      <c r="DC42" s="1012"/>
      <c r="DD42" s="1012">
        <v>14869824</v>
      </c>
      <c r="DE42" s="1012"/>
      <c r="DF42" s="1012"/>
      <c r="DG42" s="1012">
        <v>-35359</v>
      </c>
      <c r="DH42" s="1012"/>
      <c r="DI42" s="1012">
        <f>DE42+DC42+DA42+CY42+CW42+CU42+CS42+CQ42+CO42+CM42+CK42+DG42</f>
        <v>55711704</v>
      </c>
      <c r="DJ42" s="1012">
        <f t="shared" si="110"/>
        <v>55711704</v>
      </c>
      <c r="DK42" s="1012">
        <f t="shared" si="110"/>
        <v>55711704</v>
      </c>
      <c r="DL42" s="1012">
        <f t="shared" si="111"/>
        <v>55711704</v>
      </c>
      <c r="DM42" s="1012">
        <f t="shared" si="112"/>
        <v>55711704</v>
      </c>
      <c r="DN42" s="1012">
        <v>198394355</v>
      </c>
      <c r="DO42" s="1056">
        <v>79500803</v>
      </c>
      <c r="DP42" s="1056">
        <v>79500803</v>
      </c>
      <c r="DQ42" s="1056">
        <v>7032999</v>
      </c>
      <c r="DR42" s="1056">
        <v>47408802</v>
      </c>
      <c r="DS42" s="1056"/>
      <c r="DT42" s="1056">
        <v>8568043</v>
      </c>
      <c r="DU42" s="1056"/>
      <c r="DV42" s="1056"/>
      <c r="DW42" s="1056">
        <v>61860553.000000007</v>
      </c>
      <c r="DX42" s="1056"/>
      <c r="DY42" s="1056">
        <v>50000000</v>
      </c>
      <c r="DZ42" s="1015"/>
      <c r="EA42" s="1015"/>
      <c r="EB42" s="1015"/>
      <c r="EC42" s="1015"/>
      <c r="ED42" s="1015"/>
      <c r="EE42" s="1015"/>
      <c r="EF42" s="1015"/>
      <c r="EG42" s="1015"/>
      <c r="EH42" s="1015"/>
      <c r="EI42" s="1015"/>
      <c r="EJ42" s="1015"/>
      <c r="EK42" s="1015"/>
      <c r="EL42" s="1015"/>
      <c r="EM42" s="643">
        <f>EI42+EG42+EE42+EC42+EA42+DY42+DW42+DU42+DS42+DQ42+DO42+EK42</f>
        <v>198394355</v>
      </c>
      <c r="EN42" s="643">
        <f t="shared" si="114"/>
        <v>86533802</v>
      </c>
      <c r="EO42" s="643">
        <f t="shared" si="113"/>
        <v>135477648</v>
      </c>
      <c r="EP42" s="641">
        <f>DQ42+DS42+DU42+DW42+DY42+EA42+EC42+EE42+EG42+EI42+EK42+DO42</f>
        <v>198394355</v>
      </c>
      <c r="EQ42" s="641">
        <f t="shared" si="51"/>
        <v>135477648</v>
      </c>
      <c r="ER42" s="1007">
        <f t="shared" si="26"/>
        <v>0</v>
      </c>
      <c r="ES42" s="1007">
        <f t="shared" si="21"/>
        <v>1.5656037856744121</v>
      </c>
      <c r="ET42" s="1016">
        <f t="shared" si="22"/>
        <v>0.68287047784197286</v>
      </c>
      <c r="EU42" s="1016">
        <f t="shared" si="23"/>
        <v>1.0964537621450703</v>
      </c>
      <c r="EV42" s="1016">
        <f t="shared" si="24"/>
        <v>0.89840572165389487</v>
      </c>
      <c r="EW42" s="1057"/>
      <c r="EX42" s="1018"/>
      <c r="EY42" s="1018"/>
      <c r="EZ42" s="1018"/>
      <c r="FA42" s="1018"/>
      <c r="FB42" s="777"/>
      <c r="FC42" s="75"/>
      <c r="FD42" s="75"/>
    </row>
    <row r="43" spans="1:160" ht="31.9" customHeight="1" thickBot="1" x14ac:dyDescent="0.3">
      <c r="A43" s="710"/>
      <c r="B43" s="710"/>
      <c r="C43" s="710"/>
      <c r="D43" s="710"/>
      <c r="E43" s="710"/>
      <c r="F43" s="79" t="s">
        <v>347</v>
      </c>
      <c r="G43" s="1033">
        <f>G38+G41</f>
        <v>800</v>
      </c>
      <c r="H43" s="1062">
        <v>50</v>
      </c>
      <c r="I43" s="1063"/>
      <c r="J43" s="1063"/>
      <c r="K43" s="1063">
        <v>50</v>
      </c>
      <c r="L43" s="1063">
        <v>0</v>
      </c>
      <c r="M43" s="1063">
        <v>50</v>
      </c>
      <c r="N43" s="1064">
        <v>5</v>
      </c>
      <c r="O43" s="1063">
        <v>50</v>
      </c>
      <c r="P43" s="1064">
        <v>10</v>
      </c>
      <c r="Q43" s="1063">
        <v>50</v>
      </c>
      <c r="R43" s="1065">
        <v>30</v>
      </c>
      <c r="S43" s="1063">
        <v>50</v>
      </c>
      <c r="T43" s="1039">
        <v>45</v>
      </c>
      <c r="U43" s="1033">
        <v>50</v>
      </c>
      <c r="V43" s="1033">
        <v>50</v>
      </c>
      <c r="W43" s="1038">
        <f t="shared" si="100"/>
        <v>50</v>
      </c>
      <c r="X43" s="1038">
        <f t="shared" si="101"/>
        <v>50</v>
      </c>
      <c r="Y43" s="1038">
        <f t="shared" si="102"/>
        <v>50</v>
      </c>
      <c r="Z43" s="1038">
        <f t="shared" si="103"/>
        <v>50</v>
      </c>
      <c r="AA43" s="1038">
        <f t="shared" si="103"/>
        <v>50</v>
      </c>
      <c r="AB43" s="1033">
        <v>160</v>
      </c>
      <c r="AC43" s="1033">
        <v>20</v>
      </c>
      <c r="AD43" s="1033">
        <v>20</v>
      </c>
      <c r="AE43" s="1039">
        <v>20</v>
      </c>
      <c r="AF43" s="1039">
        <v>20</v>
      </c>
      <c r="AG43" s="1039">
        <v>5</v>
      </c>
      <c r="AH43" s="1039">
        <v>5</v>
      </c>
      <c r="AI43" s="1039">
        <v>5</v>
      </c>
      <c r="AJ43" s="1039">
        <v>5</v>
      </c>
      <c r="AK43" s="1039">
        <v>5</v>
      </c>
      <c r="AL43" s="1039">
        <v>5</v>
      </c>
      <c r="AM43" s="1039">
        <v>2</v>
      </c>
      <c r="AN43" s="1039">
        <v>2</v>
      </c>
      <c r="AO43" s="1039">
        <v>2</v>
      </c>
      <c r="AP43" s="1039">
        <v>2</v>
      </c>
      <c r="AQ43" s="1039">
        <v>2</v>
      </c>
      <c r="AR43" s="1039">
        <v>2</v>
      </c>
      <c r="AS43" s="1039">
        <v>15</v>
      </c>
      <c r="AT43" s="1039">
        <v>15</v>
      </c>
      <c r="AU43" s="1039">
        <v>30</v>
      </c>
      <c r="AV43" s="1039">
        <v>30</v>
      </c>
      <c r="AW43" s="1039">
        <v>34</v>
      </c>
      <c r="AX43" s="1039">
        <v>34</v>
      </c>
      <c r="AY43" s="1039">
        <v>20</v>
      </c>
      <c r="AZ43" s="1039">
        <v>20</v>
      </c>
      <c r="BA43" s="1039">
        <f>BA38+BA41</f>
        <v>160</v>
      </c>
      <c r="BB43" s="1038">
        <f t="shared" si="104"/>
        <v>160</v>
      </c>
      <c r="BC43" s="1038">
        <f t="shared" si="105"/>
        <v>160</v>
      </c>
      <c r="BD43" s="1038">
        <f>BD38+BD41</f>
        <v>160</v>
      </c>
      <c r="BE43" s="1038">
        <f t="shared" si="106"/>
        <v>160</v>
      </c>
      <c r="BF43" s="1039">
        <v>190</v>
      </c>
      <c r="BG43" s="1039">
        <f t="shared" ref="BG43:CD43" si="115">+BG38</f>
        <v>0</v>
      </c>
      <c r="BH43" s="1039">
        <f t="shared" si="115"/>
        <v>0</v>
      </c>
      <c r="BI43" s="1039">
        <f t="shared" si="115"/>
        <v>20</v>
      </c>
      <c r="BJ43" s="1039">
        <f t="shared" si="115"/>
        <v>20</v>
      </c>
      <c r="BK43" s="1039">
        <f t="shared" si="115"/>
        <v>20</v>
      </c>
      <c r="BL43" s="1039">
        <f t="shared" si="115"/>
        <v>20</v>
      </c>
      <c r="BM43" s="1039">
        <f t="shared" si="115"/>
        <v>10</v>
      </c>
      <c r="BN43" s="1039">
        <f t="shared" si="115"/>
        <v>10</v>
      </c>
      <c r="BO43" s="1039">
        <f t="shared" si="115"/>
        <v>10</v>
      </c>
      <c r="BP43" s="1039">
        <f t="shared" si="115"/>
        <v>10</v>
      </c>
      <c r="BQ43" s="1039">
        <f t="shared" si="115"/>
        <v>10</v>
      </c>
      <c r="BR43" s="1039">
        <f t="shared" si="115"/>
        <v>10</v>
      </c>
      <c r="BS43" s="1039">
        <f t="shared" si="115"/>
        <v>5</v>
      </c>
      <c r="BT43" s="1039">
        <f t="shared" si="115"/>
        <v>5</v>
      </c>
      <c r="BU43" s="1039">
        <f t="shared" si="115"/>
        <v>5</v>
      </c>
      <c r="BV43" s="1039">
        <f t="shared" si="115"/>
        <v>5</v>
      </c>
      <c r="BW43" s="1039">
        <f t="shared" si="115"/>
        <v>30</v>
      </c>
      <c r="BX43" s="1039">
        <f t="shared" si="115"/>
        <v>30</v>
      </c>
      <c r="BY43" s="1039">
        <f t="shared" si="115"/>
        <v>30</v>
      </c>
      <c r="BZ43" s="1039">
        <f t="shared" si="115"/>
        <v>30</v>
      </c>
      <c r="CA43" s="1039">
        <f t="shared" si="115"/>
        <v>30</v>
      </c>
      <c r="CB43" s="1039">
        <f t="shared" si="115"/>
        <v>30</v>
      </c>
      <c r="CC43" s="1039">
        <f t="shared" si="115"/>
        <v>20</v>
      </c>
      <c r="CD43" s="1039">
        <f t="shared" si="115"/>
        <v>20</v>
      </c>
      <c r="CE43" s="1039">
        <f>CE38+CE41</f>
        <v>190</v>
      </c>
      <c r="CF43" s="1038">
        <f t="shared" si="107"/>
        <v>190</v>
      </c>
      <c r="CG43" s="1038">
        <f t="shared" si="108"/>
        <v>190</v>
      </c>
      <c r="CH43" s="1038">
        <f>CH38+CH41</f>
        <v>190</v>
      </c>
      <c r="CI43" s="1038">
        <f t="shared" si="109"/>
        <v>190</v>
      </c>
      <c r="CJ43" s="1039">
        <v>290</v>
      </c>
      <c r="CK43" s="1039">
        <f t="shared" ref="CK43:DH43" si="116">+CK38</f>
        <v>0</v>
      </c>
      <c r="CL43" s="1039">
        <f t="shared" si="116"/>
        <v>0</v>
      </c>
      <c r="CM43" s="1039">
        <f t="shared" si="116"/>
        <v>10</v>
      </c>
      <c r="CN43" s="1039">
        <f t="shared" si="116"/>
        <v>10</v>
      </c>
      <c r="CO43" s="1039">
        <f t="shared" si="116"/>
        <v>20</v>
      </c>
      <c r="CP43" s="1039">
        <f t="shared" si="116"/>
        <v>20</v>
      </c>
      <c r="CQ43" s="1039">
        <f t="shared" si="116"/>
        <v>30</v>
      </c>
      <c r="CR43" s="1039">
        <f t="shared" si="116"/>
        <v>30</v>
      </c>
      <c r="CS43" s="1039">
        <f t="shared" si="116"/>
        <v>30</v>
      </c>
      <c r="CT43" s="1039">
        <f t="shared" si="116"/>
        <v>30</v>
      </c>
      <c r="CU43" s="1039">
        <f t="shared" si="116"/>
        <v>30</v>
      </c>
      <c r="CV43" s="1039">
        <f t="shared" si="116"/>
        <v>30</v>
      </c>
      <c r="CW43" s="1039">
        <f t="shared" si="116"/>
        <v>10</v>
      </c>
      <c r="CX43" s="1039">
        <f t="shared" si="116"/>
        <v>10</v>
      </c>
      <c r="CY43" s="1039">
        <f t="shared" si="116"/>
        <v>10</v>
      </c>
      <c r="CZ43" s="1039">
        <f t="shared" si="116"/>
        <v>10</v>
      </c>
      <c r="DA43" s="1039">
        <f t="shared" si="116"/>
        <v>40</v>
      </c>
      <c r="DB43" s="1039">
        <f t="shared" si="116"/>
        <v>40</v>
      </c>
      <c r="DC43" s="1039">
        <f t="shared" si="116"/>
        <v>40</v>
      </c>
      <c r="DD43" s="1039">
        <f t="shared" si="116"/>
        <v>40</v>
      </c>
      <c r="DE43" s="1039">
        <f t="shared" si="116"/>
        <v>40</v>
      </c>
      <c r="DF43" s="1039">
        <f t="shared" si="116"/>
        <v>40</v>
      </c>
      <c r="DG43" s="1039">
        <f t="shared" si="116"/>
        <v>30</v>
      </c>
      <c r="DH43" s="1039">
        <f t="shared" si="116"/>
        <v>30</v>
      </c>
      <c r="DI43" s="1039">
        <f>DE43+DC43+DA43+CY43+CW43+CU43+CS43+CQ43+CO43+CM43+CK43+DG43</f>
        <v>290</v>
      </c>
      <c r="DJ43" s="1042">
        <f t="shared" si="110"/>
        <v>290</v>
      </c>
      <c r="DK43" s="1042">
        <f t="shared" si="110"/>
        <v>290</v>
      </c>
      <c r="DL43" s="1038">
        <f t="shared" si="111"/>
        <v>290</v>
      </c>
      <c r="DM43" s="1039">
        <f t="shared" si="112"/>
        <v>290</v>
      </c>
      <c r="DN43" s="1039">
        <f>DN38</f>
        <v>110</v>
      </c>
      <c r="DO43" s="1066">
        <f>+DO38</f>
        <v>30</v>
      </c>
      <c r="DP43" s="1066">
        <f t="shared" ref="DP43:DZ43" si="117">+DP38</f>
        <v>30</v>
      </c>
      <c r="DQ43" s="1066">
        <f t="shared" si="117"/>
        <v>10</v>
      </c>
      <c r="DR43" s="1066">
        <f t="shared" si="117"/>
        <v>10</v>
      </c>
      <c r="DS43" s="1066">
        <f t="shared" si="117"/>
        <v>25</v>
      </c>
      <c r="DT43" s="1066">
        <f t="shared" si="117"/>
        <v>25</v>
      </c>
      <c r="DU43" s="1066">
        <f t="shared" si="117"/>
        <v>20</v>
      </c>
      <c r="DV43" s="1066">
        <f t="shared" si="117"/>
        <v>0</v>
      </c>
      <c r="DW43" s="1066">
        <f t="shared" si="117"/>
        <v>20</v>
      </c>
      <c r="DX43" s="1066">
        <f t="shared" si="117"/>
        <v>0</v>
      </c>
      <c r="DY43" s="1066">
        <f t="shared" si="117"/>
        <v>5</v>
      </c>
      <c r="DZ43" s="1066">
        <f t="shared" si="117"/>
        <v>0</v>
      </c>
      <c r="EA43" s="1039"/>
      <c r="EB43" s="1039"/>
      <c r="EC43" s="1039"/>
      <c r="ED43" s="1039"/>
      <c r="EE43" s="1039"/>
      <c r="EF43" s="1039"/>
      <c r="EG43" s="1039"/>
      <c r="EH43" s="1039"/>
      <c r="EI43" s="1039"/>
      <c r="EJ43" s="1039"/>
      <c r="EK43" s="1039"/>
      <c r="EL43" s="1039"/>
      <c r="EM43" s="1039">
        <f>EI43+EG43+EE43+EC43+EA43+DY43+DW43+DU43+DS43+DQ43+DO43+EK43</f>
        <v>110</v>
      </c>
      <c r="EN43" s="1033">
        <f t="shared" si="114"/>
        <v>65</v>
      </c>
      <c r="EO43" s="1044">
        <f t="shared" si="113"/>
        <v>65</v>
      </c>
      <c r="EP43" s="1067">
        <f>DQ43+DS43+DU43+DW43+DY43+EA43+EC43+EE43+EG43+EI43+EK43+DO43</f>
        <v>110</v>
      </c>
      <c r="EQ43" s="1039">
        <f t="shared" si="51"/>
        <v>65</v>
      </c>
      <c r="ER43" s="1045">
        <f t="shared" si="26"/>
        <v>1</v>
      </c>
      <c r="ES43" s="1045">
        <f t="shared" si="21"/>
        <v>1</v>
      </c>
      <c r="ET43" s="1046">
        <f t="shared" si="22"/>
        <v>0.59090909090909094</v>
      </c>
      <c r="EU43" s="1046">
        <f t="shared" si="23"/>
        <v>1</v>
      </c>
      <c r="EV43" s="1046">
        <f t="shared" si="24"/>
        <v>0.94374999999999998</v>
      </c>
      <c r="EW43" s="1057"/>
      <c r="EX43" s="1018"/>
      <c r="EY43" s="1018"/>
      <c r="EZ43" s="1018"/>
      <c r="FA43" s="1018"/>
      <c r="FB43" s="777"/>
      <c r="FC43" s="75"/>
      <c r="FD43" s="75"/>
    </row>
    <row r="44" spans="1:160" ht="31.9" customHeight="1" thickBot="1" x14ac:dyDescent="0.3">
      <c r="A44" s="710"/>
      <c r="B44" s="731"/>
      <c r="C44" s="731"/>
      <c r="D44" s="731"/>
      <c r="E44" s="731"/>
      <c r="F44" s="81" t="s">
        <v>348</v>
      </c>
      <c r="G44" s="646">
        <f>G39+G42</f>
        <v>4732275198</v>
      </c>
      <c r="H44" s="647">
        <f t="shared" ref="H44:DM44" si="118">H39+H42</f>
        <v>668935490</v>
      </c>
      <c r="I44" s="647">
        <f t="shared" si="118"/>
        <v>0</v>
      </c>
      <c r="J44" s="647">
        <f t="shared" si="118"/>
        <v>0</v>
      </c>
      <c r="K44" s="647">
        <f t="shared" si="118"/>
        <v>668935490</v>
      </c>
      <c r="L44" s="647">
        <f t="shared" si="118"/>
        <v>328110000</v>
      </c>
      <c r="M44" s="647">
        <f t="shared" si="118"/>
        <v>641192490</v>
      </c>
      <c r="N44" s="647">
        <f t="shared" si="118"/>
        <v>519353000</v>
      </c>
      <c r="O44" s="647">
        <f t="shared" si="118"/>
        <v>641192490</v>
      </c>
      <c r="P44" s="647">
        <f t="shared" si="118"/>
        <v>532019000</v>
      </c>
      <c r="Q44" s="647">
        <f t="shared" si="118"/>
        <v>734428327</v>
      </c>
      <c r="R44" s="647">
        <f t="shared" si="118"/>
        <v>532019000</v>
      </c>
      <c r="S44" s="647">
        <f t="shared" si="118"/>
        <v>714428327</v>
      </c>
      <c r="T44" s="647">
        <f t="shared" si="118"/>
        <v>556969163</v>
      </c>
      <c r="U44" s="647">
        <f t="shared" si="118"/>
        <v>714428327</v>
      </c>
      <c r="V44" s="647">
        <f t="shared" si="118"/>
        <v>706859293</v>
      </c>
      <c r="W44" s="647">
        <f t="shared" si="118"/>
        <v>668935490</v>
      </c>
      <c r="X44" s="647">
        <f t="shared" si="118"/>
        <v>668935490</v>
      </c>
      <c r="Y44" s="647">
        <f t="shared" si="118"/>
        <v>706859293</v>
      </c>
      <c r="Z44" s="647">
        <f t="shared" si="118"/>
        <v>714428327</v>
      </c>
      <c r="AA44" s="647">
        <f t="shared" si="118"/>
        <v>706859293</v>
      </c>
      <c r="AB44" s="647">
        <f t="shared" si="118"/>
        <v>948538644</v>
      </c>
      <c r="AC44" s="647">
        <f t="shared" si="118"/>
        <v>35177075</v>
      </c>
      <c r="AD44" s="647">
        <f t="shared" si="118"/>
        <v>35177075</v>
      </c>
      <c r="AE44" s="647">
        <f t="shared" si="118"/>
        <v>111141551</v>
      </c>
      <c r="AF44" s="647">
        <f t="shared" si="118"/>
        <v>111141551</v>
      </c>
      <c r="AG44" s="647">
        <f t="shared" si="118"/>
        <v>331267934</v>
      </c>
      <c r="AH44" s="647">
        <f t="shared" si="118"/>
        <v>331267934</v>
      </c>
      <c r="AI44" s="647">
        <f t="shared" si="118"/>
        <v>64227640</v>
      </c>
      <c r="AJ44" s="647">
        <f t="shared" si="118"/>
        <v>64227640</v>
      </c>
      <c r="AK44" s="647">
        <f t="shared" si="118"/>
        <v>0</v>
      </c>
      <c r="AL44" s="647">
        <f t="shared" si="118"/>
        <v>0</v>
      </c>
      <c r="AM44" s="647">
        <f t="shared" si="118"/>
        <v>22048577</v>
      </c>
      <c r="AN44" s="647">
        <f t="shared" si="118"/>
        <v>22048577</v>
      </c>
      <c r="AO44" s="647">
        <f t="shared" si="118"/>
        <v>32011000</v>
      </c>
      <c r="AP44" s="647">
        <f t="shared" si="118"/>
        <v>32011000</v>
      </c>
      <c r="AQ44" s="647">
        <f t="shared" si="118"/>
        <v>60867</v>
      </c>
      <c r="AR44" s="647">
        <f t="shared" si="118"/>
        <v>0</v>
      </c>
      <c r="AS44" s="647">
        <f t="shared" si="118"/>
        <v>292448222</v>
      </c>
      <c r="AT44" s="647">
        <f t="shared" si="118"/>
        <v>208200000</v>
      </c>
      <c r="AU44" s="647">
        <f t="shared" si="118"/>
        <v>69939133</v>
      </c>
      <c r="AV44" s="647">
        <f t="shared" si="118"/>
        <v>13868300</v>
      </c>
      <c r="AW44" s="647">
        <f t="shared" si="118"/>
        <v>0</v>
      </c>
      <c r="AX44" s="647">
        <f t="shared" si="118"/>
        <v>49256100</v>
      </c>
      <c r="AY44" s="647">
        <f t="shared" si="118"/>
        <v>580967</v>
      </c>
      <c r="AZ44" s="647">
        <f t="shared" si="118"/>
        <v>17790500</v>
      </c>
      <c r="BA44" s="647">
        <f t="shared" si="118"/>
        <v>958902966</v>
      </c>
      <c r="BB44" s="647">
        <f t="shared" si="118"/>
        <v>958902966</v>
      </c>
      <c r="BC44" s="647">
        <f t="shared" si="118"/>
        <v>884988677</v>
      </c>
      <c r="BD44" s="647">
        <f t="shared" si="118"/>
        <v>958902966</v>
      </c>
      <c r="BE44" s="647">
        <f t="shared" si="118"/>
        <v>884988677</v>
      </c>
      <c r="BF44" s="647">
        <f t="shared" si="118"/>
        <v>788845967</v>
      </c>
      <c r="BG44" s="647">
        <f t="shared" si="118"/>
        <v>547900267</v>
      </c>
      <c r="BH44" s="647">
        <f t="shared" si="118"/>
        <v>547900267</v>
      </c>
      <c r="BI44" s="647">
        <f t="shared" si="118"/>
        <v>83480367</v>
      </c>
      <c r="BJ44" s="647">
        <f t="shared" si="118"/>
        <v>49146367</v>
      </c>
      <c r="BK44" s="647">
        <f t="shared" si="118"/>
        <v>0</v>
      </c>
      <c r="BL44" s="647">
        <f t="shared" si="118"/>
        <v>0</v>
      </c>
      <c r="BM44" s="647">
        <f t="shared" si="118"/>
        <v>16887333</v>
      </c>
      <c r="BN44" s="647">
        <f t="shared" si="118"/>
        <v>6940000</v>
      </c>
      <c r="BO44" s="647">
        <f t="shared" si="118"/>
        <v>0</v>
      </c>
      <c r="BP44" s="647">
        <f t="shared" si="118"/>
        <v>3007333</v>
      </c>
      <c r="BQ44" s="647">
        <f t="shared" si="118"/>
        <v>0</v>
      </c>
      <c r="BR44" s="647">
        <f t="shared" si="118"/>
        <v>40000000</v>
      </c>
      <c r="BS44" s="647">
        <f t="shared" si="118"/>
        <v>140000000</v>
      </c>
      <c r="BT44" s="647">
        <f t="shared" si="118"/>
        <v>141580000</v>
      </c>
      <c r="BU44" s="647">
        <f t="shared" si="118"/>
        <v>0</v>
      </c>
      <c r="BV44" s="647">
        <f t="shared" si="118"/>
        <v>0</v>
      </c>
      <c r="BW44" s="647">
        <f t="shared" si="118"/>
        <v>57928800</v>
      </c>
      <c r="BX44" s="647">
        <f t="shared" si="118"/>
        <v>95365267</v>
      </c>
      <c r="BY44" s="647">
        <f t="shared" si="118"/>
        <v>48627934</v>
      </c>
      <c r="BZ44" s="647">
        <f t="shared" si="118"/>
        <v>7278467</v>
      </c>
      <c r="CA44" s="647">
        <f t="shared" si="118"/>
        <v>9988100</v>
      </c>
      <c r="CB44" s="647">
        <f t="shared" si="118"/>
        <v>14081833</v>
      </c>
      <c r="CC44" s="647">
        <f t="shared" si="118"/>
        <v>578000</v>
      </c>
      <c r="CD44" s="647">
        <f t="shared" si="118"/>
        <v>0</v>
      </c>
      <c r="CE44" s="647">
        <f t="shared" si="118"/>
        <v>905390801</v>
      </c>
      <c r="CF44" s="647">
        <f t="shared" si="118"/>
        <v>905390801</v>
      </c>
      <c r="CG44" s="647">
        <f t="shared" si="118"/>
        <v>905299534</v>
      </c>
      <c r="CH44" s="647">
        <f t="shared" si="118"/>
        <v>905390801</v>
      </c>
      <c r="CI44" s="647">
        <f t="shared" si="118"/>
        <v>905299534</v>
      </c>
      <c r="CJ44" s="647">
        <f t="shared" si="118"/>
        <v>986297063</v>
      </c>
      <c r="CK44" s="647">
        <f t="shared" si="118"/>
        <v>19530933</v>
      </c>
      <c r="CL44" s="647">
        <f t="shared" si="118"/>
        <v>19530933</v>
      </c>
      <c r="CM44" s="647">
        <f t="shared" si="118"/>
        <v>605674499</v>
      </c>
      <c r="CN44" s="647">
        <f t="shared" si="118"/>
        <v>605674499</v>
      </c>
      <c r="CO44" s="647">
        <f t="shared" si="118"/>
        <v>0</v>
      </c>
      <c r="CP44" s="647">
        <f t="shared" si="118"/>
        <v>0</v>
      </c>
      <c r="CQ44" s="647">
        <f t="shared" si="118"/>
        <v>0</v>
      </c>
      <c r="CR44" s="647">
        <f t="shared" si="118"/>
        <v>0</v>
      </c>
      <c r="CS44" s="647">
        <f t="shared" si="118"/>
        <v>82332631</v>
      </c>
      <c r="CT44" s="647">
        <f t="shared" si="118"/>
        <v>2071277</v>
      </c>
      <c r="CU44" s="647">
        <f t="shared" si="118"/>
        <v>162817000</v>
      </c>
      <c r="CV44" s="647">
        <f t="shared" si="118"/>
        <v>0</v>
      </c>
      <c r="CW44" s="647">
        <f t="shared" si="118"/>
        <v>23010100</v>
      </c>
      <c r="CX44" s="647">
        <f t="shared" si="118"/>
        <v>225171</v>
      </c>
      <c r="CY44" s="647">
        <f t="shared" si="118"/>
        <v>0</v>
      </c>
      <c r="CZ44" s="647">
        <f t="shared" si="118"/>
        <v>162817000</v>
      </c>
      <c r="DA44" s="647">
        <f t="shared" si="118"/>
        <v>0</v>
      </c>
      <c r="DB44" s="647">
        <f t="shared" si="118"/>
        <v>65131000</v>
      </c>
      <c r="DC44" s="647">
        <f t="shared" si="118"/>
        <v>50000000</v>
      </c>
      <c r="DD44" s="647">
        <f t="shared" si="118"/>
        <v>14869824</v>
      </c>
      <c r="DE44" s="647">
        <f t="shared" si="118"/>
        <v>-27112401</v>
      </c>
      <c r="DF44" s="647">
        <f t="shared" si="118"/>
        <v>0</v>
      </c>
      <c r="DG44" s="647">
        <f t="shared" si="118"/>
        <v>65906641</v>
      </c>
      <c r="DH44" s="647">
        <f t="shared" si="118"/>
        <v>111652635</v>
      </c>
      <c r="DI44" s="647">
        <f t="shared" si="118"/>
        <v>982159403</v>
      </c>
      <c r="DJ44" s="647">
        <f t="shared" si="118"/>
        <v>982159403</v>
      </c>
      <c r="DK44" s="647">
        <f t="shared" si="118"/>
        <v>981972339</v>
      </c>
      <c r="DL44" s="647">
        <f t="shared" si="118"/>
        <v>982159403</v>
      </c>
      <c r="DM44" s="647">
        <f t="shared" si="118"/>
        <v>981972339</v>
      </c>
      <c r="DN44" s="647">
        <f>DN39+DN42</f>
        <v>1253155355</v>
      </c>
      <c r="DO44" s="647">
        <f t="shared" ref="DO44:EQ44" si="119">DO39+DO42</f>
        <v>111224803</v>
      </c>
      <c r="DP44" s="647">
        <f t="shared" si="119"/>
        <v>111224803</v>
      </c>
      <c r="DQ44" s="647">
        <f t="shared" si="119"/>
        <v>266444999</v>
      </c>
      <c r="DR44" s="647">
        <f t="shared" si="119"/>
        <v>201344802</v>
      </c>
      <c r="DS44" s="647">
        <f t="shared" si="119"/>
        <v>0</v>
      </c>
      <c r="DT44" s="647">
        <f t="shared" si="119"/>
        <v>63668043</v>
      </c>
      <c r="DU44" s="647">
        <f t="shared" si="119"/>
        <v>38458000</v>
      </c>
      <c r="DV44" s="647">
        <f t="shared" si="119"/>
        <v>0</v>
      </c>
      <c r="DW44" s="647">
        <f t="shared" si="119"/>
        <v>61860553.000000007</v>
      </c>
      <c r="DX44" s="647">
        <f t="shared" si="119"/>
        <v>0</v>
      </c>
      <c r="DY44" s="647">
        <f t="shared" si="119"/>
        <v>775167000</v>
      </c>
      <c r="DZ44" s="647">
        <f t="shared" si="119"/>
        <v>0</v>
      </c>
      <c r="EA44" s="647">
        <f t="shared" si="119"/>
        <v>0</v>
      </c>
      <c r="EB44" s="647">
        <f t="shared" si="119"/>
        <v>0</v>
      </c>
      <c r="EC44" s="647">
        <f t="shared" si="119"/>
        <v>0</v>
      </c>
      <c r="ED44" s="647">
        <f t="shared" si="119"/>
        <v>0</v>
      </c>
      <c r="EE44" s="647">
        <f t="shared" si="119"/>
        <v>0</v>
      </c>
      <c r="EF44" s="647">
        <f t="shared" si="119"/>
        <v>0</v>
      </c>
      <c r="EG44" s="647">
        <f t="shared" si="119"/>
        <v>0</v>
      </c>
      <c r="EH44" s="647">
        <f t="shared" si="119"/>
        <v>0</v>
      </c>
      <c r="EI44" s="647">
        <f t="shared" si="119"/>
        <v>0</v>
      </c>
      <c r="EJ44" s="647">
        <f t="shared" si="119"/>
        <v>0</v>
      </c>
      <c r="EK44" s="647">
        <f t="shared" si="119"/>
        <v>0</v>
      </c>
      <c r="EL44" s="647">
        <f t="shared" si="119"/>
        <v>0</v>
      </c>
      <c r="EM44" s="647">
        <f t="shared" si="119"/>
        <v>1253155355</v>
      </c>
      <c r="EN44" s="647">
        <f t="shared" si="119"/>
        <v>377669802</v>
      </c>
      <c r="EO44" s="647">
        <f t="shared" si="119"/>
        <v>376237648</v>
      </c>
      <c r="EP44" s="647">
        <f>EP39+EP42</f>
        <v>1253155355</v>
      </c>
      <c r="EQ44" s="647">
        <f t="shared" si="119"/>
        <v>376237648</v>
      </c>
      <c r="ER44" s="648">
        <f t="shared" si="26"/>
        <v>0</v>
      </c>
      <c r="ES44" s="648">
        <f t="shared" si="21"/>
        <v>0.99620792027211114</v>
      </c>
      <c r="ET44" s="649">
        <f t="shared" si="22"/>
        <v>0.30023224694275835</v>
      </c>
      <c r="EU44" s="649">
        <f t="shared" si="23"/>
        <v>0.97887705359553834</v>
      </c>
      <c r="EV44" s="650">
        <f t="shared" si="24"/>
        <v>0.81469427066063038</v>
      </c>
      <c r="EW44" s="1068"/>
      <c r="EX44" s="1048"/>
      <c r="EY44" s="1048"/>
      <c r="EZ44" s="1048"/>
      <c r="FA44" s="1048"/>
      <c r="FB44" s="778"/>
      <c r="FC44" s="88"/>
      <c r="FD44" s="88"/>
    </row>
    <row r="45" spans="1:160" ht="31.9" customHeight="1" x14ac:dyDescent="0.25">
      <c r="A45" s="710"/>
      <c r="B45" s="759">
        <v>6</v>
      </c>
      <c r="C45" s="758" t="s">
        <v>358</v>
      </c>
      <c r="D45" s="758" t="s">
        <v>177</v>
      </c>
      <c r="E45" s="758">
        <v>199</v>
      </c>
      <c r="F45" s="73" t="s">
        <v>340</v>
      </c>
      <c r="G45" s="993">
        <f>AA45+BE45+CI45+DM45+EP45</f>
        <v>100</v>
      </c>
      <c r="H45" s="1049">
        <v>10</v>
      </c>
      <c r="I45" s="993"/>
      <c r="J45" s="993"/>
      <c r="K45" s="993">
        <v>10</v>
      </c>
      <c r="L45" s="993">
        <v>2</v>
      </c>
      <c r="M45" s="993">
        <v>10</v>
      </c>
      <c r="N45" s="998">
        <v>4</v>
      </c>
      <c r="O45" s="993">
        <v>10</v>
      </c>
      <c r="P45" s="998">
        <v>6</v>
      </c>
      <c r="Q45" s="993">
        <v>10</v>
      </c>
      <c r="R45" s="999">
        <v>8</v>
      </c>
      <c r="S45" s="993">
        <v>10</v>
      </c>
      <c r="T45" s="998">
        <v>9</v>
      </c>
      <c r="U45" s="993">
        <v>10</v>
      </c>
      <c r="V45" s="993">
        <v>10</v>
      </c>
      <c r="W45" s="1001">
        <f t="shared" ref="W45:W50" si="120">+H45</f>
        <v>10</v>
      </c>
      <c r="X45" s="1001">
        <f t="shared" ref="X45:X50" si="121">+H45</f>
        <v>10</v>
      </c>
      <c r="Y45" s="1001">
        <f t="shared" ref="Y45:Y50" si="122">+V45</f>
        <v>10</v>
      </c>
      <c r="Z45" s="1001">
        <f t="shared" ref="Z45:AA50" si="123">+U45</f>
        <v>10</v>
      </c>
      <c r="AA45" s="1001">
        <f t="shared" si="123"/>
        <v>10</v>
      </c>
      <c r="AB45" s="993">
        <v>20</v>
      </c>
      <c r="AC45" s="993">
        <v>1</v>
      </c>
      <c r="AD45" s="993">
        <v>1</v>
      </c>
      <c r="AE45" s="993">
        <v>1</v>
      </c>
      <c r="AF45" s="998">
        <v>1</v>
      </c>
      <c r="AG45" s="993">
        <v>1</v>
      </c>
      <c r="AH45" s="998">
        <v>1</v>
      </c>
      <c r="AI45" s="998">
        <v>2</v>
      </c>
      <c r="AJ45" s="998">
        <v>2</v>
      </c>
      <c r="AK45" s="998">
        <v>2</v>
      </c>
      <c r="AL45" s="998">
        <v>2</v>
      </c>
      <c r="AM45" s="998">
        <v>2</v>
      </c>
      <c r="AN45" s="998">
        <v>2</v>
      </c>
      <c r="AO45" s="998">
        <v>2</v>
      </c>
      <c r="AP45" s="998">
        <v>2</v>
      </c>
      <c r="AQ45" s="998">
        <v>2</v>
      </c>
      <c r="AR45" s="998">
        <v>2</v>
      </c>
      <c r="AS45" s="998">
        <v>2</v>
      </c>
      <c r="AT45" s="998">
        <v>2</v>
      </c>
      <c r="AU45" s="998">
        <v>2</v>
      </c>
      <c r="AV45" s="998">
        <v>2</v>
      </c>
      <c r="AW45" s="998">
        <v>2</v>
      </c>
      <c r="AX45" s="996">
        <v>2</v>
      </c>
      <c r="AY45" s="995">
        <v>1</v>
      </c>
      <c r="AZ45" s="996">
        <v>1</v>
      </c>
      <c r="BA45" s="1001">
        <f>AY45+AW45+AU45+AS45+AO45+AM45+AK45+AI45+AG45+AE45+AC45+AQ45</f>
        <v>20</v>
      </c>
      <c r="BB45" s="1001">
        <f t="shared" ref="BB45:BB50" si="124">AC45+AE45+AG45+AI45+AK45+AM45+AO45+AQ45+AS45+AU45+AW45+AY45</f>
        <v>20</v>
      </c>
      <c r="BC45" s="1001">
        <f t="shared" ref="BC45:BC50" si="125">+AN45+AD45+AF45+AH45+AJ45+AL45+AP45+AR45+AT45+AV45+AX45+AZ45</f>
        <v>20</v>
      </c>
      <c r="BD45" s="1001">
        <f>BA45</f>
        <v>20</v>
      </c>
      <c r="BE45" s="1001">
        <f t="shared" ref="BE45:BE50" si="126">AF45+AH45+AJ45+AL45+AD45+AN45+AP45+AR45+AT45+AV45+AX45+AZ45</f>
        <v>20</v>
      </c>
      <c r="BF45" s="995">
        <v>20</v>
      </c>
      <c r="BG45" s="996">
        <v>2</v>
      </c>
      <c r="BH45" s="996">
        <v>2</v>
      </c>
      <c r="BI45" s="995">
        <v>2</v>
      </c>
      <c r="BJ45" s="995">
        <v>2</v>
      </c>
      <c r="BK45" s="995">
        <v>2</v>
      </c>
      <c r="BL45" s="995">
        <v>1</v>
      </c>
      <c r="BM45" s="995">
        <v>2</v>
      </c>
      <c r="BN45" s="995">
        <v>3</v>
      </c>
      <c r="BO45" s="995">
        <v>2</v>
      </c>
      <c r="BP45" s="995">
        <v>2</v>
      </c>
      <c r="BQ45" s="995">
        <v>2</v>
      </c>
      <c r="BR45" s="995">
        <v>2</v>
      </c>
      <c r="BS45" s="995">
        <v>2</v>
      </c>
      <c r="BT45" s="995">
        <v>2</v>
      </c>
      <c r="BU45" s="995">
        <v>2</v>
      </c>
      <c r="BV45" s="995">
        <v>2</v>
      </c>
      <c r="BW45" s="995">
        <v>1</v>
      </c>
      <c r="BX45" s="995">
        <v>1</v>
      </c>
      <c r="BY45" s="995">
        <v>1</v>
      </c>
      <c r="BZ45" s="995">
        <v>1</v>
      </c>
      <c r="CA45" s="995">
        <v>1</v>
      </c>
      <c r="CB45" s="995">
        <v>1</v>
      </c>
      <c r="CC45" s="1069">
        <v>1</v>
      </c>
      <c r="CD45" s="995">
        <v>1</v>
      </c>
      <c r="CE45" s="1001">
        <f>CC45+CA45+BY45+BW45+BS45+BQ45+BO45+BM45+BK45+BI45+BG45+BU45</f>
        <v>20</v>
      </c>
      <c r="CF45" s="1001">
        <f t="shared" ref="CF45:CF50" si="127">+BG45+BI45+BK45+BM45+BO45+BQ45+BS45+BU45+BW45+BY45+CA45+CC45</f>
        <v>20</v>
      </c>
      <c r="CG45" s="1001">
        <f t="shared" ref="CG45:CG50" si="128">+BR45+BH45+BJ45+BL45+BN45+BP45+BT45+BV45+BX45+BZ45+CB45+CD45</f>
        <v>20</v>
      </c>
      <c r="CH45" s="1001">
        <f>CE45</f>
        <v>20</v>
      </c>
      <c r="CI45" s="1001">
        <f t="shared" ref="CI45:CI50" si="129">BJ45+BL45+BN45+BP45+BH45+BR45+BT45+BV45+BX45+BZ45+CB45+CD45</f>
        <v>20</v>
      </c>
      <c r="CJ45" s="995">
        <v>34</v>
      </c>
      <c r="CK45" s="995">
        <v>0</v>
      </c>
      <c r="CL45" s="995"/>
      <c r="CM45" s="995">
        <v>1</v>
      </c>
      <c r="CN45" s="995">
        <v>2</v>
      </c>
      <c r="CO45" s="995">
        <v>4</v>
      </c>
      <c r="CP45" s="995">
        <v>4</v>
      </c>
      <c r="CQ45" s="995">
        <v>4</v>
      </c>
      <c r="CR45" s="995">
        <v>4</v>
      </c>
      <c r="CS45" s="995">
        <v>4</v>
      </c>
      <c r="CT45" s="995">
        <v>4</v>
      </c>
      <c r="CU45" s="1070">
        <v>3</v>
      </c>
      <c r="CV45" s="1070">
        <v>3</v>
      </c>
      <c r="CW45" s="995">
        <v>3</v>
      </c>
      <c r="CX45" s="995">
        <v>3</v>
      </c>
      <c r="CY45" s="995">
        <v>3</v>
      </c>
      <c r="CZ45" s="995">
        <v>3</v>
      </c>
      <c r="DA45" s="995">
        <v>3</v>
      </c>
      <c r="DB45" s="995">
        <v>3</v>
      </c>
      <c r="DC45" s="995">
        <v>3</v>
      </c>
      <c r="DD45" s="995">
        <v>3</v>
      </c>
      <c r="DE45" s="995">
        <v>3</v>
      </c>
      <c r="DF45" s="995">
        <v>3</v>
      </c>
      <c r="DG45" s="995">
        <v>3</v>
      </c>
      <c r="DH45" s="995">
        <v>2</v>
      </c>
      <c r="DI45" s="1001">
        <f t="shared" ref="DI45:DI50" si="130">DG45+DE45+DC45+DA45+CY45+CW45+CU45+CS45+CQ45+CO45+CM45+CK45</f>
        <v>34</v>
      </c>
      <c r="DJ45" s="998">
        <f t="shared" ref="DJ45:DK50" si="131">CK45+CM45+CO45+CQ45+CS45+CU45+CW45+CY45+DA45+DC45+DE45+DG45</f>
        <v>34</v>
      </c>
      <c r="DK45" s="998">
        <f t="shared" si="131"/>
        <v>34</v>
      </c>
      <c r="DL45" s="1001">
        <f t="shared" ref="DL45:DL50" si="132">DI45</f>
        <v>34</v>
      </c>
      <c r="DM45" s="998">
        <f t="shared" ref="DM45:DM50" si="133">CN45+CP45+CR45+CT45+CL45+CV45+CX45+CZ45+DB45+DD45+DF45+DH45</f>
        <v>34</v>
      </c>
      <c r="DN45" s="995">
        <v>16</v>
      </c>
      <c r="DO45" s="1071">
        <v>2</v>
      </c>
      <c r="DP45" s="1071">
        <v>2</v>
      </c>
      <c r="DQ45" s="1071">
        <v>1</v>
      </c>
      <c r="DR45" s="1071">
        <v>0</v>
      </c>
      <c r="DS45" s="1071">
        <v>4</v>
      </c>
      <c r="DT45" s="1071">
        <v>2</v>
      </c>
      <c r="DU45" s="1071">
        <v>4</v>
      </c>
      <c r="DV45" s="1071"/>
      <c r="DW45" s="1071">
        <v>4</v>
      </c>
      <c r="DX45" s="1071"/>
      <c r="DY45" s="1071">
        <v>1</v>
      </c>
      <c r="DZ45" s="995"/>
      <c r="EA45" s="995"/>
      <c r="EB45" s="995"/>
      <c r="EC45" s="995"/>
      <c r="ED45" s="995"/>
      <c r="EE45" s="995"/>
      <c r="EF45" s="995"/>
      <c r="EG45" s="995"/>
      <c r="EH45" s="995"/>
      <c r="EI45" s="995"/>
      <c r="EJ45" s="995"/>
      <c r="EK45" s="995"/>
      <c r="EL45" s="995"/>
      <c r="EM45" s="993">
        <f>EK45+EI45+EG45+EE45+EC45+EA45+DY45+DW45+DU45+DS45+DQ45+DO45</f>
        <v>16</v>
      </c>
      <c r="EN45" s="998">
        <f>DO45+DQ45+DS45</f>
        <v>7</v>
      </c>
      <c r="EO45" s="998">
        <f>DP45+DR45+DT45+DV45</f>
        <v>4</v>
      </c>
      <c r="EP45" s="1052">
        <f>DQ45+DS45+DU45+DW45+DY45+EA45+EC45+EE45+EG45+EI45+EK45+DO45</f>
        <v>16</v>
      </c>
      <c r="EQ45" s="998">
        <f t="shared" si="51"/>
        <v>4</v>
      </c>
      <c r="ER45" s="1008">
        <f t="shared" si="26"/>
        <v>0.5</v>
      </c>
      <c r="ES45" s="1008">
        <f t="shared" si="21"/>
        <v>0.5714285714285714</v>
      </c>
      <c r="ET45" s="1009">
        <f t="shared" si="22"/>
        <v>0.25</v>
      </c>
      <c r="EU45" s="1009">
        <f t="shared" si="23"/>
        <v>0.96703296703296704</v>
      </c>
      <c r="EV45" s="1009">
        <f t="shared" si="24"/>
        <v>0.88</v>
      </c>
      <c r="EW45" s="1053" t="s">
        <v>1583</v>
      </c>
      <c r="EX45" s="1072" t="s">
        <v>1584</v>
      </c>
      <c r="EY45" s="1072" t="s">
        <v>1585</v>
      </c>
      <c r="EZ45" s="1011" t="s">
        <v>359</v>
      </c>
      <c r="FA45" s="1011" t="s">
        <v>182</v>
      </c>
      <c r="FB45" s="776"/>
      <c r="FC45" s="75"/>
      <c r="FD45" s="75"/>
    </row>
    <row r="46" spans="1:160" ht="31.9" customHeight="1" x14ac:dyDescent="0.25">
      <c r="A46" s="710"/>
      <c r="B46" s="710"/>
      <c r="C46" s="710"/>
      <c r="D46" s="710"/>
      <c r="E46" s="710"/>
      <c r="F46" s="76" t="s">
        <v>343</v>
      </c>
      <c r="G46" s="641">
        <f>AA46+BE46+CI46+DM46+EP46</f>
        <v>1493966566</v>
      </c>
      <c r="H46" s="1054">
        <v>120000000</v>
      </c>
      <c r="I46" s="1055"/>
      <c r="J46" s="1055"/>
      <c r="K46" s="1055">
        <v>120000000</v>
      </c>
      <c r="L46" s="1055">
        <v>0</v>
      </c>
      <c r="M46" s="1055">
        <v>104955000</v>
      </c>
      <c r="N46" s="1055">
        <v>90696000</v>
      </c>
      <c r="O46" s="1055">
        <v>104955000</v>
      </c>
      <c r="P46" s="1055">
        <v>90696000</v>
      </c>
      <c r="Q46" s="1055">
        <v>104955000</v>
      </c>
      <c r="R46" s="1055">
        <v>90696000</v>
      </c>
      <c r="S46" s="1055">
        <v>109624000</v>
      </c>
      <c r="T46" s="1012">
        <v>90696000</v>
      </c>
      <c r="U46" s="1012">
        <v>109624000</v>
      </c>
      <c r="V46" s="1012">
        <v>109624000</v>
      </c>
      <c r="W46" s="1024">
        <f t="shared" si="120"/>
        <v>120000000</v>
      </c>
      <c r="X46" s="1024">
        <f t="shared" si="121"/>
        <v>120000000</v>
      </c>
      <c r="Y46" s="1024">
        <f t="shared" si="122"/>
        <v>109624000</v>
      </c>
      <c r="Z46" s="1012">
        <f t="shared" si="123"/>
        <v>109624000</v>
      </c>
      <c r="AA46" s="1012">
        <f t="shared" si="123"/>
        <v>109624000</v>
      </c>
      <c r="AB46" s="1012">
        <v>349839000</v>
      </c>
      <c r="AC46" s="1012">
        <v>0</v>
      </c>
      <c r="AD46" s="1012">
        <v>0</v>
      </c>
      <c r="AE46" s="1012">
        <v>313790000</v>
      </c>
      <c r="AF46" s="1012">
        <v>313790000</v>
      </c>
      <c r="AG46" s="1012">
        <v>0</v>
      </c>
      <c r="AH46" s="1012">
        <v>0</v>
      </c>
      <c r="AI46" s="1012">
        <v>0</v>
      </c>
      <c r="AJ46" s="1012">
        <v>0</v>
      </c>
      <c r="AK46" s="1012">
        <v>0</v>
      </c>
      <c r="AL46" s="1012">
        <v>0</v>
      </c>
      <c r="AM46" s="1012">
        <v>0</v>
      </c>
      <c r="AN46" s="1012">
        <v>0</v>
      </c>
      <c r="AO46" s="1012">
        <v>0</v>
      </c>
      <c r="AP46" s="1012">
        <v>0</v>
      </c>
      <c r="AQ46" s="1012">
        <v>0</v>
      </c>
      <c r="AR46" s="1012">
        <v>0</v>
      </c>
      <c r="AS46" s="1012">
        <v>5632000</v>
      </c>
      <c r="AT46" s="1012">
        <v>10314000</v>
      </c>
      <c r="AU46" s="1012">
        <v>10314000</v>
      </c>
      <c r="AV46" s="1012">
        <f>13916000-11034000</f>
        <v>2882000</v>
      </c>
      <c r="AW46" s="1012">
        <f>4054000</f>
        <v>4054000</v>
      </c>
      <c r="AX46" s="1012">
        <v>0</v>
      </c>
      <c r="AY46" s="1012">
        <v>0</v>
      </c>
      <c r="AZ46" s="1012">
        <v>5517400</v>
      </c>
      <c r="BA46" s="1012">
        <f>AY46+AW46+AU46+AS46+AQ46+AO46+AM46+AK46+AI46+AG46+AE46+AC46</f>
        <v>333790000</v>
      </c>
      <c r="BB46" s="1012">
        <f t="shared" si="124"/>
        <v>333790000</v>
      </c>
      <c r="BC46" s="1012">
        <f t="shared" si="125"/>
        <v>332503400</v>
      </c>
      <c r="BD46" s="1012">
        <f>BA46</f>
        <v>333790000</v>
      </c>
      <c r="BE46" s="1012">
        <f t="shared" si="126"/>
        <v>332503400</v>
      </c>
      <c r="BF46" s="1012">
        <v>309585000</v>
      </c>
      <c r="BG46" s="1012">
        <v>303798900</v>
      </c>
      <c r="BH46" s="1012">
        <v>303798900</v>
      </c>
      <c r="BI46" s="1012">
        <v>0</v>
      </c>
      <c r="BJ46" s="1012">
        <v>0</v>
      </c>
      <c r="BK46" s="1012">
        <v>0</v>
      </c>
      <c r="BL46" s="1012">
        <v>0</v>
      </c>
      <c r="BM46" s="1012">
        <v>0</v>
      </c>
      <c r="BN46" s="1012">
        <v>0</v>
      </c>
      <c r="BO46" s="1012">
        <v>0</v>
      </c>
      <c r="BP46" s="1012">
        <v>0</v>
      </c>
      <c r="BQ46" s="1012">
        <v>0</v>
      </c>
      <c r="BR46" s="1012">
        <v>4898000</v>
      </c>
      <c r="BS46" s="1012">
        <v>-556800</v>
      </c>
      <c r="BT46" s="1012">
        <v>0</v>
      </c>
      <c r="BU46" s="1012">
        <v>0</v>
      </c>
      <c r="BV46" s="1012">
        <v>0</v>
      </c>
      <c r="BW46" s="1012">
        <v>0</v>
      </c>
      <c r="BX46" s="1012">
        <v>0</v>
      </c>
      <c r="BY46" s="1012">
        <v>0</v>
      </c>
      <c r="BZ46" s="1012">
        <v>0</v>
      </c>
      <c r="CA46" s="1012">
        <v>26935168</v>
      </c>
      <c r="CB46" s="1012">
        <v>17869333</v>
      </c>
      <c r="CC46" s="1012">
        <v>5786100</v>
      </c>
      <c r="CD46" s="1012">
        <v>9397133</v>
      </c>
      <c r="CE46" s="1012">
        <f>CC46+CA46+BY46+BW46+BU46+BS46+BQ46+BO46+BM46+BK46+BI46+BG46</f>
        <v>335963368</v>
      </c>
      <c r="CF46" s="1012">
        <f t="shared" si="127"/>
        <v>335963368</v>
      </c>
      <c r="CG46" s="1012">
        <f t="shared" si="128"/>
        <v>335963366</v>
      </c>
      <c r="CH46" s="1012">
        <f>CE46</f>
        <v>335963368</v>
      </c>
      <c r="CI46" s="1012">
        <f t="shared" si="129"/>
        <v>335963366</v>
      </c>
      <c r="CJ46" s="1012">
        <v>360437000</v>
      </c>
      <c r="CK46" s="1012">
        <v>0</v>
      </c>
      <c r="CL46" s="1012"/>
      <c r="CM46" s="1012">
        <v>285910000</v>
      </c>
      <c r="CN46" s="1012">
        <v>285910000</v>
      </c>
      <c r="CO46" s="1012">
        <v>0</v>
      </c>
      <c r="CP46" s="1012">
        <v>0</v>
      </c>
      <c r="CQ46" s="1012">
        <v>31563000</v>
      </c>
      <c r="CR46" s="1012">
        <v>31563000</v>
      </c>
      <c r="CS46" s="1012"/>
      <c r="CT46" s="1012">
        <v>0</v>
      </c>
      <c r="CU46" s="1012"/>
      <c r="CV46" s="1012"/>
      <c r="CW46" s="1012">
        <v>-27900200</v>
      </c>
      <c r="CX46" s="1012"/>
      <c r="CY46" s="1012"/>
      <c r="CZ46" s="1012">
        <v>0</v>
      </c>
      <c r="DA46" s="1012"/>
      <c r="DB46" s="1012"/>
      <c r="DC46" s="1012">
        <v>3380233</v>
      </c>
      <c r="DD46" s="1012"/>
      <c r="DE46" s="1012">
        <v>1028767</v>
      </c>
      <c r="DF46" s="1012"/>
      <c r="DG46" s="1012">
        <v>42964000</v>
      </c>
      <c r="DH46" s="1012">
        <v>19472800</v>
      </c>
      <c r="DI46" s="1012">
        <f t="shared" si="130"/>
        <v>336945800</v>
      </c>
      <c r="DJ46" s="1012">
        <f t="shared" si="131"/>
        <v>336945800</v>
      </c>
      <c r="DK46" s="1012">
        <f t="shared" si="131"/>
        <v>336945800</v>
      </c>
      <c r="DL46" s="1012">
        <f t="shared" si="132"/>
        <v>336945800</v>
      </c>
      <c r="DM46" s="1012">
        <f t="shared" si="133"/>
        <v>336945800</v>
      </c>
      <c r="DN46" s="1012">
        <v>378930000</v>
      </c>
      <c r="DO46" s="1014">
        <v>22045000</v>
      </c>
      <c r="DP46" s="1014">
        <v>22045000</v>
      </c>
      <c r="DQ46" s="1014">
        <v>124323000</v>
      </c>
      <c r="DR46" s="1014">
        <v>71708000</v>
      </c>
      <c r="DS46" s="1014"/>
      <c r="DT46" s="1014">
        <v>15460000</v>
      </c>
      <c r="DU46" s="1014">
        <v>24300000</v>
      </c>
      <c r="DV46" s="1014"/>
      <c r="DW46" s="1014"/>
      <c r="DX46" s="1014"/>
      <c r="DY46" s="1014">
        <f>DN46-DQ46-DP46-DU46</f>
        <v>208262000</v>
      </c>
      <c r="DZ46" s="1015"/>
      <c r="EA46" s="1015"/>
      <c r="EB46" s="1015"/>
      <c r="EC46" s="1015"/>
      <c r="ED46" s="1015"/>
      <c r="EE46" s="1015"/>
      <c r="EF46" s="1015"/>
      <c r="EG46" s="1015"/>
      <c r="EH46" s="1015"/>
      <c r="EI46" s="1015"/>
      <c r="EJ46" s="1015"/>
      <c r="EK46" s="1015"/>
      <c r="EL46" s="1015"/>
      <c r="EM46" s="643">
        <f>EK46+EI46+EG46+EE46+EC46+EA46+DY46+DW46+DU46+DS46+DQ46+DO46</f>
        <v>378930000</v>
      </c>
      <c r="EN46" s="643">
        <f>DO46+DQ46+DS46</f>
        <v>146368000</v>
      </c>
      <c r="EO46" s="643">
        <f t="shared" ref="EO46:EO50" si="134">DP46+DR46+DT46+DV46</f>
        <v>109213000</v>
      </c>
      <c r="EP46" s="641">
        <f>DQ46+DS46+DU46+DW46+DY46+EA46+EC46+EE46+EG46+EI46+EK46+DO46</f>
        <v>378930000</v>
      </c>
      <c r="EQ46" s="641">
        <f t="shared" si="51"/>
        <v>109213000</v>
      </c>
      <c r="ER46" s="1007">
        <f t="shared" si="26"/>
        <v>0</v>
      </c>
      <c r="ES46" s="1007">
        <f t="shared" si="21"/>
        <v>0.74615353082641012</v>
      </c>
      <c r="ET46" s="1016">
        <f t="shared" si="22"/>
        <v>0.28821418203889898</v>
      </c>
      <c r="EU46" s="1016">
        <f t="shared" si="23"/>
        <v>0.96955581620097309</v>
      </c>
      <c r="EV46" s="1016">
        <f t="shared" si="24"/>
        <v>0.81946249257628967</v>
      </c>
      <c r="EW46" s="1057"/>
      <c r="EX46" s="1073"/>
      <c r="EY46" s="1073"/>
      <c r="EZ46" s="1018"/>
      <c r="FA46" s="1018"/>
      <c r="FB46" s="777"/>
      <c r="FC46" s="77"/>
      <c r="FD46" s="77"/>
    </row>
    <row r="47" spans="1:160" ht="31.9" customHeight="1" x14ac:dyDescent="0.25">
      <c r="A47" s="710"/>
      <c r="B47" s="710"/>
      <c r="C47" s="710"/>
      <c r="D47" s="710"/>
      <c r="E47" s="710"/>
      <c r="F47" s="78" t="s">
        <v>344</v>
      </c>
      <c r="G47" s="1012"/>
      <c r="H47" s="1054"/>
      <c r="I47" s="1055"/>
      <c r="J47" s="1055"/>
      <c r="K47" s="1055"/>
      <c r="L47" s="1055"/>
      <c r="M47" s="1055"/>
      <c r="N47" s="1055"/>
      <c r="O47" s="1055"/>
      <c r="P47" s="1055"/>
      <c r="Q47" s="1055"/>
      <c r="R47" s="1055"/>
      <c r="S47" s="1055"/>
      <c r="T47" s="1012"/>
      <c r="U47" s="1012"/>
      <c r="V47" s="1012"/>
      <c r="W47" s="1024">
        <f t="shared" si="120"/>
        <v>0</v>
      </c>
      <c r="X47" s="1024">
        <f t="shared" si="121"/>
        <v>0</v>
      </c>
      <c r="Y47" s="1024">
        <f t="shared" si="122"/>
        <v>0</v>
      </c>
      <c r="Z47" s="1012">
        <f t="shared" si="123"/>
        <v>0</v>
      </c>
      <c r="AA47" s="1012">
        <f t="shared" si="123"/>
        <v>0</v>
      </c>
      <c r="AB47" s="1012"/>
      <c r="AC47" s="1012"/>
      <c r="AD47" s="1012"/>
      <c r="AE47" s="1012"/>
      <c r="AF47" s="1012"/>
      <c r="AG47" s="1012">
        <v>14248600</v>
      </c>
      <c r="AH47" s="1012">
        <v>14248600</v>
      </c>
      <c r="AI47" s="1012">
        <f>45283800-AH47</f>
        <v>31035200</v>
      </c>
      <c r="AJ47" s="1012">
        <v>31035200</v>
      </c>
      <c r="AK47" s="1012">
        <v>31379000</v>
      </c>
      <c r="AL47" s="1012">
        <v>31379000</v>
      </c>
      <c r="AM47" s="1012">
        <v>31561260</v>
      </c>
      <c r="AN47" s="1012">
        <v>31379000</v>
      </c>
      <c r="AO47" s="1012">
        <v>31561260</v>
      </c>
      <c r="AP47" s="1012">
        <v>27941000</v>
      </c>
      <c r="AQ47" s="1012">
        <v>31561260</v>
      </c>
      <c r="AR47" s="1012">
        <v>27941000</v>
      </c>
      <c r="AS47" s="1012">
        <v>31561260</v>
      </c>
      <c r="AT47" s="1012">
        <v>31379000</v>
      </c>
      <c r="AU47" s="1012">
        <v>31561260</v>
      </c>
      <c r="AV47" s="1012">
        <f>31722800</f>
        <v>31722800</v>
      </c>
      <c r="AW47" s="1012">
        <v>31561260</v>
      </c>
      <c r="AX47" s="1012">
        <v>42151400</v>
      </c>
      <c r="AY47" s="1012">
        <v>31561260</v>
      </c>
      <c r="AZ47" s="1012">
        <v>36095667</v>
      </c>
      <c r="BA47" s="1012">
        <f>AW47+AU47+AS47+AQ47+AO47+AM47+AK47+AI47+AG47+AE47+AC47+AY47</f>
        <v>297591620</v>
      </c>
      <c r="BB47" s="1012">
        <f t="shared" si="124"/>
        <v>297591620</v>
      </c>
      <c r="BC47" s="1012">
        <f t="shared" si="125"/>
        <v>305272667</v>
      </c>
      <c r="BD47" s="1012">
        <f>BA47</f>
        <v>297591620</v>
      </c>
      <c r="BE47" s="1012">
        <f t="shared" si="126"/>
        <v>305272667</v>
      </c>
      <c r="BF47" s="1012"/>
      <c r="BG47" s="1012">
        <v>0</v>
      </c>
      <c r="BH47" s="1012">
        <v>0</v>
      </c>
      <c r="BI47" s="1012">
        <v>18056334</v>
      </c>
      <c r="BJ47" s="1012">
        <v>818300</v>
      </c>
      <c r="BK47" s="1012">
        <v>31602000</v>
      </c>
      <c r="BL47" s="1012">
        <f>31224233-818300</f>
        <v>30405933</v>
      </c>
      <c r="BM47" s="1012">
        <v>31602000</v>
      </c>
      <c r="BN47" s="1012">
        <v>31602000</v>
      </c>
      <c r="BO47" s="1012">
        <v>31602000</v>
      </c>
      <c r="BP47" s="1012">
        <v>31602000</v>
      </c>
      <c r="BQ47" s="1012">
        <v>36500000</v>
      </c>
      <c r="BR47" s="1012">
        <v>31602000</v>
      </c>
      <c r="BS47" s="1012">
        <v>31602000</v>
      </c>
      <c r="BT47" s="1012">
        <v>31602000</v>
      </c>
      <c r="BU47" s="1012">
        <v>31602000</v>
      </c>
      <c r="BV47" s="1012">
        <v>31602000</v>
      </c>
      <c r="BW47" s="1012">
        <v>31602000</v>
      </c>
      <c r="BX47" s="1012">
        <v>32136233.12525171</v>
      </c>
      <c r="BY47" s="1012">
        <v>29264000</v>
      </c>
      <c r="BZ47" s="1012">
        <v>28242051.87474829</v>
      </c>
      <c r="CA47" s="1012">
        <v>24938700</v>
      </c>
      <c r="CB47" s="1012">
        <v>27510500</v>
      </c>
      <c r="CC47" s="1012">
        <f>11213966+26378368</f>
        <v>37592334</v>
      </c>
      <c r="CD47" s="1012">
        <v>36078203</v>
      </c>
      <c r="CE47" s="1012">
        <f>CA47+BY47+BW47+BU47+BS47+BQ47+BO47+BM47+BK47+BI47+BG47+CC47</f>
        <v>335963368</v>
      </c>
      <c r="CF47" s="1012">
        <f t="shared" si="127"/>
        <v>335963368</v>
      </c>
      <c r="CG47" s="1012">
        <f t="shared" si="128"/>
        <v>313201221</v>
      </c>
      <c r="CH47" s="1012">
        <f>CE47</f>
        <v>335963368</v>
      </c>
      <c r="CI47" s="1012">
        <f t="shared" si="129"/>
        <v>313201221</v>
      </c>
      <c r="CJ47" s="1012"/>
      <c r="CK47" s="1012"/>
      <c r="CL47" s="1012"/>
      <c r="CM47" s="1012"/>
      <c r="CN47" s="1012"/>
      <c r="CO47" s="1012">
        <v>7574200</v>
      </c>
      <c r="CP47" s="1012">
        <v>7574200</v>
      </c>
      <c r="CQ47" s="1012">
        <v>28591000</v>
      </c>
      <c r="CR47" s="1012">
        <v>28444033</v>
      </c>
      <c r="CS47" s="1012">
        <v>32098000</v>
      </c>
      <c r="CT47" s="1012">
        <v>28591000</v>
      </c>
      <c r="CU47" s="1012">
        <v>32098000</v>
      </c>
      <c r="CV47" s="1012">
        <v>28591000</v>
      </c>
      <c r="CW47" s="1012">
        <v>32098000</v>
      </c>
      <c r="CX47" s="1012">
        <v>34436000</v>
      </c>
      <c r="CY47" s="1012">
        <v>32098000</v>
      </c>
      <c r="CZ47" s="1012">
        <v>35605000</v>
      </c>
      <c r="DA47" s="1012">
        <v>32098000</v>
      </c>
      <c r="DB47" s="1012">
        <v>28591000</v>
      </c>
      <c r="DC47" s="1012">
        <v>32098000</v>
      </c>
      <c r="DD47" s="1012">
        <v>35605000</v>
      </c>
      <c r="DE47" s="1012">
        <v>32098000</v>
      </c>
      <c r="DF47" s="1012">
        <v>32098000</v>
      </c>
      <c r="DG47" s="1012">
        <f>99585800-23491200</f>
        <v>76094600</v>
      </c>
      <c r="DH47" s="1012">
        <v>49266000</v>
      </c>
      <c r="DI47" s="1012">
        <f t="shared" si="130"/>
        <v>336945800</v>
      </c>
      <c r="DJ47" s="1012">
        <f t="shared" si="131"/>
        <v>336945800</v>
      </c>
      <c r="DK47" s="1012">
        <f t="shared" si="131"/>
        <v>308801233</v>
      </c>
      <c r="DL47" s="1012">
        <f t="shared" si="132"/>
        <v>336945800</v>
      </c>
      <c r="DM47" s="1012">
        <f t="shared" si="133"/>
        <v>308801233</v>
      </c>
      <c r="DN47" s="1012">
        <v>378930000</v>
      </c>
      <c r="DO47" s="1014"/>
      <c r="DP47" s="1014"/>
      <c r="DQ47" s="1014">
        <v>8818000</v>
      </c>
      <c r="DR47" s="1014">
        <v>2057533</v>
      </c>
      <c r="DS47" s="1014">
        <v>34475000</v>
      </c>
      <c r="DT47" s="1014">
        <v>8818000</v>
      </c>
      <c r="DU47" s="1014">
        <v>30066000</v>
      </c>
      <c r="DV47" s="1014"/>
      <c r="DW47" s="1014">
        <f>47352000+12150000</f>
        <v>59502000</v>
      </c>
      <c r="DX47" s="1014"/>
      <c r="DY47" s="1014">
        <v>258219000</v>
      </c>
      <c r="DZ47" s="1015"/>
      <c r="EA47" s="1015"/>
      <c r="EB47" s="1015"/>
      <c r="EC47" s="1015"/>
      <c r="ED47" s="1015"/>
      <c r="EE47" s="1015"/>
      <c r="EF47" s="1015"/>
      <c r="EG47" s="1015"/>
      <c r="EH47" s="1015"/>
      <c r="EI47" s="1015"/>
      <c r="EJ47" s="1015"/>
      <c r="EK47" s="1015"/>
      <c r="EL47" s="1015"/>
      <c r="EM47" s="643">
        <f>EI47+EG47+EE47+EC47+EA47+DY47+DW47+DU47+DS47+DQ47+DO47+EK47</f>
        <v>391080000</v>
      </c>
      <c r="EN47" s="643">
        <f t="shared" ref="EN47:EN50" si="135">DO47+DQ47+DS47</f>
        <v>43293000</v>
      </c>
      <c r="EO47" s="643">
        <f t="shared" si="134"/>
        <v>10875533</v>
      </c>
      <c r="EP47" s="641">
        <f>DQ47+DS47+DU47+DW47+DY47+EA47+EC47+EE47+EG47+EI47+EK47</f>
        <v>391080000</v>
      </c>
      <c r="EQ47" s="641">
        <f t="shared" si="51"/>
        <v>10875533</v>
      </c>
      <c r="ER47" s="1007">
        <f t="shared" si="26"/>
        <v>0.25577955039883976</v>
      </c>
      <c r="ES47" s="1007">
        <f t="shared" si="21"/>
        <v>0.251207654817176</v>
      </c>
      <c r="ET47" s="1016">
        <f t="shared" si="22"/>
        <v>2.780897258872865E-2</v>
      </c>
      <c r="EU47" s="1016">
        <f t="shared" si="23"/>
        <v>0.92538607466787914</v>
      </c>
      <c r="EV47" s="1016">
        <f>IFERROR((AA47+BE47+CI47+DM47+EQ47)/G47,0)</f>
        <v>0</v>
      </c>
      <c r="EW47" s="1057"/>
      <c r="EX47" s="1073"/>
      <c r="EY47" s="1073"/>
      <c r="EZ47" s="1018"/>
      <c r="FA47" s="1018"/>
      <c r="FB47" s="777"/>
      <c r="FC47" s="77"/>
      <c r="FD47" s="77"/>
    </row>
    <row r="48" spans="1:160" ht="31.9" customHeight="1" x14ac:dyDescent="0.25">
      <c r="A48" s="710"/>
      <c r="B48" s="710"/>
      <c r="C48" s="710"/>
      <c r="D48" s="710"/>
      <c r="E48" s="710"/>
      <c r="F48" s="79" t="s">
        <v>345</v>
      </c>
      <c r="G48" s="1020">
        <f>AA48+BE48+CI48+DM48+EP48</f>
        <v>0</v>
      </c>
      <c r="H48" s="1058"/>
      <c r="I48" s="1023"/>
      <c r="J48" s="1023"/>
      <c r="K48" s="1023"/>
      <c r="L48" s="1023"/>
      <c r="M48" s="1023"/>
      <c r="N48" s="1023"/>
      <c r="O48" s="1023"/>
      <c r="P48" s="1023"/>
      <c r="Q48" s="1023"/>
      <c r="R48" s="1023"/>
      <c r="S48" s="1023"/>
      <c r="T48" s="1023"/>
      <c r="U48" s="1023"/>
      <c r="V48" s="1023"/>
      <c r="W48" s="1024">
        <f t="shared" si="120"/>
        <v>0</v>
      </c>
      <c r="X48" s="1024">
        <f t="shared" si="121"/>
        <v>0</v>
      </c>
      <c r="Y48" s="1024">
        <f t="shared" si="122"/>
        <v>0</v>
      </c>
      <c r="Z48" s="1024">
        <f t="shared" si="123"/>
        <v>0</v>
      </c>
      <c r="AA48" s="1024">
        <f t="shared" si="123"/>
        <v>0</v>
      </c>
      <c r="AB48" s="1025"/>
      <c r="AC48" s="1025"/>
      <c r="AD48" s="1025"/>
      <c r="AE48" s="1025"/>
      <c r="AF48" s="1025"/>
      <c r="AG48" s="1025"/>
      <c r="AH48" s="1025"/>
      <c r="AI48" s="1025"/>
      <c r="AJ48" s="1025"/>
      <c r="AK48" s="1022"/>
      <c r="AL48" s="1022"/>
      <c r="AM48" s="1022"/>
      <c r="AN48" s="1022"/>
      <c r="AO48" s="1022"/>
      <c r="AP48" s="1022"/>
      <c r="AQ48" s="1022"/>
      <c r="AR48" s="1022"/>
      <c r="AS48" s="1022"/>
      <c r="AT48" s="1022"/>
      <c r="AU48" s="1022"/>
      <c r="AV48" s="1022"/>
      <c r="AW48" s="1022"/>
      <c r="AX48" s="1022"/>
      <c r="AY48" s="1022"/>
      <c r="AZ48" s="1022"/>
      <c r="BA48" s="1020">
        <v>0</v>
      </c>
      <c r="BB48" s="1024">
        <f t="shared" si="124"/>
        <v>0</v>
      </c>
      <c r="BC48" s="1024">
        <f t="shared" si="125"/>
        <v>0</v>
      </c>
      <c r="BD48" s="1024">
        <f>AC48+AE48+AG48+AI48+AK48+AM48+AO48+AQ48+AS48+AU48+AW48+AY48</f>
        <v>0</v>
      </c>
      <c r="BE48" s="1024">
        <f t="shared" si="126"/>
        <v>0</v>
      </c>
      <c r="BF48" s="1022"/>
      <c r="BG48" s="1022"/>
      <c r="BH48" s="1022"/>
      <c r="BI48" s="1022"/>
      <c r="BJ48" s="1022"/>
      <c r="BK48" s="1022"/>
      <c r="BL48" s="1022"/>
      <c r="BM48" s="1022"/>
      <c r="BN48" s="1022"/>
      <c r="BO48" s="1022"/>
      <c r="BP48" s="1022"/>
      <c r="BQ48" s="1022"/>
      <c r="BR48" s="1022"/>
      <c r="BS48" s="1022"/>
      <c r="BT48" s="1022"/>
      <c r="BU48" s="1022"/>
      <c r="BV48" s="1022"/>
      <c r="BW48" s="1022"/>
      <c r="BX48" s="1022"/>
      <c r="BY48" s="1022"/>
      <c r="BZ48" s="1022"/>
      <c r="CA48" s="1022"/>
      <c r="CB48" s="1022"/>
      <c r="CC48" s="1022"/>
      <c r="CD48" s="1022"/>
      <c r="CE48" s="1020">
        <v>0</v>
      </c>
      <c r="CF48" s="1024">
        <f t="shared" si="127"/>
        <v>0</v>
      </c>
      <c r="CG48" s="1024">
        <f t="shared" si="128"/>
        <v>0</v>
      </c>
      <c r="CH48" s="1024">
        <f>BG48+BI48+BK48+BM48+BO48+BQ48+BS48+BU48+BW48+BY48+CA48+CC48</f>
        <v>0</v>
      </c>
      <c r="CI48" s="1024">
        <f t="shared" si="129"/>
        <v>0</v>
      </c>
      <c r="CJ48" s="1022"/>
      <c r="CK48" s="1022"/>
      <c r="CL48" s="1022"/>
      <c r="CM48" s="1022"/>
      <c r="CN48" s="1022"/>
      <c r="CO48" s="1022"/>
      <c r="CP48" s="1022"/>
      <c r="CQ48" s="1022"/>
      <c r="CR48" s="1022"/>
      <c r="CS48" s="1022"/>
      <c r="CT48" s="1022"/>
      <c r="CU48" s="1022"/>
      <c r="CV48" s="1022"/>
      <c r="CW48" s="1022"/>
      <c r="CX48" s="1022"/>
      <c r="CY48" s="1022"/>
      <c r="CZ48" s="1022"/>
      <c r="DA48" s="1022"/>
      <c r="DB48" s="1022"/>
      <c r="DC48" s="1022"/>
      <c r="DD48" s="1022"/>
      <c r="DE48" s="1022"/>
      <c r="DF48" s="1022"/>
      <c r="DG48" s="1022"/>
      <c r="DH48" s="1022"/>
      <c r="DI48" s="1074">
        <f t="shared" si="130"/>
        <v>0</v>
      </c>
      <c r="DJ48" s="1020">
        <f t="shared" si="131"/>
        <v>0</v>
      </c>
      <c r="DK48" s="1020">
        <f t="shared" si="131"/>
        <v>0</v>
      </c>
      <c r="DL48" s="1074">
        <f t="shared" si="132"/>
        <v>0</v>
      </c>
      <c r="DM48" s="1020">
        <f t="shared" si="133"/>
        <v>0</v>
      </c>
      <c r="DN48" s="1022"/>
      <c r="DO48" s="1029"/>
      <c r="DP48" s="1029"/>
      <c r="DQ48" s="1029"/>
      <c r="DR48" s="1029"/>
      <c r="DS48" s="1029"/>
      <c r="DT48" s="1029"/>
      <c r="DU48" s="1029"/>
      <c r="DV48" s="1029"/>
      <c r="DW48" s="1029"/>
      <c r="DX48" s="1029"/>
      <c r="DY48" s="1029"/>
      <c r="DZ48" s="1022"/>
      <c r="EA48" s="1022"/>
      <c r="EB48" s="1022"/>
      <c r="EC48" s="1022"/>
      <c r="ED48" s="1022"/>
      <c r="EE48" s="1022"/>
      <c r="EF48" s="1022"/>
      <c r="EG48" s="1022"/>
      <c r="EH48" s="1022"/>
      <c r="EI48" s="1022"/>
      <c r="EJ48" s="1022"/>
      <c r="EK48" s="1022"/>
      <c r="EL48" s="1022"/>
      <c r="EM48" s="1006">
        <f>EI48+EG48+EE48+EC48+EA48+DY48+DW48+DU48+DS48+DQ48+DO48+EK48</f>
        <v>0</v>
      </c>
      <c r="EN48" s="1006">
        <f t="shared" si="135"/>
        <v>0</v>
      </c>
      <c r="EO48" s="1030">
        <f t="shared" si="134"/>
        <v>0</v>
      </c>
      <c r="EP48" s="1031">
        <f>DQ48+DS48+DU48+DW48+DY48+EA48+EC48+EE48+EG48+EI48+EK48</f>
        <v>0</v>
      </c>
      <c r="EQ48" s="1006">
        <f t="shared" si="51"/>
        <v>0</v>
      </c>
      <c r="ER48" s="1007">
        <f t="shared" si="26"/>
        <v>0</v>
      </c>
      <c r="ES48" s="1007">
        <f>IFERROR(EO48/EN48,0)</f>
        <v>0</v>
      </c>
      <c r="ET48" s="1016">
        <f>IFERROR(EQ48/EP48,0)</f>
        <v>0</v>
      </c>
      <c r="EU48" s="1016">
        <f>IFERROR((AA48+BE48+CI48+DM48+EO48)/(Z48+BD48+CH48+DL48+EN48),0)</f>
        <v>0</v>
      </c>
      <c r="EV48" s="1016">
        <f>IFERROR((AA48+BE48+CI48+DM48+EQ48)/G48,0)</f>
        <v>0</v>
      </c>
      <c r="EW48" s="1057"/>
      <c r="EX48" s="1073"/>
      <c r="EY48" s="1073"/>
      <c r="EZ48" s="1018"/>
      <c r="FA48" s="1018"/>
      <c r="FB48" s="777"/>
      <c r="FC48" s="75"/>
      <c r="FD48" s="75"/>
    </row>
    <row r="49" spans="1:160" ht="31.9" customHeight="1" x14ac:dyDescent="0.25">
      <c r="A49" s="710"/>
      <c r="B49" s="710"/>
      <c r="C49" s="710"/>
      <c r="D49" s="710"/>
      <c r="E49" s="710"/>
      <c r="F49" s="80" t="s">
        <v>346</v>
      </c>
      <c r="G49" s="641">
        <f>AA49+BE49+CI49+DM49+EP49</f>
        <v>108776498</v>
      </c>
      <c r="H49" s="1054"/>
      <c r="I49" s="1055"/>
      <c r="J49" s="1055"/>
      <c r="K49" s="1055"/>
      <c r="L49" s="1055"/>
      <c r="M49" s="1055"/>
      <c r="N49" s="1055"/>
      <c r="O49" s="1055"/>
      <c r="P49" s="1055"/>
      <c r="Q49" s="1055"/>
      <c r="R49" s="1055"/>
      <c r="S49" s="1055"/>
      <c r="T49" s="1055"/>
      <c r="U49" s="1055"/>
      <c r="V49" s="1055"/>
      <c r="W49" s="1024">
        <f t="shared" si="120"/>
        <v>0</v>
      </c>
      <c r="X49" s="1024">
        <f t="shared" si="121"/>
        <v>0</v>
      </c>
      <c r="Y49" s="1024">
        <f t="shared" si="122"/>
        <v>0</v>
      </c>
      <c r="Z49" s="1012">
        <f t="shared" si="123"/>
        <v>0</v>
      </c>
      <c r="AA49" s="1012">
        <f t="shared" si="123"/>
        <v>0</v>
      </c>
      <c r="AB49" s="1012">
        <v>30874233</v>
      </c>
      <c r="AC49" s="1012">
        <v>13317533</v>
      </c>
      <c r="AD49" s="1012">
        <v>13317533</v>
      </c>
      <c r="AE49" s="1012">
        <f>30874233-AD49</f>
        <v>17556700</v>
      </c>
      <c r="AF49" s="1012">
        <v>17556700</v>
      </c>
      <c r="AG49" s="1012">
        <v>0</v>
      </c>
      <c r="AH49" s="1012">
        <v>0</v>
      </c>
      <c r="AI49" s="1012">
        <v>0</v>
      </c>
      <c r="AJ49" s="1012">
        <v>0</v>
      </c>
      <c r="AK49" s="1012">
        <v>0</v>
      </c>
      <c r="AL49" s="1012">
        <v>0</v>
      </c>
      <c r="AM49" s="1012"/>
      <c r="AN49" s="1012"/>
      <c r="AO49" s="1012">
        <v>0</v>
      </c>
      <c r="AP49" s="1012">
        <v>0</v>
      </c>
      <c r="AQ49" s="1012"/>
      <c r="AR49" s="1012"/>
      <c r="AS49" s="1012"/>
      <c r="AT49" s="1012">
        <v>0</v>
      </c>
      <c r="AU49" s="1012"/>
      <c r="AV49" s="1012">
        <v>0</v>
      </c>
      <c r="AW49" s="1012"/>
      <c r="AX49" s="1012">
        <v>0</v>
      </c>
      <c r="AY49" s="1012"/>
      <c r="AZ49" s="1012"/>
      <c r="BA49" s="1012">
        <f>AW49+AU49+AS49+AQ49+AO49+AM49+AK49+AI49+AG49+AE49+AC49+AY49</f>
        <v>30874233</v>
      </c>
      <c r="BB49" s="1012">
        <f t="shared" si="124"/>
        <v>30874233</v>
      </c>
      <c r="BC49" s="1012">
        <f t="shared" si="125"/>
        <v>30874233</v>
      </c>
      <c r="BD49" s="1012">
        <f>BA49</f>
        <v>30874233</v>
      </c>
      <c r="BE49" s="1012">
        <f t="shared" si="126"/>
        <v>30874233</v>
      </c>
      <c r="BF49" s="1012">
        <v>27230733</v>
      </c>
      <c r="BG49" s="1012">
        <v>15311000</v>
      </c>
      <c r="BH49" s="1012">
        <v>15311000</v>
      </c>
      <c r="BI49" s="1012">
        <v>11919733</v>
      </c>
      <c r="BJ49" s="1012">
        <v>11690533</v>
      </c>
      <c r="BK49" s="1012">
        <v>0</v>
      </c>
      <c r="BL49" s="1012">
        <v>0</v>
      </c>
      <c r="BM49" s="1012">
        <v>-229200</v>
      </c>
      <c r="BN49" s="1012">
        <v>0</v>
      </c>
      <c r="BO49" s="1012">
        <v>0</v>
      </c>
      <c r="BP49" s="1012"/>
      <c r="BQ49" s="1012">
        <v>0</v>
      </c>
      <c r="BR49" s="1012">
        <v>0</v>
      </c>
      <c r="BS49" s="1012">
        <v>0</v>
      </c>
      <c r="BT49" s="1012">
        <v>0</v>
      </c>
      <c r="BU49" s="1012">
        <v>0</v>
      </c>
      <c r="BV49" s="1012">
        <v>0</v>
      </c>
      <c r="BW49" s="1012">
        <v>0</v>
      </c>
      <c r="BX49" s="1012"/>
      <c r="BY49" s="1012">
        <v>0</v>
      </c>
      <c r="BZ49" s="1012">
        <v>0</v>
      </c>
      <c r="CA49" s="1012">
        <v>0</v>
      </c>
      <c r="CB49" s="1012">
        <v>0</v>
      </c>
      <c r="CC49" s="1012">
        <v>0</v>
      </c>
      <c r="CD49" s="1012"/>
      <c r="CE49" s="1012">
        <f>CA49+BY49+BW49+BU49+BS49+BQ49+BO49+BM49+BK49+BI49+BG49+CC49</f>
        <v>27001533</v>
      </c>
      <c r="CF49" s="1012">
        <f t="shared" si="127"/>
        <v>27001533</v>
      </c>
      <c r="CG49" s="1012">
        <f t="shared" si="128"/>
        <v>27001533</v>
      </c>
      <c r="CH49" s="1012">
        <f>CE49</f>
        <v>27001533</v>
      </c>
      <c r="CI49" s="1012">
        <f t="shared" si="129"/>
        <v>27001533</v>
      </c>
      <c r="CJ49" s="1012">
        <v>22762145</v>
      </c>
      <c r="CK49" s="1012">
        <v>15222533</v>
      </c>
      <c r="CL49" s="1012">
        <v>15222533</v>
      </c>
      <c r="CM49" s="1012">
        <v>5142158</v>
      </c>
      <c r="CN49" s="1012">
        <v>5142158</v>
      </c>
      <c r="CO49" s="1012">
        <v>0</v>
      </c>
      <c r="CP49" s="1012">
        <v>0</v>
      </c>
      <c r="CQ49" s="1012"/>
      <c r="CR49" s="1012">
        <v>0</v>
      </c>
      <c r="CS49" s="1012">
        <v>2397454</v>
      </c>
      <c r="CT49" s="1012">
        <v>0</v>
      </c>
      <c r="CU49" s="1012"/>
      <c r="CV49" s="1012"/>
      <c r="CW49" s="1012"/>
      <c r="CX49" s="1012">
        <v>110289</v>
      </c>
      <c r="CY49" s="1012"/>
      <c r="CZ49" s="1012"/>
      <c r="DA49" s="1012"/>
      <c r="DB49" s="1012"/>
      <c r="DC49" s="1012"/>
      <c r="DD49" s="1012">
        <v>2281185</v>
      </c>
      <c r="DE49" s="1012"/>
      <c r="DF49" s="1012"/>
      <c r="DG49" s="1012">
        <v>-5980</v>
      </c>
      <c r="DH49" s="1012"/>
      <c r="DI49" s="1012">
        <f t="shared" si="130"/>
        <v>22756165</v>
      </c>
      <c r="DJ49" s="1012">
        <f t="shared" si="131"/>
        <v>22756165</v>
      </c>
      <c r="DK49" s="1012">
        <f t="shared" si="131"/>
        <v>22756165</v>
      </c>
      <c r="DL49" s="1012">
        <f t="shared" si="132"/>
        <v>22756165</v>
      </c>
      <c r="DM49" s="1012">
        <f t="shared" si="133"/>
        <v>22756165</v>
      </c>
      <c r="DN49" s="1012">
        <v>28144567</v>
      </c>
      <c r="DO49" s="1014">
        <v>10020200</v>
      </c>
      <c r="DP49" s="1014">
        <v>10020200</v>
      </c>
      <c r="DQ49" s="1014">
        <v>18124367</v>
      </c>
      <c r="DR49" s="1014">
        <v>16955367</v>
      </c>
      <c r="DS49" s="1014"/>
      <c r="DT49" s="1014"/>
      <c r="DU49" s="1014"/>
      <c r="DV49" s="1014"/>
      <c r="DW49" s="1014"/>
      <c r="DX49" s="1014"/>
      <c r="DY49" s="1014"/>
      <c r="DZ49" s="1015"/>
      <c r="EA49" s="1015"/>
      <c r="EB49" s="1015"/>
      <c r="EC49" s="1015"/>
      <c r="ED49" s="1015"/>
      <c r="EE49" s="1015"/>
      <c r="EF49" s="1015"/>
      <c r="EG49" s="1015"/>
      <c r="EH49" s="1015"/>
      <c r="EI49" s="1015"/>
      <c r="EJ49" s="1015"/>
      <c r="EK49" s="1015"/>
      <c r="EL49" s="1015"/>
      <c r="EM49" s="643">
        <f>EI49+EG49+EE49+EC49+EA49+DY49+DW49+DU49+DS49+DQ49+DO49+EK49</f>
        <v>28144567</v>
      </c>
      <c r="EN49" s="643">
        <f t="shared" si="135"/>
        <v>28144567</v>
      </c>
      <c r="EO49" s="643">
        <f t="shared" si="134"/>
        <v>26975567</v>
      </c>
      <c r="EP49" s="641">
        <f>DQ49+DS49+DU49+DW49+DY49+EA49+EC49+EE49+EG49+EI49+EK49+DO49</f>
        <v>28144567</v>
      </c>
      <c r="EQ49" s="641">
        <f t="shared" si="51"/>
        <v>26975567</v>
      </c>
      <c r="ER49" s="1007">
        <f t="shared" si="26"/>
        <v>0</v>
      </c>
      <c r="ES49" s="1007">
        <f t="shared" si="21"/>
        <v>0.95846445248207235</v>
      </c>
      <c r="ET49" s="1016">
        <f t="shared" si="22"/>
        <v>0.95846445248207235</v>
      </c>
      <c r="EU49" s="1016">
        <f t="shared" si="23"/>
        <v>0.98925319327709926</v>
      </c>
      <c r="EV49" s="1016">
        <f t="shared" si="24"/>
        <v>0.98925319327709926</v>
      </c>
      <c r="EW49" s="1057"/>
      <c r="EX49" s="1073"/>
      <c r="EY49" s="1073"/>
      <c r="EZ49" s="1018"/>
      <c r="FA49" s="1018"/>
      <c r="FB49" s="777"/>
      <c r="FC49" s="77"/>
      <c r="FD49" s="77"/>
    </row>
    <row r="50" spans="1:160" ht="31.9" customHeight="1" thickBot="1" x14ac:dyDescent="0.3">
      <c r="A50" s="710"/>
      <c r="B50" s="710"/>
      <c r="C50" s="710"/>
      <c r="D50" s="710"/>
      <c r="E50" s="710"/>
      <c r="F50" s="79" t="s">
        <v>347</v>
      </c>
      <c r="G50" s="1033">
        <f>G45+G48</f>
        <v>100</v>
      </c>
      <c r="H50" s="1062">
        <v>10</v>
      </c>
      <c r="I50" s="1063"/>
      <c r="J50" s="1063"/>
      <c r="K50" s="1063">
        <v>10</v>
      </c>
      <c r="L50" s="1063">
        <v>2</v>
      </c>
      <c r="M50" s="1063">
        <v>10</v>
      </c>
      <c r="N50" s="1064">
        <v>4</v>
      </c>
      <c r="O50" s="1063">
        <v>10</v>
      </c>
      <c r="P50" s="1064">
        <v>6</v>
      </c>
      <c r="Q50" s="1063">
        <v>10</v>
      </c>
      <c r="R50" s="1065">
        <v>8</v>
      </c>
      <c r="S50" s="1063">
        <v>10</v>
      </c>
      <c r="T50" s="1039">
        <v>9</v>
      </c>
      <c r="U50" s="1033">
        <v>10</v>
      </c>
      <c r="V50" s="1033">
        <v>10</v>
      </c>
      <c r="W50" s="1038">
        <f t="shared" si="120"/>
        <v>10</v>
      </c>
      <c r="X50" s="1038">
        <f t="shared" si="121"/>
        <v>10</v>
      </c>
      <c r="Y50" s="1038">
        <f t="shared" si="122"/>
        <v>10</v>
      </c>
      <c r="Z50" s="1038">
        <f t="shared" si="123"/>
        <v>10</v>
      </c>
      <c r="AA50" s="1038">
        <f t="shared" si="123"/>
        <v>10</v>
      </c>
      <c r="AB50" s="1033">
        <v>20</v>
      </c>
      <c r="AC50" s="1033">
        <v>1</v>
      </c>
      <c r="AD50" s="1033">
        <v>1</v>
      </c>
      <c r="AE50" s="1039">
        <v>1</v>
      </c>
      <c r="AF50" s="1039">
        <v>1</v>
      </c>
      <c r="AG50" s="1039">
        <v>1</v>
      </c>
      <c r="AH50" s="1039">
        <v>1</v>
      </c>
      <c r="AI50" s="1039">
        <v>2</v>
      </c>
      <c r="AJ50" s="1039">
        <v>2</v>
      </c>
      <c r="AK50" s="1040">
        <v>2</v>
      </c>
      <c r="AL50" s="1040">
        <v>2</v>
      </c>
      <c r="AM50" s="1040">
        <v>2</v>
      </c>
      <c r="AN50" s="1040">
        <v>2</v>
      </c>
      <c r="AO50" s="1040">
        <v>2</v>
      </c>
      <c r="AP50" s="1039">
        <v>2</v>
      </c>
      <c r="AQ50" s="1040">
        <v>2</v>
      </c>
      <c r="AR50" s="1040">
        <v>2</v>
      </c>
      <c r="AS50" s="1040">
        <v>2</v>
      </c>
      <c r="AT50" s="1040">
        <v>2</v>
      </c>
      <c r="AU50" s="1040">
        <v>2</v>
      </c>
      <c r="AV50" s="1040">
        <v>2</v>
      </c>
      <c r="AW50" s="1040">
        <v>2</v>
      </c>
      <c r="AX50" s="1040">
        <v>2</v>
      </c>
      <c r="AY50" s="1040">
        <v>1</v>
      </c>
      <c r="AZ50" s="1040">
        <v>1</v>
      </c>
      <c r="BA50" s="1039">
        <f>BA45+BA48</f>
        <v>20</v>
      </c>
      <c r="BB50" s="1038">
        <f t="shared" si="124"/>
        <v>20</v>
      </c>
      <c r="BC50" s="1038">
        <f t="shared" si="125"/>
        <v>20</v>
      </c>
      <c r="BD50" s="1038">
        <f>BD45+BD48</f>
        <v>20</v>
      </c>
      <c r="BE50" s="1038">
        <f t="shared" si="126"/>
        <v>20</v>
      </c>
      <c r="BF50" s="1040">
        <v>20</v>
      </c>
      <c r="BG50" s="1040">
        <f t="shared" ref="BG50:CD50" si="136">+BG45</f>
        <v>2</v>
      </c>
      <c r="BH50" s="1040">
        <f t="shared" si="136"/>
        <v>2</v>
      </c>
      <c r="BI50" s="1040">
        <f t="shared" si="136"/>
        <v>2</v>
      </c>
      <c r="BJ50" s="1040">
        <f t="shared" si="136"/>
        <v>2</v>
      </c>
      <c r="BK50" s="1040">
        <f t="shared" si="136"/>
        <v>2</v>
      </c>
      <c r="BL50" s="1040">
        <f t="shared" si="136"/>
        <v>1</v>
      </c>
      <c r="BM50" s="1040">
        <f t="shared" si="136"/>
        <v>2</v>
      </c>
      <c r="BN50" s="1040">
        <f t="shared" si="136"/>
        <v>3</v>
      </c>
      <c r="BO50" s="1040">
        <f t="shared" si="136"/>
        <v>2</v>
      </c>
      <c r="BP50" s="1040">
        <f t="shared" si="136"/>
        <v>2</v>
      </c>
      <c r="BQ50" s="1040">
        <f t="shared" si="136"/>
        <v>2</v>
      </c>
      <c r="BR50" s="1040">
        <f t="shared" si="136"/>
        <v>2</v>
      </c>
      <c r="BS50" s="1040">
        <f t="shared" si="136"/>
        <v>2</v>
      </c>
      <c r="BT50" s="1040">
        <f t="shared" si="136"/>
        <v>2</v>
      </c>
      <c r="BU50" s="1040">
        <f t="shared" si="136"/>
        <v>2</v>
      </c>
      <c r="BV50" s="1040">
        <f t="shared" si="136"/>
        <v>2</v>
      </c>
      <c r="BW50" s="1040">
        <f t="shared" si="136"/>
        <v>1</v>
      </c>
      <c r="BX50" s="1040">
        <f t="shared" si="136"/>
        <v>1</v>
      </c>
      <c r="BY50" s="1040">
        <f t="shared" si="136"/>
        <v>1</v>
      </c>
      <c r="BZ50" s="1040">
        <f t="shared" si="136"/>
        <v>1</v>
      </c>
      <c r="CA50" s="1040">
        <f t="shared" si="136"/>
        <v>1</v>
      </c>
      <c r="CB50" s="1040">
        <f t="shared" si="136"/>
        <v>1</v>
      </c>
      <c r="CC50" s="1040">
        <f t="shared" si="136"/>
        <v>1</v>
      </c>
      <c r="CD50" s="1040">
        <f t="shared" si="136"/>
        <v>1</v>
      </c>
      <c r="CE50" s="1039">
        <f>CE45+CE48</f>
        <v>20</v>
      </c>
      <c r="CF50" s="1038">
        <f t="shared" si="127"/>
        <v>20</v>
      </c>
      <c r="CG50" s="1038">
        <f t="shared" si="128"/>
        <v>20</v>
      </c>
      <c r="CH50" s="1038">
        <f>CH45+CH48</f>
        <v>20</v>
      </c>
      <c r="CI50" s="1038">
        <f t="shared" si="129"/>
        <v>20</v>
      </c>
      <c r="CJ50" s="1040">
        <v>34</v>
      </c>
      <c r="CK50" s="1039">
        <f t="shared" ref="CK50:DH50" si="137">+CK45</f>
        <v>0</v>
      </c>
      <c r="CL50" s="1039">
        <f t="shared" si="137"/>
        <v>0</v>
      </c>
      <c r="CM50" s="1039">
        <f t="shared" si="137"/>
        <v>1</v>
      </c>
      <c r="CN50" s="1039">
        <f t="shared" si="137"/>
        <v>2</v>
      </c>
      <c r="CO50" s="1039">
        <f t="shared" si="137"/>
        <v>4</v>
      </c>
      <c r="CP50" s="1039">
        <f t="shared" si="137"/>
        <v>4</v>
      </c>
      <c r="CQ50" s="1039">
        <f t="shared" si="137"/>
        <v>4</v>
      </c>
      <c r="CR50" s="1039">
        <f t="shared" si="137"/>
        <v>4</v>
      </c>
      <c r="CS50" s="1039">
        <f t="shared" si="137"/>
        <v>4</v>
      </c>
      <c r="CT50" s="1039">
        <f t="shared" si="137"/>
        <v>4</v>
      </c>
      <c r="CU50" s="1039">
        <f t="shared" si="137"/>
        <v>3</v>
      </c>
      <c r="CV50" s="1039">
        <f t="shared" si="137"/>
        <v>3</v>
      </c>
      <c r="CW50" s="1039">
        <f t="shared" si="137"/>
        <v>3</v>
      </c>
      <c r="CX50" s="1039">
        <f t="shared" si="137"/>
        <v>3</v>
      </c>
      <c r="CY50" s="1039">
        <f t="shared" si="137"/>
        <v>3</v>
      </c>
      <c r="CZ50" s="1039">
        <f t="shared" si="137"/>
        <v>3</v>
      </c>
      <c r="DA50" s="1039">
        <f t="shared" si="137"/>
        <v>3</v>
      </c>
      <c r="DB50" s="1039">
        <f t="shared" si="137"/>
        <v>3</v>
      </c>
      <c r="DC50" s="1039">
        <f t="shared" si="137"/>
        <v>3</v>
      </c>
      <c r="DD50" s="1039">
        <f t="shared" si="137"/>
        <v>3</v>
      </c>
      <c r="DE50" s="1039">
        <f t="shared" si="137"/>
        <v>3</v>
      </c>
      <c r="DF50" s="1039">
        <f t="shared" si="137"/>
        <v>3</v>
      </c>
      <c r="DG50" s="1039">
        <f t="shared" si="137"/>
        <v>3</v>
      </c>
      <c r="DH50" s="1039">
        <f t="shared" si="137"/>
        <v>2</v>
      </c>
      <c r="DI50" s="1075">
        <f t="shared" si="130"/>
        <v>34</v>
      </c>
      <c r="DJ50" s="1039">
        <f t="shared" si="131"/>
        <v>34</v>
      </c>
      <c r="DK50" s="1039">
        <f t="shared" si="131"/>
        <v>34</v>
      </c>
      <c r="DL50" s="1075">
        <f t="shared" si="132"/>
        <v>34</v>
      </c>
      <c r="DM50" s="1039">
        <f t="shared" si="133"/>
        <v>34</v>
      </c>
      <c r="DN50" s="1040">
        <f>+DN45+DN48</f>
        <v>16</v>
      </c>
      <c r="DO50" s="1040">
        <f t="shared" ref="DO50:DZ50" si="138">+DO45+DO48</f>
        <v>2</v>
      </c>
      <c r="DP50" s="1040">
        <f t="shared" si="138"/>
        <v>2</v>
      </c>
      <c r="DQ50" s="1040">
        <f t="shared" si="138"/>
        <v>1</v>
      </c>
      <c r="DR50" s="1040">
        <f t="shared" si="138"/>
        <v>0</v>
      </c>
      <c r="DS50" s="1040">
        <f t="shared" si="138"/>
        <v>4</v>
      </c>
      <c r="DT50" s="1040">
        <f t="shared" si="138"/>
        <v>2</v>
      </c>
      <c r="DU50" s="1040">
        <f t="shared" si="138"/>
        <v>4</v>
      </c>
      <c r="DV50" s="1040">
        <f t="shared" si="138"/>
        <v>0</v>
      </c>
      <c r="DW50" s="1040">
        <f t="shared" si="138"/>
        <v>4</v>
      </c>
      <c r="DX50" s="1040">
        <f t="shared" si="138"/>
        <v>0</v>
      </c>
      <c r="DY50" s="1040">
        <f t="shared" si="138"/>
        <v>1</v>
      </c>
      <c r="DZ50" s="1040">
        <f t="shared" si="138"/>
        <v>0</v>
      </c>
      <c r="EA50" s="1040"/>
      <c r="EB50" s="1040"/>
      <c r="EC50" s="1040"/>
      <c r="ED50" s="1040"/>
      <c r="EE50" s="1040"/>
      <c r="EF50" s="1040"/>
      <c r="EG50" s="1040"/>
      <c r="EH50" s="1040"/>
      <c r="EI50" s="1040"/>
      <c r="EJ50" s="1040"/>
      <c r="EK50" s="1040"/>
      <c r="EL50" s="1040"/>
      <c r="EM50" s="1039">
        <f>EI50+EG50+EE50+EC50+EA50+DY50+DW50+DU50+DS50+DQ50+DO50+EK50</f>
        <v>16</v>
      </c>
      <c r="EN50" s="1039">
        <f t="shared" si="135"/>
        <v>7</v>
      </c>
      <c r="EO50" s="1044">
        <f t="shared" si="134"/>
        <v>4</v>
      </c>
      <c r="EP50" s="1067">
        <f>DQ50+DS50+DU50+DW50+DY50+EA50+EC50+EE50+EG50+EI50+EK50+DO50</f>
        <v>16</v>
      </c>
      <c r="EQ50" s="1039">
        <f t="shared" si="51"/>
        <v>4</v>
      </c>
      <c r="ER50" s="1045">
        <f t="shared" si="26"/>
        <v>0.5</v>
      </c>
      <c r="ES50" s="1045">
        <f t="shared" si="21"/>
        <v>0.5714285714285714</v>
      </c>
      <c r="ET50" s="1046">
        <f t="shared" si="22"/>
        <v>0.25</v>
      </c>
      <c r="EU50" s="1046">
        <f t="shared" si="23"/>
        <v>0.96703296703296704</v>
      </c>
      <c r="EV50" s="1046">
        <f t="shared" si="24"/>
        <v>0.88</v>
      </c>
      <c r="EW50" s="1057"/>
      <c r="EX50" s="1073"/>
      <c r="EY50" s="1073"/>
      <c r="EZ50" s="1018"/>
      <c r="FA50" s="1018"/>
      <c r="FB50" s="777"/>
      <c r="FC50" s="75"/>
      <c r="FD50" s="75"/>
    </row>
    <row r="51" spans="1:160" ht="31.9" customHeight="1" thickBot="1" x14ac:dyDescent="0.3">
      <c r="A51" s="710"/>
      <c r="B51" s="731"/>
      <c r="C51" s="731"/>
      <c r="D51" s="731"/>
      <c r="E51" s="731"/>
      <c r="F51" s="81" t="s">
        <v>348</v>
      </c>
      <c r="G51" s="646">
        <f>G46+G49</f>
        <v>1602743064</v>
      </c>
      <c r="H51" s="647">
        <f t="shared" ref="H51:DK51" si="139">H46+H49</f>
        <v>120000000</v>
      </c>
      <c r="I51" s="647">
        <f t="shared" si="139"/>
        <v>0</v>
      </c>
      <c r="J51" s="647">
        <f t="shared" si="139"/>
        <v>0</v>
      </c>
      <c r="K51" s="647">
        <f t="shared" si="139"/>
        <v>120000000</v>
      </c>
      <c r="L51" s="647">
        <f t="shared" si="139"/>
        <v>0</v>
      </c>
      <c r="M51" s="647">
        <f t="shared" si="139"/>
        <v>104955000</v>
      </c>
      <c r="N51" s="647">
        <f t="shared" si="139"/>
        <v>90696000</v>
      </c>
      <c r="O51" s="647">
        <f t="shared" si="139"/>
        <v>104955000</v>
      </c>
      <c r="P51" s="647">
        <f t="shared" si="139"/>
        <v>90696000</v>
      </c>
      <c r="Q51" s="647">
        <f t="shared" si="139"/>
        <v>104955000</v>
      </c>
      <c r="R51" s="647">
        <f t="shared" si="139"/>
        <v>90696000</v>
      </c>
      <c r="S51" s="647">
        <f t="shared" si="139"/>
        <v>109624000</v>
      </c>
      <c r="T51" s="647">
        <f t="shared" si="139"/>
        <v>90696000</v>
      </c>
      <c r="U51" s="647">
        <f t="shared" si="139"/>
        <v>109624000</v>
      </c>
      <c r="V51" s="647">
        <f t="shared" si="139"/>
        <v>109624000</v>
      </c>
      <c r="W51" s="647">
        <f t="shared" si="139"/>
        <v>120000000</v>
      </c>
      <c r="X51" s="647">
        <f t="shared" si="139"/>
        <v>120000000</v>
      </c>
      <c r="Y51" s="647">
        <f t="shared" si="139"/>
        <v>109624000</v>
      </c>
      <c r="Z51" s="647">
        <f t="shared" si="139"/>
        <v>109624000</v>
      </c>
      <c r="AA51" s="647">
        <f t="shared" si="139"/>
        <v>109624000</v>
      </c>
      <c r="AB51" s="647">
        <f t="shared" si="139"/>
        <v>380713233</v>
      </c>
      <c r="AC51" s="647">
        <f t="shared" si="139"/>
        <v>13317533</v>
      </c>
      <c r="AD51" s="647">
        <f t="shared" si="139"/>
        <v>13317533</v>
      </c>
      <c r="AE51" s="647">
        <f t="shared" si="139"/>
        <v>331346700</v>
      </c>
      <c r="AF51" s="647">
        <f t="shared" si="139"/>
        <v>331346700</v>
      </c>
      <c r="AG51" s="647">
        <f t="shared" si="139"/>
        <v>0</v>
      </c>
      <c r="AH51" s="647">
        <f t="shared" si="139"/>
        <v>0</v>
      </c>
      <c r="AI51" s="647">
        <f t="shared" si="139"/>
        <v>0</v>
      </c>
      <c r="AJ51" s="647">
        <f t="shared" si="139"/>
        <v>0</v>
      </c>
      <c r="AK51" s="647">
        <f t="shared" si="139"/>
        <v>0</v>
      </c>
      <c r="AL51" s="647">
        <f t="shared" si="139"/>
        <v>0</v>
      </c>
      <c r="AM51" s="647">
        <f t="shared" si="139"/>
        <v>0</v>
      </c>
      <c r="AN51" s="647">
        <f t="shared" si="139"/>
        <v>0</v>
      </c>
      <c r="AO51" s="647">
        <f t="shared" si="139"/>
        <v>0</v>
      </c>
      <c r="AP51" s="647">
        <f t="shared" si="139"/>
        <v>0</v>
      </c>
      <c r="AQ51" s="647">
        <f t="shared" si="139"/>
        <v>0</v>
      </c>
      <c r="AR51" s="647">
        <f t="shared" si="139"/>
        <v>0</v>
      </c>
      <c r="AS51" s="647">
        <f t="shared" si="139"/>
        <v>5632000</v>
      </c>
      <c r="AT51" s="647">
        <f t="shared" si="139"/>
        <v>10314000</v>
      </c>
      <c r="AU51" s="647">
        <f t="shared" si="139"/>
        <v>10314000</v>
      </c>
      <c r="AV51" s="647">
        <f t="shared" si="139"/>
        <v>2882000</v>
      </c>
      <c r="AW51" s="647">
        <f t="shared" si="139"/>
        <v>4054000</v>
      </c>
      <c r="AX51" s="647">
        <f t="shared" si="139"/>
        <v>0</v>
      </c>
      <c r="AY51" s="647">
        <f t="shared" si="139"/>
        <v>0</v>
      </c>
      <c r="AZ51" s="647">
        <f t="shared" si="139"/>
        <v>5517400</v>
      </c>
      <c r="BA51" s="647">
        <f t="shared" si="139"/>
        <v>364664233</v>
      </c>
      <c r="BB51" s="647">
        <f t="shared" si="139"/>
        <v>364664233</v>
      </c>
      <c r="BC51" s="647">
        <f t="shared" si="139"/>
        <v>363377633</v>
      </c>
      <c r="BD51" s="647">
        <f t="shared" si="139"/>
        <v>364664233</v>
      </c>
      <c r="BE51" s="647">
        <f t="shared" si="139"/>
        <v>363377633</v>
      </c>
      <c r="BF51" s="647">
        <f t="shared" si="139"/>
        <v>336815733</v>
      </c>
      <c r="BG51" s="647">
        <f t="shared" si="139"/>
        <v>319109900</v>
      </c>
      <c r="BH51" s="647">
        <f t="shared" si="139"/>
        <v>319109900</v>
      </c>
      <c r="BI51" s="647">
        <f t="shared" si="139"/>
        <v>11919733</v>
      </c>
      <c r="BJ51" s="647">
        <f t="shared" si="139"/>
        <v>11690533</v>
      </c>
      <c r="BK51" s="647">
        <f t="shared" si="139"/>
        <v>0</v>
      </c>
      <c r="BL51" s="647">
        <f t="shared" si="139"/>
        <v>0</v>
      </c>
      <c r="BM51" s="647">
        <f t="shared" si="139"/>
        <v>-229200</v>
      </c>
      <c r="BN51" s="647">
        <f t="shared" si="139"/>
        <v>0</v>
      </c>
      <c r="BO51" s="647">
        <f t="shared" si="139"/>
        <v>0</v>
      </c>
      <c r="BP51" s="647">
        <f t="shared" si="139"/>
        <v>0</v>
      </c>
      <c r="BQ51" s="647">
        <f t="shared" si="139"/>
        <v>0</v>
      </c>
      <c r="BR51" s="647">
        <f t="shared" si="139"/>
        <v>4898000</v>
      </c>
      <c r="BS51" s="647">
        <f t="shared" si="139"/>
        <v>-556800</v>
      </c>
      <c r="BT51" s="647">
        <f t="shared" si="139"/>
        <v>0</v>
      </c>
      <c r="BU51" s="647">
        <f t="shared" si="139"/>
        <v>0</v>
      </c>
      <c r="BV51" s="647">
        <f t="shared" si="139"/>
        <v>0</v>
      </c>
      <c r="BW51" s="647">
        <f t="shared" si="139"/>
        <v>0</v>
      </c>
      <c r="BX51" s="647">
        <f t="shared" si="139"/>
        <v>0</v>
      </c>
      <c r="BY51" s="647">
        <f t="shared" si="139"/>
        <v>0</v>
      </c>
      <c r="BZ51" s="647">
        <f t="shared" si="139"/>
        <v>0</v>
      </c>
      <c r="CA51" s="647">
        <f t="shared" si="139"/>
        <v>26935168</v>
      </c>
      <c r="CB51" s="647">
        <f t="shared" si="139"/>
        <v>17869333</v>
      </c>
      <c r="CC51" s="647">
        <f t="shared" si="139"/>
        <v>5786100</v>
      </c>
      <c r="CD51" s="647">
        <f t="shared" si="139"/>
        <v>9397133</v>
      </c>
      <c r="CE51" s="647">
        <f t="shared" si="139"/>
        <v>362964901</v>
      </c>
      <c r="CF51" s="647">
        <f t="shared" si="139"/>
        <v>362964901</v>
      </c>
      <c r="CG51" s="647">
        <f t="shared" si="139"/>
        <v>362964899</v>
      </c>
      <c r="CH51" s="647">
        <f t="shared" si="139"/>
        <v>362964901</v>
      </c>
      <c r="CI51" s="647">
        <f t="shared" si="139"/>
        <v>362964899</v>
      </c>
      <c r="CJ51" s="647">
        <f t="shared" si="139"/>
        <v>383199145</v>
      </c>
      <c r="CK51" s="647">
        <f t="shared" si="139"/>
        <v>15222533</v>
      </c>
      <c r="CL51" s="647">
        <f t="shared" si="139"/>
        <v>15222533</v>
      </c>
      <c r="CM51" s="647">
        <f t="shared" si="139"/>
        <v>291052158</v>
      </c>
      <c r="CN51" s="647">
        <f t="shared" si="139"/>
        <v>291052158</v>
      </c>
      <c r="CO51" s="647">
        <f t="shared" si="139"/>
        <v>0</v>
      </c>
      <c r="CP51" s="647">
        <f t="shared" si="139"/>
        <v>0</v>
      </c>
      <c r="CQ51" s="647">
        <f t="shared" si="139"/>
        <v>31563000</v>
      </c>
      <c r="CR51" s="647">
        <f t="shared" si="139"/>
        <v>31563000</v>
      </c>
      <c r="CS51" s="647">
        <f t="shared" si="139"/>
        <v>2397454</v>
      </c>
      <c r="CT51" s="647">
        <f t="shared" si="139"/>
        <v>0</v>
      </c>
      <c r="CU51" s="647">
        <f t="shared" si="139"/>
        <v>0</v>
      </c>
      <c r="CV51" s="647">
        <f t="shared" si="139"/>
        <v>0</v>
      </c>
      <c r="CW51" s="647">
        <f t="shared" si="139"/>
        <v>-27900200</v>
      </c>
      <c r="CX51" s="647">
        <f t="shared" si="139"/>
        <v>110289</v>
      </c>
      <c r="CY51" s="647">
        <f t="shared" si="139"/>
        <v>0</v>
      </c>
      <c r="CZ51" s="647">
        <f t="shared" si="139"/>
        <v>0</v>
      </c>
      <c r="DA51" s="647">
        <f t="shared" si="139"/>
        <v>0</v>
      </c>
      <c r="DB51" s="647">
        <f t="shared" si="139"/>
        <v>0</v>
      </c>
      <c r="DC51" s="647">
        <f t="shared" si="139"/>
        <v>3380233</v>
      </c>
      <c r="DD51" s="647">
        <f t="shared" si="139"/>
        <v>2281185</v>
      </c>
      <c r="DE51" s="647">
        <f t="shared" si="139"/>
        <v>1028767</v>
      </c>
      <c r="DF51" s="647">
        <f t="shared" si="139"/>
        <v>0</v>
      </c>
      <c r="DG51" s="647">
        <f t="shared" si="139"/>
        <v>42958020</v>
      </c>
      <c r="DH51" s="647">
        <f t="shared" si="139"/>
        <v>19472800</v>
      </c>
      <c r="DI51" s="647">
        <f t="shared" si="139"/>
        <v>359701965</v>
      </c>
      <c r="DJ51" s="647">
        <f t="shared" si="139"/>
        <v>359701965</v>
      </c>
      <c r="DK51" s="647">
        <f t="shared" si="139"/>
        <v>359701965</v>
      </c>
      <c r="DL51" s="647">
        <f>DL46+DL49</f>
        <v>359701965</v>
      </c>
      <c r="DM51" s="647">
        <f t="shared" ref="DM51:EQ51" si="140">DM46+DM49</f>
        <v>359701965</v>
      </c>
      <c r="DN51" s="647">
        <f t="shared" si="140"/>
        <v>407074567</v>
      </c>
      <c r="DO51" s="647">
        <f t="shared" si="140"/>
        <v>32065200</v>
      </c>
      <c r="DP51" s="647">
        <f t="shared" si="140"/>
        <v>32065200</v>
      </c>
      <c r="DQ51" s="647">
        <f t="shared" si="140"/>
        <v>142447367</v>
      </c>
      <c r="DR51" s="647">
        <f t="shared" si="140"/>
        <v>88663367</v>
      </c>
      <c r="DS51" s="647">
        <f t="shared" si="140"/>
        <v>0</v>
      </c>
      <c r="DT51" s="647">
        <f t="shared" si="140"/>
        <v>15460000</v>
      </c>
      <c r="DU51" s="647">
        <f t="shared" si="140"/>
        <v>24300000</v>
      </c>
      <c r="DV51" s="647">
        <f t="shared" si="140"/>
        <v>0</v>
      </c>
      <c r="DW51" s="647">
        <f t="shared" si="140"/>
        <v>0</v>
      </c>
      <c r="DX51" s="647">
        <f t="shared" si="140"/>
        <v>0</v>
      </c>
      <c r="DY51" s="647">
        <f t="shared" si="140"/>
        <v>208262000</v>
      </c>
      <c r="DZ51" s="647">
        <f t="shared" si="140"/>
        <v>0</v>
      </c>
      <c r="EA51" s="647">
        <f t="shared" si="140"/>
        <v>0</v>
      </c>
      <c r="EB51" s="647">
        <f t="shared" si="140"/>
        <v>0</v>
      </c>
      <c r="EC51" s="647">
        <f t="shared" si="140"/>
        <v>0</v>
      </c>
      <c r="ED51" s="647">
        <f t="shared" si="140"/>
        <v>0</v>
      </c>
      <c r="EE51" s="647">
        <f t="shared" si="140"/>
        <v>0</v>
      </c>
      <c r="EF51" s="647">
        <f t="shared" si="140"/>
        <v>0</v>
      </c>
      <c r="EG51" s="647">
        <f t="shared" si="140"/>
        <v>0</v>
      </c>
      <c r="EH51" s="647">
        <f t="shared" si="140"/>
        <v>0</v>
      </c>
      <c r="EI51" s="647">
        <f t="shared" si="140"/>
        <v>0</v>
      </c>
      <c r="EJ51" s="647">
        <f t="shared" si="140"/>
        <v>0</v>
      </c>
      <c r="EK51" s="647">
        <f t="shared" si="140"/>
        <v>0</v>
      </c>
      <c r="EL51" s="647">
        <f t="shared" si="140"/>
        <v>0</v>
      </c>
      <c r="EM51" s="647">
        <f t="shared" si="140"/>
        <v>407074567</v>
      </c>
      <c r="EN51" s="647">
        <f t="shared" si="140"/>
        <v>174512567</v>
      </c>
      <c r="EO51" s="647">
        <f t="shared" si="140"/>
        <v>136188567</v>
      </c>
      <c r="EP51" s="647">
        <f t="shared" si="140"/>
        <v>407074567</v>
      </c>
      <c r="EQ51" s="647">
        <f t="shared" si="140"/>
        <v>136188567</v>
      </c>
      <c r="ER51" s="648">
        <f t="shared" si="26"/>
        <v>0</v>
      </c>
      <c r="ES51" s="648">
        <f t="shared" si="21"/>
        <v>0.78039403890036185</v>
      </c>
      <c r="ET51" s="649">
        <f t="shared" si="22"/>
        <v>0.33455434959659369</v>
      </c>
      <c r="EU51" s="649">
        <f t="shared" si="23"/>
        <v>0.97111809269588711</v>
      </c>
      <c r="EV51" s="650">
        <f t="shared" si="24"/>
        <v>0.83098601011946105</v>
      </c>
      <c r="EW51" s="1068"/>
      <c r="EX51" s="1076"/>
      <c r="EY51" s="1076"/>
      <c r="EZ51" s="1048"/>
      <c r="FA51" s="1048"/>
      <c r="FB51" s="778"/>
      <c r="FC51" s="87"/>
      <c r="FD51" s="87"/>
    </row>
    <row r="52" spans="1:160" ht="31.9" customHeight="1" x14ac:dyDescent="0.25">
      <c r="A52" s="710"/>
      <c r="B52" s="759">
        <v>7</v>
      </c>
      <c r="C52" s="758" t="s">
        <v>360</v>
      </c>
      <c r="D52" s="758" t="s">
        <v>177</v>
      </c>
      <c r="E52" s="758">
        <v>199</v>
      </c>
      <c r="F52" s="73" t="s">
        <v>340</v>
      </c>
      <c r="G52" s="998">
        <f>AA52+BE52+CI52+DM52+EP52</f>
        <v>6.8920000000000012</v>
      </c>
      <c r="H52" s="1077">
        <v>0.5</v>
      </c>
      <c r="I52" s="993"/>
      <c r="J52" s="993"/>
      <c r="K52" s="993">
        <v>0.5</v>
      </c>
      <c r="L52" s="993">
        <v>0.05</v>
      </c>
      <c r="M52" s="993">
        <v>0.5</v>
      </c>
      <c r="N52" s="998">
        <v>0.1</v>
      </c>
      <c r="O52" s="993">
        <v>0.5</v>
      </c>
      <c r="P52" s="998">
        <v>0.15</v>
      </c>
      <c r="Q52" s="993">
        <v>0.5</v>
      </c>
      <c r="R52" s="999">
        <v>0.22</v>
      </c>
      <c r="S52" s="993">
        <v>0.5</v>
      </c>
      <c r="T52" s="998">
        <v>0.42</v>
      </c>
      <c r="U52" s="993">
        <v>0.5</v>
      </c>
      <c r="V52" s="993">
        <v>0.5</v>
      </c>
      <c r="W52" s="1001">
        <f t="shared" ref="W52:W57" si="141">+H52</f>
        <v>0.5</v>
      </c>
      <c r="X52" s="1001">
        <f t="shared" ref="X52:X57" si="142">+H52</f>
        <v>0.5</v>
      </c>
      <c r="Y52" s="1001">
        <f t="shared" ref="Y52:Y57" si="143">+V52</f>
        <v>0.5</v>
      </c>
      <c r="Z52" s="1001">
        <f t="shared" ref="Z52:AA57" si="144">+U52</f>
        <v>0.5</v>
      </c>
      <c r="AA52" s="998">
        <f t="shared" si="144"/>
        <v>0.5</v>
      </c>
      <c r="AB52" s="1001">
        <v>0.6</v>
      </c>
      <c r="AC52" s="998">
        <v>0.06</v>
      </c>
      <c r="AD52" s="998">
        <v>0.06</v>
      </c>
      <c r="AE52" s="998">
        <v>0.03</v>
      </c>
      <c r="AF52" s="998">
        <v>0.03</v>
      </c>
      <c r="AG52" s="998">
        <v>0.06</v>
      </c>
      <c r="AH52" s="998">
        <v>0.06</v>
      </c>
      <c r="AI52" s="998">
        <v>0.05</v>
      </c>
      <c r="AJ52" s="998">
        <v>0.05</v>
      </c>
      <c r="AK52" s="998">
        <v>0.05</v>
      </c>
      <c r="AL52" s="998">
        <v>0.05</v>
      </c>
      <c r="AM52" s="998">
        <v>0.05</v>
      </c>
      <c r="AN52" s="998">
        <v>0.05</v>
      </c>
      <c r="AO52" s="998">
        <v>0.05</v>
      </c>
      <c r="AP52" s="998">
        <v>0.05</v>
      </c>
      <c r="AQ52" s="998">
        <v>0.05</v>
      </c>
      <c r="AR52" s="998">
        <v>0.05</v>
      </c>
      <c r="AS52" s="998">
        <v>0.05</v>
      </c>
      <c r="AT52" s="998">
        <v>0.05</v>
      </c>
      <c r="AU52" s="998">
        <v>0.05</v>
      </c>
      <c r="AV52" s="998">
        <v>0.05</v>
      </c>
      <c r="AW52" s="998">
        <v>0.05</v>
      </c>
      <c r="AX52" s="998">
        <v>0.05</v>
      </c>
      <c r="AY52" s="998">
        <v>0.05</v>
      </c>
      <c r="AZ52" s="998">
        <v>0.05</v>
      </c>
      <c r="BA52" s="1001">
        <f>AY52+AW52+AU52+AS52+AO52+AM52+AK52+AI52+AG52+AE52+AC52+AQ52</f>
        <v>0.60000000000000009</v>
      </c>
      <c r="BB52" s="1001">
        <f t="shared" ref="BB52:BB57" si="145">AC52+AE52+AG52+AI52+AK52+AM52+AO52+AQ52+AS52+AU52+AW52+AY52</f>
        <v>0.6</v>
      </c>
      <c r="BC52" s="998">
        <f t="shared" ref="BC52:BC57" si="146">+AN52+AD52+AF52+AH52+AJ52+AL52+AP52+AR52+AT52+AV52+AX52+AZ52</f>
        <v>0.6</v>
      </c>
      <c r="BD52" s="998">
        <f>BA52</f>
        <v>0.60000000000000009</v>
      </c>
      <c r="BE52" s="998">
        <f t="shared" ref="BE52:BE57" si="147">AF52+AH52+AJ52+AL52+AD52+AN52+AP52+AR52+AT52+AV52+AX52+AZ52</f>
        <v>0.6</v>
      </c>
      <c r="BF52" s="1001">
        <v>1.5</v>
      </c>
      <c r="BG52" s="1001">
        <v>0</v>
      </c>
      <c r="BH52" s="1001">
        <v>0</v>
      </c>
      <c r="BI52" s="999">
        <v>0.13600000000000001</v>
      </c>
      <c r="BJ52" s="999">
        <v>0.13600000000000001</v>
      </c>
      <c r="BK52" s="999">
        <v>0.13600000000000001</v>
      </c>
      <c r="BL52" s="999">
        <v>0.13600000000000001</v>
      </c>
      <c r="BM52" s="999">
        <v>0.13600000000000001</v>
      </c>
      <c r="BN52" s="999">
        <v>0.13600000000000001</v>
      </c>
      <c r="BO52" s="999">
        <v>0.13600000000000001</v>
      </c>
      <c r="BP52" s="999">
        <v>0.13600000000000001</v>
      </c>
      <c r="BQ52" s="999">
        <v>0.13600000000000001</v>
      </c>
      <c r="BR52" s="999">
        <v>0.13600000000000001</v>
      </c>
      <c r="BS52" s="999">
        <v>0.13600000000000001</v>
      </c>
      <c r="BT52" s="999">
        <v>0.13600000000000001</v>
      </c>
      <c r="BU52" s="999">
        <v>0.13600000000000001</v>
      </c>
      <c r="BV52" s="1001">
        <v>0.13600000000000001</v>
      </c>
      <c r="BW52" s="999">
        <v>0.13600000000000001</v>
      </c>
      <c r="BX52" s="999">
        <v>0.13600000000000001</v>
      </c>
      <c r="BY52" s="999">
        <v>0.13600000000000001</v>
      </c>
      <c r="BZ52" s="999">
        <v>0.13600000000000001</v>
      </c>
      <c r="CA52" s="999">
        <f>0.136+0.07</f>
        <v>0.20600000000000002</v>
      </c>
      <c r="CB52" s="999">
        <v>0.20599999999999999</v>
      </c>
      <c r="CC52" s="999">
        <f>0.136+0.07</f>
        <v>0.20600000000000002</v>
      </c>
      <c r="CD52" s="999">
        <v>0.20599999999999999</v>
      </c>
      <c r="CE52" s="999">
        <f>CC52+CA52+BY52+BW52+BS52+BQ52+BO52+BM52+BK52+BI52+BG52+BU52</f>
        <v>1.6360000000000006</v>
      </c>
      <c r="CF52" s="999">
        <f t="shared" ref="CF52:CF57" si="148">+BG52+BI52+BK52+BM52+BO52+BQ52+BS52+BU52+BW52+BY52+CA52+CC52</f>
        <v>1.6360000000000001</v>
      </c>
      <c r="CG52" s="999">
        <f t="shared" ref="CG52:CG57" si="149">+BR52+BH52+BJ52+BL52+BN52+BP52+BT52+BV52+BX52+BZ52+CB52+CD52</f>
        <v>1.6360000000000001</v>
      </c>
      <c r="CH52" s="998">
        <f>CE52</f>
        <v>1.6360000000000006</v>
      </c>
      <c r="CI52" s="998">
        <f t="shared" ref="CI52:CI57" si="150">BJ52+BL52+BN52+BP52+BH52+BR52+BT52+BV52+BX52+BZ52+CB52+CD52</f>
        <v>1.6360000000000001</v>
      </c>
      <c r="CJ52" s="998">
        <v>3.44</v>
      </c>
      <c r="CK52" s="998">
        <v>0.04</v>
      </c>
      <c r="CL52" s="998">
        <v>0.04</v>
      </c>
      <c r="CM52" s="999">
        <v>0.309</v>
      </c>
      <c r="CN52" s="999">
        <v>0.309</v>
      </c>
      <c r="CO52" s="999">
        <v>0.309</v>
      </c>
      <c r="CP52" s="999">
        <v>0.309</v>
      </c>
      <c r="CQ52" s="999">
        <v>0.309</v>
      </c>
      <c r="CR52" s="999">
        <v>0.309</v>
      </c>
      <c r="CS52" s="999">
        <v>0.309</v>
      </c>
      <c r="CT52" s="999">
        <v>0.309</v>
      </c>
      <c r="CU52" s="999">
        <v>0.309</v>
      </c>
      <c r="CV52" s="999">
        <v>0.309</v>
      </c>
      <c r="CW52" s="999">
        <v>0.309</v>
      </c>
      <c r="CX52" s="999">
        <v>0.309</v>
      </c>
      <c r="CY52" s="999">
        <v>0.309</v>
      </c>
      <c r="CZ52" s="999">
        <v>0.309</v>
      </c>
      <c r="DA52" s="999">
        <v>0.309</v>
      </c>
      <c r="DB52" s="999">
        <v>0.309</v>
      </c>
      <c r="DC52" s="999">
        <v>0.309</v>
      </c>
      <c r="DD52" s="999">
        <v>0.309</v>
      </c>
      <c r="DE52" s="999">
        <v>0.309</v>
      </c>
      <c r="DF52" s="999">
        <v>0.309</v>
      </c>
      <c r="DG52" s="999">
        <v>0.309</v>
      </c>
      <c r="DH52" s="999">
        <v>0.20599999999999999</v>
      </c>
      <c r="DI52" s="999">
        <f t="shared" ref="DI52:DI57" si="151">DG52+DE52+DC52+DA52+CY52+CW52+CU52+CS52+CQ52+CO52+CM52+CK52</f>
        <v>3.4390000000000005</v>
      </c>
      <c r="DJ52" s="998">
        <f t="shared" ref="DJ52:DK57" si="152">CK52+CM52+CO52+CQ52+CS52+CU52+CW52+CY52+DA52+DC52+DE52+DG52</f>
        <v>3.4390000000000005</v>
      </c>
      <c r="DK52" s="998">
        <f t="shared" si="152"/>
        <v>3.3360000000000003</v>
      </c>
      <c r="DL52" s="1078">
        <f t="shared" ref="DL52:DL57" si="153">DI52</f>
        <v>3.4390000000000005</v>
      </c>
      <c r="DM52" s="1078">
        <f t="shared" ref="DM52:DM57" si="154">CN52+CP52+CR52+CT52+CL52+CV52+CX52+CZ52+DB52+DD52+DF52+DH52</f>
        <v>3.3360000000000003</v>
      </c>
      <c r="DN52" s="1078">
        <v>0.82</v>
      </c>
      <c r="DO52" s="1078">
        <v>0.15</v>
      </c>
      <c r="DP52" s="1078">
        <v>0.15</v>
      </c>
      <c r="DQ52" s="1078">
        <v>0.1</v>
      </c>
      <c r="DR52" s="1078">
        <v>0.1</v>
      </c>
      <c r="DS52" s="1078">
        <v>0.16</v>
      </c>
      <c r="DT52" s="1078">
        <v>0.16</v>
      </c>
      <c r="DU52" s="1078">
        <v>0.16</v>
      </c>
      <c r="DV52" s="1078"/>
      <c r="DW52" s="1078">
        <v>0.16</v>
      </c>
      <c r="DX52" s="1078"/>
      <c r="DY52" s="1078">
        <v>0.09</v>
      </c>
      <c r="DZ52" s="1078"/>
      <c r="EA52" s="1078"/>
      <c r="EB52" s="1078"/>
      <c r="EC52" s="1078"/>
      <c r="ED52" s="1078"/>
      <c r="EE52" s="1078"/>
      <c r="EF52" s="1078"/>
      <c r="EG52" s="1079"/>
      <c r="EH52" s="1079"/>
      <c r="EI52" s="1079"/>
      <c r="EJ52" s="1079"/>
      <c r="EK52" s="1079"/>
      <c r="EL52" s="1079"/>
      <c r="EM52" s="1080">
        <f>EK52+EI52+EG52+EE52+EC52+EA52+DY52+DW52+DU52+DS52+DQ52+DO52</f>
        <v>0.82000000000000006</v>
      </c>
      <c r="EN52" s="998">
        <f>DO52+DQ52+DS52</f>
        <v>0.41000000000000003</v>
      </c>
      <c r="EO52" s="1078">
        <f t="shared" ref="EO52:EO57" si="155">DP52+DR52+DT52+DV52</f>
        <v>0.41000000000000003</v>
      </c>
      <c r="EP52" s="1081">
        <f>DQ52+DS52+DU52+DW52+DY52+EA52+EC52+EE52+EG52+EI52+EK52+DO52</f>
        <v>0.82000000000000006</v>
      </c>
      <c r="EQ52" s="1080">
        <f>DR52+DT52+DV52+DX52+DP52+DZ52+EB52+ED52+EF52+EH52+EJ52+EL52</f>
        <v>0.41000000000000003</v>
      </c>
      <c r="ER52" s="1008">
        <f t="shared" si="26"/>
        <v>1</v>
      </c>
      <c r="ES52" s="1008">
        <f t="shared" si="21"/>
        <v>1</v>
      </c>
      <c r="ET52" s="1009">
        <f t="shared" si="22"/>
        <v>0.5</v>
      </c>
      <c r="EU52" s="1009">
        <f t="shared" si="23"/>
        <v>0.98435839028094152</v>
      </c>
      <c r="EV52" s="1009">
        <f t="shared" si="24"/>
        <v>0.94051073708647703</v>
      </c>
      <c r="EW52" s="1082" t="s">
        <v>1605</v>
      </c>
      <c r="EX52" s="1072" t="s">
        <v>178</v>
      </c>
      <c r="EY52" s="1072" t="s">
        <v>178</v>
      </c>
      <c r="EZ52" s="1011" t="s">
        <v>361</v>
      </c>
      <c r="FA52" s="1011" t="s">
        <v>182</v>
      </c>
      <c r="FB52" s="776"/>
      <c r="FC52" s="75"/>
      <c r="FD52" s="75"/>
    </row>
    <row r="53" spans="1:160" ht="30" customHeight="1" x14ac:dyDescent="0.25">
      <c r="A53" s="710"/>
      <c r="B53" s="710"/>
      <c r="C53" s="710"/>
      <c r="D53" s="710"/>
      <c r="E53" s="710"/>
      <c r="F53" s="76" t="s">
        <v>343</v>
      </c>
      <c r="G53" s="641">
        <f>AA53+BE53+CI53+DM53+EP53</f>
        <v>3978947833</v>
      </c>
      <c r="H53" s="1012">
        <v>220180000</v>
      </c>
      <c r="I53" s="1012"/>
      <c r="J53" s="1012"/>
      <c r="K53" s="1012">
        <v>220180000</v>
      </c>
      <c r="L53" s="1012">
        <v>0</v>
      </c>
      <c r="M53" s="1012">
        <v>220180000</v>
      </c>
      <c r="N53" s="1012">
        <v>162068000</v>
      </c>
      <c r="O53" s="1012">
        <v>220180000</v>
      </c>
      <c r="P53" s="1012">
        <v>162068000</v>
      </c>
      <c r="Q53" s="1012">
        <v>199997000</v>
      </c>
      <c r="R53" s="1012">
        <v>162068000</v>
      </c>
      <c r="S53" s="1012">
        <v>218352000</v>
      </c>
      <c r="T53" s="1012">
        <v>162068000</v>
      </c>
      <c r="U53" s="1012">
        <v>218352000</v>
      </c>
      <c r="V53" s="1012">
        <v>200757000</v>
      </c>
      <c r="W53" s="1012">
        <f t="shared" si="141"/>
        <v>220180000</v>
      </c>
      <c r="X53" s="1012">
        <f t="shared" si="142"/>
        <v>220180000</v>
      </c>
      <c r="Y53" s="1012">
        <f t="shared" si="143"/>
        <v>200757000</v>
      </c>
      <c r="Z53" s="1012">
        <f t="shared" si="144"/>
        <v>218352000</v>
      </c>
      <c r="AA53" s="1012">
        <f t="shared" si="144"/>
        <v>200757000</v>
      </c>
      <c r="AB53" s="1012">
        <v>482999000</v>
      </c>
      <c r="AC53" s="1012">
        <v>0</v>
      </c>
      <c r="AD53" s="1012">
        <v>0</v>
      </c>
      <c r="AE53" s="1012">
        <v>340880000</v>
      </c>
      <c r="AF53" s="1012">
        <v>340880000</v>
      </c>
      <c r="AG53" s="1012">
        <f>435242000-AF53</f>
        <v>94362000</v>
      </c>
      <c r="AH53" s="1012">
        <v>94362000</v>
      </c>
      <c r="AI53" s="1012">
        <v>0</v>
      </c>
      <c r="AJ53" s="1012">
        <v>0</v>
      </c>
      <c r="AK53" s="1012">
        <v>0</v>
      </c>
      <c r="AL53" s="1012">
        <v>0</v>
      </c>
      <c r="AM53" s="1012">
        <v>0</v>
      </c>
      <c r="AN53" s="1012">
        <v>0</v>
      </c>
      <c r="AO53" s="1012">
        <v>0</v>
      </c>
      <c r="AP53" s="1012">
        <v>0</v>
      </c>
      <c r="AQ53" s="1012">
        <v>8646000</v>
      </c>
      <c r="AR53" s="1012">
        <v>8646000</v>
      </c>
      <c r="AS53" s="1012">
        <v>0</v>
      </c>
      <c r="AT53" s="1012">
        <v>0</v>
      </c>
      <c r="AU53" s="1012">
        <v>0</v>
      </c>
      <c r="AV53" s="1012">
        <v>0</v>
      </c>
      <c r="AW53" s="1012">
        <v>0</v>
      </c>
      <c r="AX53" s="1012">
        <v>0</v>
      </c>
      <c r="AY53" s="1012">
        <v>4041500</v>
      </c>
      <c r="AZ53" s="1012">
        <v>4041500</v>
      </c>
      <c r="BA53" s="1012">
        <f>AY53+AW53+AU53+AS53+AQ53+AO53+AM53+AK53+AI53+AG53+AE53+AC53</f>
        <v>447929500</v>
      </c>
      <c r="BB53" s="1012">
        <f t="shared" si="145"/>
        <v>447929500</v>
      </c>
      <c r="BC53" s="1012">
        <f t="shared" si="146"/>
        <v>447929500</v>
      </c>
      <c r="BD53" s="1012">
        <f>BA53</f>
        <v>447929500</v>
      </c>
      <c r="BE53" s="1012">
        <f t="shared" si="147"/>
        <v>447929500</v>
      </c>
      <c r="BF53" s="1012">
        <v>436082000</v>
      </c>
      <c r="BG53" s="1012">
        <v>436082000</v>
      </c>
      <c r="BH53" s="1012">
        <v>436082000</v>
      </c>
      <c r="BI53" s="1012">
        <v>0</v>
      </c>
      <c r="BJ53" s="1012">
        <v>0</v>
      </c>
      <c r="BK53" s="1012">
        <v>0</v>
      </c>
      <c r="BL53" s="1012">
        <v>0</v>
      </c>
      <c r="BM53" s="1012">
        <v>0</v>
      </c>
      <c r="BN53" s="1012">
        <v>0</v>
      </c>
      <c r="BO53" s="1012">
        <v>0</v>
      </c>
      <c r="BP53" s="1012">
        <v>0</v>
      </c>
      <c r="BQ53" s="1012">
        <v>0</v>
      </c>
      <c r="BR53" s="1012">
        <v>0</v>
      </c>
      <c r="BS53" s="1012">
        <v>556800</v>
      </c>
      <c r="BT53" s="1012">
        <v>0</v>
      </c>
      <c r="BU53" s="1012">
        <v>0</v>
      </c>
      <c r="BV53" s="1012">
        <v>0</v>
      </c>
      <c r="BW53" s="1012">
        <v>4409000</v>
      </c>
      <c r="BX53" s="1012">
        <v>-8555133</v>
      </c>
      <c r="BY53" s="1012">
        <v>0</v>
      </c>
      <c r="BZ53" s="1012">
        <v>13520933</v>
      </c>
      <c r="CA53" s="1012">
        <f>16004000+261255762</f>
        <v>277259762</v>
      </c>
      <c r="CB53" s="1012">
        <v>7916000</v>
      </c>
      <c r="CC53" s="1012">
        <f>10968534+6028</f>
        <v>10974562</v>
      </c>
      <c r="CD53" s="1012">
        <v>19056533</v>
      </c>
      <c r="CE53" s="1012">
        <f>CC53+CA53+BY53+BW53+BU53+BS53+BQ53+BO53+BM53+BK53+BI53+BG53</f>
        <v>729282124</v>
      </c>
      <c r="CF53" s="1012">
        <f t="shared" si="148"/>
        <v>729282124</v>
      </c>
      <c r="CG53" s="1012">
        <f t="shared" si="149"/>
        <v>468020333</v>
      </c>
      <c r="CH53" s="1012">
        <f>CE53</f>
        <v>729282124</v>
      </c>
      <c r="CI53" s="1012">
        <f t="shared" si="150"/>
        <v>468020333</v>
      </c>
      <c r="CJ53" s="1012">
        <v>1275635000</v>
      </c>
      <c r="CK53" s="1012">
        <v>0</v>
      </c>
      <c r="CL53" s="1012"/>
      <c r="CM53" s="1012">
        <v>355410000</v>
      </c>
      <c r="CN53" s="1012">
        <v>355410000</v>
      </c>
      <c r="CO53" s="1012">
        <v>39130000</v>
      </c>
      <c r="CP53" s="1012">
        <v>39130000</v>
      </c>
      <c r="CQ53" s="1012">
        <v>35217000</v>
      </c>
      <c r="CR53" s="1012">
        <v>35217000</v>
      </c>
      <c r="CS53" s="1012">
        <f>650715000+37019000</f>
        <v>687734000</v>
      </c>
      <c r="CT53" s="1012">
        <v>0</v>
      </c>
      <c r="CU53" s="1012"/>
      <c r="CV53" s="1012"/>
      <c r="CW53" s="1012">
        <f>1000000-30001501</f>
        <v>-29001501</v>
      </c>
      <c r="CX53" s="1012">
        <v>544582000</v>
      </c>
      <c r="CY53" s="1012"/>
      <c r="CZ53" s="1012">
        <v>0</v>
      </c>
      <c r="DA53" s="1012"/>
      <c r="DB53" s="1012"/>
      <c r="DC53" s="1012"/>
      <c r="DD53" s="1012"/>
      <c r="DE53" s="1012">
        <f>108885000-1000000</f>
        <v>107885000</v>
      </c>
      <c r="DF53" s="1012">
        <v>35395000</v>
      </c>
      <c r="DG53" s="1012">
        <f>48259000+10146501</f>
        <v>58405501</v>
      </c>
      <c r="DH53" s="1012">
        <v>28404000</v>
      </c>
      <c r="DI53" s="1012">
        <f t="shared" si="151"/>
        <v>1254780000</v>
      </c>
      <c r="DJ53" s="1012">
        <f t="shared" si="152"/>
        <v>1254780000</v>
      </c>
      <c r="DK53" s="1012">
        <f t="shared" si="152"/>
        <v>1038138000</v>
      </c>
      <c r="DL53" s="1083">
        <f t="shared" si="153"/>
        <v>1254780000</v>
      </c>
      <c r="DM53" s="1083">
        <f t="shared" si="154"/>
        <v>1038138000</v>
      </c>
      <c r="DN53" s="1083">
        <v>1824103000</v>
      </c>
      <c r="DO53" s="1084">
        <v>26646000</v>
      </c>
      <c r="DP53" s="1084">
        <v>26646000</v>
      </c>
      <c r="DQ53" s="1084">
        <v>262723000</v>
      </c>
      <c r="DR53" s="1084">
        <v>22388000</v>
      </c>
      <c r="DS53" s="1084"/>
      <c r="DT53" s="1084">
        <v>36692000</v>
      </c>
      <c r="DU53" s="1084">
        <v>46260000</v>
      </c>
      <c r="DV53" s="1084"/>
      <c r="DW53" s="1084"/>
      <c r="DX53" s="1084"/>
      <c r="DY53" s="1085">
        <f>DN53-DQ53-DP53-DU53</f>
        <v>1488474000</v>
      </c>
      <c r="DZ53" s="1084"/>
      <c r="EA53" s="1084"/>
      <c r="EB53" s="1084"/>
      <c r="EC53" s="1084"/>
      <c r="ED53" s="1084"/>
      <c r="EE53" s="1084"/>
      <c r="EF53" s="1084"/>
      <c r="EG53" s="1084"/>
      <c r="EH53" s="1084"/>
      <c r="EI53" s="1084"/>
      <c r="EJ53" s="1084"/>
      <c r="EK53" s="1084"/>
      <c r="EL53" s="1084"/>
      <c r="EM53" s="643">
        <f>EK53+EI53+EG53+EE53+EC53+EA53+DY53+DW53+DU53+DS53+DQ53+DO53</f>
        <v>1824103000</v>
      </c>
      <c r="EN53" s="643">
        <f>DO53+DQ53+DS53</f>
        <v>289369000</v>
      </c>
      <c r="EO53" s="643">
        <f t="shared" si="155"/>
        <v>85726000</v>
      </c>
      <c r="EP53" s="644">
        <f>DQ53+DS53+DU53+DW53+DY53+EA53+EC53+EE53+EG53+EI53+EK53+DO53</f>
        <v>1824103000</v>
      </c>
      <c r="EQ53" s="644">
        <f t="shared" si="51"/>
        <v>85726000</v>
      </c>
      <c r="ER53" s="1007">
        <f t="shared" si="26"/>
        <v>0</v>
      </c>
      <c r="ES53" s="1007">
        <f t="shared" si="21"/>
        <v>0.29625149895116615</v>
      </c>
      <c r="ET53" s="1016">
        <f t="shared" si="22"/>
        <v>4.6996249663533253E-2</v>
      </c>
      <c r="EU53" s="1016">
        <f t="shared" si="23"/>
        <v>0.76217342290802093</v>
      </c>
      <c r="EV53" s="1016">
        <f t="shared" si="24"/>
        <v>0.56310636053518726</v>
      </c>
      <c r="EW53" s="1073"/>
      <c r="EX53" s="1073"/>
      <c r="EY53" s="1073"/>
      <c r="EZ53" s="1018"/>
      <c r="FA53" s="1018"/>
      <c r="FB53" s="777"/>
      <c r="FC53" s="82"/>
      <c r="FD53" s="82"/>
    </row>
    <row r="54" spans="1:160" ht="30" customHeight="1" x14ac:dyDescent="0.25">
      <c r="A54" s="710"/>
      <c r="B54" s="710"/>
      <c r="C54" s="710"/>
      <c r="D54" s="710"/>
      <c r="E54" s="710"/>
      <c r="F54" s="78" t="s">
        <v>344</v>
      </c>
      <c r="G54" s="1012"/>
      <c r="H54" s="1012"/>
      <c r="I54" s="1012"/>
      <c r="J54" s="1012"/>
      <c r="K54" s="1012"/>
      <c r="L54" s="1012"/>
      <c r="M54" s="1012"/>
      <c r="N54" s="1012"/>
      <c r="O54" s="1012"/>
      <c r="P54" s="1012"/>
      <c r="Q54" s="1012"/>
      <c r="R54" s="1012"/>
      <c r="S54" s="1012"/>
      <c r="T54" s="1012"/>
      <c r="U54" s="1012"/>
      <c r="V54" s="1012"/>
      <c r="W54" s="1012">
        <f t="shared" si="141"/>
        <v>0</v>
      </c>
      <c r="X54" s="1012">
        <f t="shared" si="142"/>
        <v>0</v>
      </c>
      <c r="Y54" s="1012">
        <f t="shared" si="143"/>
        <v>0</v>
      </c>
      <c r="Z54" s="1012">
        <f t="shared" si="144"/>
        <v>0</v>
      </c>
      <c r="AA54" s="1012">
        <f t="shared" si="144"/>
        <v>0</v>
      </c>
      <c r="AB54" s="1012"/>
      <c r="AC54" s="1012"/>
      <c r="AD54" s="1012"/>
      <c r="AE54" s="1012"/>
      <c r="AF54" s="1012"/>
      <c r="AG54" s="1012">
        <v>13621034</v>
      </c>
      <c r="AH54" s="1012">
        <v>13621034</v>
      </c>
      <c r="AI54" s="1012">
        <v>37321200</v>
      </c>
      <c r="AJ54" s="1012">
        <v>37321200</v>
      </c>
      <c r="AK54" s="1012">
        <v>48655500</v>
      </c>
      <c r="AL54" s="1012">
        <v>48655500</v>
      </c>
      <c r="AM54" s="1012">
        <v>43371240</v>
      </c>
      <c r="AN54" s="1012">
        <v>46494000</v>
      </c>
      <c r="AO54" s="1012">
        <v>49287600</v>
      </c>
      <c r="AP54" s="1012">
        <v>46494000</v>
      </c>
      <c r="AQ54" s="1012">
        <v>43371240</v>
      </c>
      <c r="AR54" s="1012">
        <v>46494000</v>
      </c>
      <c r="AS54" s="1012">
        <v>43371240</v>
      </c>
      <c r="AT54" s="1012">
        <v>42171000</v>
      </c>
      <c r="AU54" s="1012">
        <v>43371240</v>
      </c>
      <c r="AV54" s="1012">
        <v>44908900</v>
      </c>
      <c r="AW54" s="1012">
        <v>43371240</v>
      </c>
      <c r="AX54" s="1012">
        <v>46494000</v>
      </c>
      <c r="AY54" s="1012">
        <v>43371240</v>
      </c>
      <c r="AZ54" s="1012">
        <v>46325333</v>
      </c>
      <c r="BA54" s="1012">
        <f>AW54+AU54+AS54+AQ54+AO54+AM54+AK54+AI54+AG54+AE54+AC54+AY54</f>
        <v>409112774</v>
      </c>
      <c r="BB54" s="1012">
        <f t="shared" si="145"/>
        <v>409112774</v>
      </c>
      <c r="BC54" s="1012">
        <f t="shared" si="146"/>
        <v>418978967</v>
      </c>
      <c r="BD54" s="1012">
        <f>BA54</f>
        <v>409112774</v>
      </c>
      <c r="BE54" s="1012">
        <f t="shared" si="147"/>
        <v>418978967</v>
      </c>
      <c r="BF54" s="1012"/>
      <c r="BG54" s="1012">
        <v>0</v>
      </c>
      <c r="BH54" s="1012">
        <v>0</v>
      </c>
      <c r="BI54" s="1012">
        <v>26231666</v>
      </c>
      <c r="BJ54" s="1012">
        <v>1169000</v>
      </c>
      <c r="BK54" s="1012">
        <v>44490000</v>
      </c>
      <c r="BL54" s="1012">
        <f>43949134-1169000</f>
        <v>42780134</v>
      </c>
      <c r="BM54" s="1012">
        <v>44490000</v>
      </c>
      <c r="BN54" s="1012">
        <v>44490000</v>
      </c>
      <c r="BO54" s="1012">
        <v>44490000</v>
      </c>
      <c r="BP54" s="1012">
        <v>44490000</v>
      </c>
      <c r="BQ54" s="1012">
        <v>44490000</v>
      </c>
      <c r="BR54" s="1012">
        <v>44490000</v>
      </c>
      <c r="BS54" s="1012">
        <v>44490000</v>
      </c>
      <c r="BT54" s="1012">
        <v>44490000</v>
      </c>
      <c r="BU54" s="1012">
        <v>44490000</v>
      </c>
      <c r="BV54" s="1012">
        <v>44490000</v>
      </c>
      <c r="BW54" s="1012">
        <v>44490000</v>
      </c>
      <c r="BX54" s="1012">
        <v>40815833</v>
      </c>
      <c r="BY54" s="1012">
        <f>41550667+4409000</f>
        <v>45959667</v>
      </c>
      <c r="BZ54" s="1012">
        <v>38726567</v>
      </c>
      <c r="CA54" s="1012">
        <v>40081000</v>
      </c>
      <c r="CB54" s="1012">
        <v>47706833</v>
      </c>
      <c r="CC54" s="1012">
        <f>16788667+26972533+562829+261255762</f>
        <v>305579791</v>
      </c>
      <c r="CD54" s="1012">
        <v>44832733</v>
      </c>
      <c r="CE54" s="1012">
        <f>CA54+BY54+BW54+BU54+BS54+BQ54+BO54+BM54+BK54+BI54+BG54+CC54</f>
        <v>729282124</v>
      </c>
      <c r="CF54" s="1012">
        <f t="shared" si="148"/>
        <v>729282124</v>
      </c>
      <c r="CG54" s="1012">
        <f t="shared" si="149"/>
        <v>438481100</v>
      </c>
      <c r="CH54" s="1012">
        <f>CE54</f>
        <v>729282124</v>
      </c>
      <c r="CI54" s="1012">
        <f t="shared" si="150"/>
        <v>438481100</v>
      </c>
      <c r="CJ54" s="1012"/>
      <c r="CK54" s="1012"/>
      <c r="CL54" s="1012"/>
      <c r="CM54" s="1012">
        <v>0</v>
      </c>
      <c r="CN54" s="1012"/>
      <c r="CO54" s="1012">
        <v>16130234</v>
      </c>
      <c r="CP54" s="1012">
        <v>16130234</v>
      </c>
      <c r="CQ54" s="1012">
        <v>39950000</v>
      </c>
      <c r="CR54" s="1012">
        <v>35801867</v>
      </c>
      <c r="CS54" s="1012">
        <v>43863000</v>
      </c>
      <c r="CT54" s="1012">
        <v>41801800</v>
      </c>
      <c r="CU54" s="1012">
        <f>43863000+102895679</f>
        <v>146758679</v>
      </c>
      <c r="CV54" s="1012">
        <v>43367000</v>
      </c>
      <c r="CW54" s="1012">
        <f>43863000+5288429</f>
        <v>49151429</v>
      </c>
      <c r="CX54" s="1012">
        <v>43367000</v>
      </c>
      <c r="CY54" s="1012">
        <f>43863000+102895679+59600</f>
        <v>146818279</v>
      </c>
      <c r="CZ54" s="1012">
        <v>43367000</v>
      </c>
      <c r="DA54" s="1012">
        <f>43863000+44331329+59600</f>
        <v>88253929</v>
      </c>
      <c r="DB54" s="1012">
        <v>43367000</v>
      </c>
      <c r="DC54" s="1012">
        <f>43863000+59600</f>
        <v>43922600</v>
      </c>
      <c r="DD54" s="1012">
        <v>125054300</v>
      </c>
      <c r="DE54" s="1012">
        <f>43863000+5288429+59600</f>
        <v>49211029</v>
      </c>
      <c r="DF54" s="1012">
        <v>43367000</v>
      </c>
      <c r="DG54" s="1012">
        <f>651575821-20855000</f>
        <v>630720821</v>
      </c>
      <c r="DH54" s="1012">
        <v>84486833</v>
      </c>
      <c r="DI54" s="1012">
        <f t="shared" si="151"/>
        <v>1254780000</v>
      </c>
      <c r="DJ54" s="1012">
        <f t="shared" si="152"/>
        <v>1254780000</v>
      </c>
      <c r="DK54" s="1012">
        <f t="shared" si="152"/>
        <v>520110034</v>
      </c>
      <c r="DL54" s="1083">
        <f t="shared" si="153"/>
        <v>1254780000</v>
      </c>
      <c r="DM54" s="1083">
        <f t="shared" si="154"/>
        <v>520110034</v>
      </c>
      <c r="DN54" s="1083">
        <v>1824103000</v>
      </c>
      <c r="DO54" s="1084"/>
      <c r="DP54" s="1084"/>
      <c r="DQ54" s="1084">
        <v>13323000</v>
      </c>
      <c r="DR54" s="1084">
        <v>1523400</v>
      </c>
      <c r="DS54" s="1084">
        <v>59840000</v>
      </c>
      <c r="DT54" s="1084">
        <v>15100400</v>
      </c>
      <c r="DU54" s="1084">
        <v>46517000</v>
      </c>
      <c r="DV54" s="1084"/>
      <c r="DW54" s="1084">
        <f>46517000+15420000</f>
        <v>61937000</v>
      </c>
      <c r="DX54" s="1084"/>
      <c r="DY54" s="1084">
        <f>+EM53-181617000</f>
        <v>1642486000</v>
      </c>
      <c r="DZ54" s="1084"/>
      <c r="EA54" s="1084"/>
      <c r="EB54" s="1084"/>
      <c r="EC54" s="1084"/>
      <c r="ED54" s="1084"/>
      <c r="EE54" s="1084"/>
      <c r="EF54" s="1084"/>
      <c r="EG54" s="1084"/>
      <c r="EH54" s="1084"/>
      <c r="EI54" s="1084"/>
      <c r="EJ54" s="1084"/>
      <c r="EK54" s="1084"/>
      <c r="EL54" s="1084"/>
      <c r="EM54" s="643">
        <f>EI54+EG54+EE54+EC54+EA54+DY54+DW54+DU54+DS54+DQ54+DO54+EK54</f>
        <v>1824103000</v>
      </c>
      <c r="EN54" s="643">
        <f t="shared" ref="EN54:EN57" si="156">DO54+DQ54+DS54</f>
        <v>73163000</v>
      </c>
      <c r="EO54" s="643">
        <f t="shared" si="155"/>
        <v>16623800</v>
      </c>
      <c r="EP54" s="644">
        <f>DQ54+DS54+DU54+DW54+DY54+EA54+EC54+EE54+EG54+EI54+EK54</f>
        <v>1824103000</v>
      </c>
      <c r="EQ54" s="644">
        <f t="shared" si="51"/>
        <v>16623800</v>
      </c>
      <c r="ER54" s="1007">
        <f t="shared" si="26"/>
        <v>0.25234625668449195</v>
      </c>
      <c r="ES54" s="1007">
        <f t="shared" si="21"/>
        <v>0.22721594248458921</v>
      </c>
      <c r="ET54" s="1016">
        <f t="shared" si="22"/>
        <v>9.1134108106833873E-3</v>
      </c>
      <c r="EU54" s="1016">
        <f t="shared" si="23"/>
        <v>0.56528908797556821</v>
      </c>
      <c r="EV54" s="1016">
        <f>IFERROR((AA54+BE54+CI54+DM54+EQ54)/G54,0)</f>
        <v>0</v>
      </c>
      <c r="EW54" s="1073"/>
      <c r="EX54" s="1073"/>
      <c r="EY54" s="1073"/>
      <c r="EZ54" s="1018"/>
      <c r="FA54" s="1018"/>
      <c r="FB54" s="777"/>
      <c r="FC54" s="82"/>
      <c r="FD54" s="82"/>
    </row>
    <row r="55" spans="1:160" ht="30" customHeight="1" x14ac:dyDescent="0.25">
      <c r="A55" s="710"/>
      <c r="B55" s="710"/>
      <c r="C55" s="710"/>
      <c r="D55" s="710"/>
      <c r="E55" s="710"/>
      <c r="F55" s="79" t="s">
        <v>345</v>
      </c>
      <c r="G55" s="645">
        <f>AA55+BE55+CI55+DM55+EP55</f>
        <v>0.1</v>
      </c>
      <c r="H55" s="1058"/>
      <c r="I55" s="1023"/>
      <c r="J55" s="1023"/>
      <c r="K55" s="1023"/>
      <c r="L55" s="1023"/>
      <c r="M55" s="1023"/>
      <c r="N55" s="1023"/>
      <c r="O55" s="1023"/>
      <c r="P55" s="1023"/>
      <c r="Q55" s="1023"/>
      <c r="R55" s="1023"/>
      <c r="S55" s="1023"/>
      <c r="T55" s="1023"/>
      <c r="U55" s="1023"/>
      <c r="V55" s="1023"/>
      <c r="W55" s="1024">
        <f t="shared" si="141"/>
        <v>0</v>
      </c>
      <c r="X55" s="1024">
        <f t="shared" si="142"/>
        <v>0</v>
      </c>
      <c r="Y55" s="1024">
        <f t="shared" si="143"/>
        <v>0</v>
      </c>
      <c r="Z55" s="1024">
        <f t="shared" si="144"/>
        <v>0</v>
      </c>
      <c r="AA55" s="1024">
        <f t="shared" si="144"/>
        <v>0</v>
      </c>
      <c r="AB55" s="1025"/>
      <c r="AC55" s="1025"/>
      <c r="AD55" s="1025"/>
      <c r="AE55" s="1025"/>
      <c r="AF55" s="1025"/>
      <c r="AG55" s="1025"/>
      <c r="AH55" s="1025"/>
      <c r="AI55" s="1025"/>
      <c r="AJ55" s="1025"/>
      <c r="AK55" s="1023"/>
      <c r="AL55" s="1023"/>
      <c r="AM55" s="1023"/>
      <c r="AN55" s="1023"/>
      <c r="AO55" s="1023"/>
      <c r="AP55" s="1023"/>
      <c r="AQ55" s="1023"/>
      <c r="AR55" s="1023"/>
      <c r="AS55" s="1023"/>
      <c r="AT55" s="1023"/>
      <c r="AU55" s="1023"/>
      <c r="AV55" s="1023"/>
      <c r="AW55" s="1023"/>
      <c r="AX55" s="1023"/>
      <c r="AY55" s="1059"/>
      <c r="AZ55" s="1023"/>
      <c r="BA55" s="1020">
        <v>0</v>
      </c>
      <c r="BB55" s="1024">
        <f t="shared" si="145"/>
        <v>0</v>
      </c>
      <c r="BC55" s="1024">
        <f t="shared" si="146"/>
        <v>0</v>
      </c>
      <c r="BD55" s="1024">
        <f>AC55+AE55+AG55+AI55+AK55+AM55+AO55+AQ55+AS55+AU55+AW55+AY55</f>
        <v>0</v>
      </c>
      <c r="BE55" s="1024">
        <f t="shared" si="147"/>
        <v>0</v>
      </c>
      <c r="BF55" s="1023"/>
      <c r="BG55" s="1023"/>
      <c r="BH55" s="1023"/>
      <c r="BI55" s="1023"/>
      <c r="BJ55" s="1030"/>
      <c r="BK55" s="1023"/>
      <c r="BL55" s="1023"/>
      <c r="BM55" s="1023"/>
      <c r="BN55" s="1023"/>
      <c r="BO55" s="1023"/>
      <c r="BP55" s="1023"/>
      <c r="BQ55" s="1023"/>
      <c r="BR55" s="1023"/>
      <c r="BS55" s="1023"/>
      <c r="BT55" s="1023"/>
      <c r="BU55" s="1023"/>
      <c r="BV55" s="1023"/>
      <c r="BW55" s="1023"/>
      <c r="BX55" s="1023"/>
      <c r="BY55" s="1023"/>
      <c r="BZ55" s="1023"/>
      <c r="CA55" s="1023"/>
      <c r="CB55" s="1023"/>
      <c r="CC55" s="1023"/>
      <c r="CD55" s="1059"/>
      <c r="CE55" s="1020">
        <v>0</v>
      </c>
      <c r="CF55" s="1024">
        <f t="shared" si="148"/>
        <v>0</v>
      </c>
      <c r="CG55" s="1024">
        <f t="shared" si="149"/>
        <v>0</v>
      </c>
      <c r="CH55" s="1024">
        <f>BG55+BI55+BK55+BM55+BO55+BQ55+BS55+BU55+BW55+BY55+CA55+CC55</f>
        <v>0</v>
      </c>
      <c r="CI55" s="1024">
        <f t="shared" si="150"/>
        <v>0</v>
      </c>
      <c r="CJ55" s="1023"/>
      <c r="CK55" s="1023"/>
      <c r="CL55" s="1023"/>
      <c r="CM55" s="1023"/>
      <c r="CN55" s="1023"/>
      <c r="CO55" s="1023"/>
      <c r="CP55" s="1023"/>
      <c r="CQ55" s="1023"/>
      <c r="CR55" s="1023"/>
      <c r="CS55" s="1023"/>
      <c r="CT55" s="1023"/>
      <c r="CU55" s="1023"/>
      <c r="CV55" s="1023"/>
      <c r="CW55" s="1023"/>
      <c r="CX55" s="1023"/>
      <c r="CY55" s="1023"/>
      <c r="CZ55" s="1023"/>
      <c r="DA55" s="1023"/>
      <c r="DB55" s="1023"/>
      <c r="DC55" s="1023"/>
      <c r="DD55" s="1023"/>
      <c r="DE55" s="1023"/>
      <c r="DF55" s="1023"/>
      <c r="DG55" s="1023"/>
      <c r="DH55" s="1023"/>
      <c r="DI55" s="1086">
        <f t="shared" si="151"/>
        <v>0</v>
      </c>
      <c r="DJ55" s="1020">
        <f t="shared" si="152"/>
        <v>0</v>
      </c>
      <c r="DK55" s="1020">
        <f t="shared" si="152"/>
        <v>0</v>
      </c>
      <c r="DL55" s="1087">
        <f t="shared" si="153"/>
        <v>0</v>
      </c>
      <c r="DM55" s="1088"/>
      <c r="DN55" s="1089">
        <v>0.1</v>
      </c>
      <c r="DO55" s="1090">
        <v>0.1</v>
      </c>
      <c r="DP55" s="1090">
        <v>0.1</v>
      </c>
      <c r="DQ55" s="1090"/>
      <c r="DR55" s="1090"/>
      <c r="DS55" s="1090"/>
      <c r="DT55" s="1090"/>
      <c r="DU55" s="1090"/>
      <c r="DV55" s="1090"/>
      <c r="DW55" s="1090"/>
      <c r="DX55" s="1090"/>
      <c r="DY55" s="1090"/>
      <c r="DZ55" s="1090"/>
      <c r="EA55" s="1090"/>
      <c r="EB55" s="1090"/>
      <c r="EC55" s="1090"/>
      <c r="ED55" s="1090"/>
      <c r="EE55" s="1090"/>
      <c r="EF55" s="1090"/>
      <c r="EG55" s="1090"/>
      <c r="EH55" s="1090"/>
      <c r="EI55" s="1090"/>
      <c r="EJ55" s="1090"/>
      <c r="EK55" s="1090"/>
      <c r="EL55" s="1090"/>
      <c r="EM55" s="1091">
        <f>EI55+EG55+EE55+EC55+EA55+DY55+DW55+DU55+DS55+DQ55+DO55+EK55</f>
        <v>0.1</v>
      </c>
      <c r="EN55" s="1006">
        <f t="shared" si="156"/>
        <v>0.1</v>
      </c>
      <c r="EO55" s="1092">
        <f t="shared" si="155"/>
        <v>0.1</v>
      </c>
      <c r="EP55" s="1093">
        <f>DO55+DQ55+DS55+DU55+DW55+DY55</f>
        <v>0.1</v>
      </c>
      <c r="EQ55" s="1088">
        <f t="shared" si="51"/>
        <v>0.1</v>
      </c>
      <c r="ER55" s="1007">
        <f t="shared" si="26"/>
        <v>0</v>
      </c>
      <c r="ES55" s="1007">
        <f t="shared" si="21"/>
        <v>1</v>
      </c>
      <c r="ET55" s="1016">
        <f t="shared" si="22"/>
        <v>1</v>
      </c>
      <c r="EU55" s="1016">
        <f t="shared" si="23"/>
        <v>1</v>
      </c>
      <c r="EV55" s="1016">
        <f>IFERROR((AA55+BE55+CI55+DM55+EQ55)/G55,0)</f>
        <v>1</v>
      </c>
      <c r="EW55" s="1073"/>
      <c r="EX55" s="1073"/>
      <c r="EY55" s="1073"/>
      <c r="EZ55" s="1018"/>
      <c r="FA55" s="1018"/>
      <c r="FB55" s="777"/>
      <c r="FC55" s="75"/>
      <c r="FD55" s="75"/>
    </row>
    <row r="56" spans="1:160" ht="30" customHeight="1" x14ac:dyDescent="0.25">
      <c r="A56" s="710"/>
      <c r="B56" s="710"/>
      <c r="C56" s="710"/>
      <c r="D56" s="710"/>
      <c r="E56" s="710"/>
      <c r="F56" s="80" t="s">
        <v>346</v>
      </c>
      <c r="G56" s="1012">
        <f>AA56+BE56+CI56+DL56+DN56</f>
        <v>621434983</v>
      </c>
      <c r="H56" s="1012"/>
      <c r="I56" s="1012"/>
      <c r="J56" s="1012"/>
      <c r="K56" s="1012"/>
      <c r="L56" s="1012"/>
      <c r="M56" s="1012"/>
      <c r="N56" s="1012"/>
      <c r="O56" s="1012"/>
      <c r="P56" s="1012"/>
      <c r="Q56" s="1012"/>
      <c r="R56" s="1012"/>
      <c r="S56" s="1012"/>
      <c r="T56" s="1012"/>
      <c r="U56" s="1012"/>
      <c r="V56" s="1012"/>
      <c r="W56" s="1012">
        <f t="shared" si="141"/>
        <v>0</v>
      </c>
      <c r="X56" s="1012">
        <f t="shared" si="142"/>
        <v>0</v>
      </c>
      <c r="Y56" s="1012">
        <f t="shared" si="143"/>
        <v>0</v>
      </c>
      <c r="Z56" s="1012">
        <f t="shared" si="144"/>
        <v>0</v>
      </c>
      <c r="AA56" s="1012">
        <f t="shared" si="144"/>
        <v>0</v>
      </c>
      <c r="AB56" s="1012">
        <v>45106067</v>
      </c>
      <c r="AC56" s="1012">
        <v>18479500</v>
      </c>
      <c r="AD56" s="1012">
        <v>18479500</v>
      </c>
      <c r="AE56" s="1012">
        <f>36465800-AD56</f>
        <v>17986300</v>
      </c>
      <c r="AF56" s="1012">
        <v>17986300</v>
      </c>
      <c r="AG56" s="1012">
        <f>45106067-AD56-AF56</f>
        <v>8640267</v>
      </c>
      <c r="AH56" s="1012">
        <v>8640267</v>
      </c>
      <c r="AI56" s="1012">
        <v>0</v>
      </c>
      <c r="AJ56" s="1012">
        <v>0</v>
      </c>
      <c r="AK56" s="1012">
        <v>0</v>
      </c>
      <c r="AL56" s="1012">
        <v>0</v>
      </c>
      <c r="AM56" s="1012">
        <v>0</v>
      </c>
      <c r="AN56" s="1012">
        <v>0</v>
      </c>
      <c r="AO56" s="1012">
        <v>0</v>
      </c>
      <c r="AP56" s="1012">
        <v>0</v>
      </c>
      <c r="AQ56" s="1012"/>
      <c r="AR56" s="1012"/>
      <c r="AS56" s="1012"/>
      <c r="AT56" s="1012">
        <v>0</v>
      </c>
      <c r="AU56" s="1012"/>
      <c r="AV56" s="1012">
        <v>0</v>
      </c>
      <c r="AW56" s="1012"/>
      <c r="AX56" s="1012"/>
      <c r="AY56" s="1012"/>
      <c r="AZ56" s="1012"/>
      <c r="BA56" s="1012">
        <f>AW56+AU56+AS56+AQ56+AO56+AM56+AK56+AI56+AG56+AE56+AC56+AY56</f>
        <v>45106067</v>
      </c>
      <c r="BB56" s="1012">
        <f t="shared" si="145"/>
        <v>45106067</v>
      </c>
      <c r="BC56" s="1012">
        <f t="shared" si="146"/>
        <v>45106067</v>
      </c>
      <c r="BD56" s="1012">
        <f>BA56</f>
        <v>45106067</v>
      </c>
      <c r="BE56" s="1012">
        <f t="shared" si="147"/>
        <v>45106067</v>
      </c>
      <c r="BF56" s="1012">
        <v>28950533</v>
      </c>
      <c r="BG56" s="1012">
        <v>28950533</v>
      </c>
      <c r="BH56" s="1012">
        <v>28950533</v>
      </c>
      <c r="BI56" s="1012">
        <v>0</v>
      </c>
      <c r="BJ56" s="1012">
        <v>0</v>
      </c>
      <c r="BK56" s="1012">
        <v>0</v>
      </c>
      <c r="BL56" s="1012">
        <v>0</v>
      </c>
      <c r="BM56" s="1012">
        <v>0</v>
      </c>
      <c r="BN56" s="1012">
        <v>0</v>
      </c>
      <c r="BO56" s="1012"/>
      <c r="BP56" s="1012"/>
      <c r="BQ56" s="1012"/>
      <c r="BR56" s="1012">
        <v>0</v>
      </c>
      <c r="BS56" s="1012">
        <v>0</v>
      </c>
      <c r="BT56" s="1012">
        <v>0</v>
      </c>
      <c r="BU56" s="1012"/>
      <c r="BV56" s="1012">
        <v>0</v>
      </c>
      <c r="BW56" s="1012"/>
      <c r="BX56" s="1012"/>
      <c r="BY56" s="1012">
        <v>0</v>
      </c>
      <c r="BZ56" s="1012">
        <v>0</v>
      </c>
      <c r="CA56" s="1012"/>
      <c r="CB56" s="1012">
        <v>0</v>
      </c>
      <c r="CC56" s="1012"/>
      <c r="CD56" s="1012"/>
      <c r="CE56" s="1012">
        <f>CA56+BY56+BW56+BU56+BS56+BQ56+BO56+BM56+BK56+BI56+BG56+CC56</f>
        <v>28950533</v>
      </c>
      <c r="CF56" s="1012">
        <f t="shared" si="148"/>
        <v>28950533</v>
      </c>
      <c r="CG56" s="1012">
        <f t="shared" si="149"/>
        <v>28950533</v>
      </c>
      <c r="CH56" s="1012">
        <f>CE56</f>
        <v>28950533</v>
      </c>
      <c r="CI56" s="1012">
        <f t="shared" si="150"/>
        <v>28950533</v>
      </c>
      <c r="CJ56" s="1012">
        <v>29539233</v>
      </c>
      <c r="CK56" s="1012">
        <v>29179467</v>
      </c>
      <c r="CL56" s="1012">
        <v>29179467</v>
      </c>
      <c r="CM56" s="1012">
        <v>57025</v>
      </c>
      <c r="CN56" s="1012">
        <v>57025</v>
      </c>
      <c r="CO56" s="1012">
        <v>57325</v>
      </c>
      <c r="CP56" s="1012">
        <v>57325</v>
      </c>
      <c r="CQ56" s="1012">
        <v>245416</v>
      </c>
      <c r="CR56" s="1012">
        <v>56600</v>
      </c>
      <c r="CS56" s="1012"/>
      <c r="CT56" s="1012">
        <v>0</v>
      </c>
      <c r="CU56" s="1012">
        <v>-188816</v>
      </c>
      <c r="CV56" s="1012"/>
      <c r="CW56" s="1012"/>
      <c r="CX56" s="1012"/>
      <c r="CY56" s="1012"/>
      <c r="CZ56" s="1012"/>
      <c r="DA56" s="1012"/>
      <c r="DB56" s="1012"/>
      <c r="DC56" s="1012"/>
      <c r="DD56" s="1012"/>
      <c r="DE56" s="1012"/>
      <c r="DF56" s="1012"/>
      <c r="DG56" s="1012"/>
      <c r="DH56" s="1012"/>
      <c r="DI56" s="1012">
        <f t="shared" si="151"/>
        <v>29350417</v>
      </c>
      <c r="DJ56" s="1012">
        <f t="shared" si="152"/>
        <v>29350417</v>
      </c>
      <c r="DK56" s="1012">
        <f t="shared" si="152"/>
        <v>29350417</v>
      </c>
      <c r="DL56" s="1083">
        <f t="shared" si="153"/>
        <v>29350417</v>
      </c>
      <c r="DM56" s="1083">
        <f t="shared" si="154"/>
        <v>29350417</v>
      </c>
      <c r="DN56" s="1085">
        <v>518027966</v>
      </c>
      <c r="DO56" s="1085">
        <v>8322000</v>
      </c>
      <c r="DP56" s="1085">
        <v>8322000</v>
      </c>
      <c r="DQ56" s="1085">
        <v>30612248</v>
      </c>
      <c r="DR56" s="1085">
        <v>25299433</v>
      </c>
      <c r="DS56" s="1085">
        <v>5037982</v>
      </c>
      <c r="DT56" s="1085">
        <v>96120133</v>
      </c>
      <c r="DU56" s="1085">
        <v>5037982</v>
      </c>
      <c r="DV56" s="1085"/>
      <c r="DW56" s="1085">
        <v>5037982</v>
      </c>
      <c r="DX56" s="1085"/>
      <c r="DY56" s="1085">
        <v>463979772</v>
      </c>
      <c r="DZ56" s="1085"/>
      <c r="EA56" s="1085"/>
      <c r="EB56" s="1085"/>
      <c r="EC56" s="1085"/>
      <c r="ED56" s="1085"/>
      <c r="EE56" s="1085"/>
      <c r="EF56" s="1085"/>
      <c r="EG56" s="1085"/>
      <c r="EH56" s="1085"/>
      <c r="EI56" s="1085"/>
      <c r="EJ56" s="1085"/>
      <c r="EK56" s="1085"/>
      <c r="EL56" s="1085"/>
      <c r="EM56" s="643">
        <f>EI56+EG56+EE56+EC56+EA56+DY56+DW56+DU56+DS56+DQ56+DO56+EK56</f>
        <v>518027966</v>
      </c>
      <c r="EN56" s="643">
        <f t="shared" si="156"/>
        <v>43972230</v>
      </c>
      <c r="EO56" s="643">
        <f t="shared" si="155"/>
        <v>129741566</v>
      </c>
      <c r="EP56" s="644">
        <f>DQ56+DS56+DU56+DW56+DY56+EA56+EC56+EE56+EG56+EI56+EK56+DO56</f>
        <v>518027966</v>
      </c>
      <c r="EQ56" s="644">
        <f t="shared" si="51"/>
        <v>129741566</v>
      </c>
      <c r="ER56" s="1007">
        <f t="shared" si="26"/>
        <v>19.079094169054198</v>
      </c>
      <c r="ES56" s="1007">
        <f t="shared" si="21"/>
        <v>2.950534143935843</v>
      </c>
      <c r="ET56" s="1016">
        <f t="shared" si="22"/>
        <v>0.25045282207794933</v>
      </c>
      <c r="EU56" s="1016">
        <f t="shared" si="23"/>
        <v>1.5819634564966938</v>
      </c>
      <c r="EV56" s="1016">
        <f t="shared" si="24"/>
        <v>0.37517775693036581</v>
      </c>
      <c r="EW56" s="1073"/>
      <c r="EX56" s="1073"/>
      <c r="EY56" s="1073"/>
      <c r="EZ56" s="1018"/>
      <c r="FA56" s="1018"/>
      <c r="FB56" s="777"/>
      <c r="FC56" s="75"/>
      <c r="FD56" s="75"/>
    </row>
    <row r="57" spans="1:160" ht="30" customHeight="1" thickBot="1" x14ac:dyDescent="0.3">
      <c r="A57" s="710"/>
      <c r="B57" s="710"/>
      <c r="C57" s="710"/>
      <c r="D57" s="710"/>
      <c r="E57" s="710"/>
      <c r="F57" s="79" t="s">
        <v>347</v>
      </c>
      <c r="G57" s="1033">
        <f>G52+G55</f>
        <v>6.9920000000000009</v>
      </c>
      <c r="H57" s="1094">
        <v>0.5</v>
      </c>
      <c r="I57" s="1063"/>
      <c r="J57" s="1063"/>
      <c r="K57" s="1063">
        <v>0.5</v>
      </c>
      <c r="L57" s="1063">
        <v>0.05</v>
      </c>
      <c r="M57" s="1063">
        <v>0.5</v>
      </c>
      <c r="N57" s="1064">
        <v>0.1</v>
      </c>
      <c r="O57" s="1063">
        <v>0.5</v>
      </c>
      <c r="P57" s="1064">
        <v>0.15</v>
      </c>
      <c r="Q57" s="1063">
        <v>0.5</v>
      </c>
      <c r="R57" s="1065">
        <v>0.22</v>
      </c>
      <c r="S57" s="1063">
        <v>0.5</v>
      </c>
      <c r="T57" s="1039">
        <v>0.42</v>
      </c>
      <c r="U57" s="1033">
        <v>0.5</v>
      </c>
      <c r="V57" s="1033">
        <v>0.5</v>
      </c>
      <c r="W57" s="1038">
        <f t="shared" si="141"/>
        <v>0.5</v>
      </c>
      <c r="X57" s="1038">
        <f t="shared" si="142"/>
        <v>0.5</v>
      </c>
      <c r="Y57" s="1038">
        <f t="shared" si="143"/>
        <v>0.5</v>
      </c>
      <c r="Z57" s="1038">
        <f t="shared" si="144"/>
        <v>0.5</v>
      </c>
      <c r="AA57" s="1038">
        <f t="shared" si="144"/>
        <v>0.5</v>
      </c>
      <c r="AB57" s="1033">
        <v>0.6</v>
      </c>
      <c r="AC57" s="1039">
        <v>0.06</v>
      </c>
      <c r="AD57" s="1039">
        <v>0.06</v>
      </c>
      <c r="AE57" s="1039">
        <v>0.03</v>
      </c>
      <c r="AF57" s="1039">
        <v>0.03</v>
      </c>
      <c r="AG57" s="1039">
        <v>0.06</v>
      </c>
      <c r="AH57" s="1039">
        <v>0.06</v>
      </c>
      <c r="AI57" s="1039">
        <v>0.05</v>
      </c>
      <c r="AJ57" s="1039">
        <v>0.05</v>
      </c>
      <c r="AK57" s="1039">
        <v>0.05</v>
      </c>
      <c r="AL57" s="1039">
        <v>0.05</v>
      </c>
      <c r="AM57" s="1039">
        <v>0.05</v>
      </c>
      <c r="AN57" s="1039">
        <v>0.05</v>
      </c>
      <c r="AO57" s="1039">
        <v>0.05</v>
      </c>
      <c r="AP57" s="1039">
        <v>0.05</v>
      </c>
      <c r="AQ57" s="1039">
        <v>0.05</v>
      </c>
      <c r="AR57" s="1039">
        <v>0.05</v>
      </c>
      <c r="AS57" s="1039">
        <v>0.05</v>
      </c>
      <c r="AT57" s="1039">
        <v>0.05</v>
      </c>
      <c r="AU57" s="1039">
        <v>0.05</v>
      </c>
      <c r="AV57" s="1039">
        <v>0.05</v>
      </c>
      <c r="AW57" s="1039">
        <v>0.05</v>
      </c>
      <c r="AX57" s="1039">
        <v>0.05</v>
      </c>
      <c r="AY57" s="1039">
        <v>0.01</v>
      </c>
      <c r="AZ57" s="1039">
        <v>0.05</v>
      </c>
      <c r="BA57" s="1039">
        <f>BA52+BA55</f>
        <v>0.60000000000000009</v>
      </c>
      <c r="BB57" s="1038">
        <f t="shared" si="145"/>
        <v>0.55999999999999994</v>
      </c>
      <c r="BC57" s="1038">
        <f t="shared" si="146"/>
        <v>0.6</v>
      </c>
      <c r="BD57" s="1038">
        <f>BD52+BD55</f>
        <v>0.60000000000000009</v>
      </c>
      <c r="BE57" s="1038">
        <f t="shared" si="147"/>
        <v>0.6</v>
      </c>
      <c r="BF57" s="1039">
        <f t="shared" ref="BF57:CD57" si="157">+BF52</f>
        <v>1.5</v>
      </c>
      <c r="BG57" s="1039">
        <f t="shared" si="157"/>
        <v>0</v>
      </c>
      <c r="BH57" s="1039">
        <f t="shared" si="157"/>
        <v>0</v>
      </c>
      <c r="BI57" s="1039">
        <f t="shared" si="157"/>
        <v>0.13600000000000001</v>
      </c>
      <c r="BJ57" s="1039">
        <f t="shared" si="157"/>
        <v>0.13600000000000001</v>
      </c>
      <c r="BK57" s="1039">
        <f t="shared" si="157"/>
        <v>0.13600000000000001</v>
      </c>
      <c r="BL57" s="1039">
        <f t="shared" si="157"/>
        <v>0.13600000000000001</v>
      </c>
      <c r="BM57" s="1039">
        <f t="shared" si="157"/>
        <v>0.13600000000000001</v>
      </c>
      <c r="BN57" s="1042">
        <f t="shared" si="157"/>
        <v>0.13600000000000001</v>
      </c>
      <c r="BO57" s="1042">
        <f t="shared" si="157"/>
        <v>0.13600000000000001</v>
      </c>
      <c r="BP57" s="1042">
        <f t="shared" si="157"/>
        <v>0.13600000000000001</v>
      </c>
      <c r="BQ57" s="1039">
        <f t="shared" si="157"/>
        <v>0.13600000000000001</v>
      </c>
      <c r="BR57" s="1042">
        <f t="shared" si="157"/>
        <v>0.13600000000000001</v>
      </c>
      <c r="BS57" s="1039">
        <f t="shared" si="157"/>
        <v>0.13600000000000001</v>
      </c>
      <c r="BT57" s="1039">
        <f t="shared" si="157"/>
        <v>0.13600000000000001</v>
      </c>
      <c r="BU57" s="1039">
        <f t="shared" si="157"/>
        <v>0.13600000000000001</v>
      </c>
      <c r="BV57" s="1039">
        <f t="shared" si="157"/>
        <v>0.13600000000000001</v>
      </c>
      <c r="BW57" s="1039">
        <f t="shared" si="157"/>
        <v>0.13600000000000001</v>
      </c>
      <c r="BX57" s="1042">
        <f t="shared" si="157"/>
        <v>0.13600000000000001</v>
      </c>
      <c r="BY57" s="1039">
        <f t="shared" si="157"/>
        <v>0.13600000000000001</v>
      </c>
      <c r="BZ57" s="1042">
        <f t="shared" si="157"/>
        <v>0.13600000000000001</v>
      </c>
      <c r="CA57" s="1039">
        <f t="shared" si="157"/>
        <v>0.20600000000000002</v>
      </c>
      <c r="CB57" s="1039">
        <f t="shared" si="157"/>
        <v>0.20599999999999999</v>
      </c>
      <c r="CC57" s="1039">
        <f t="shared" si="157"/>
        <v>0.20600000000000002</v>
      </c>
      <c r="CD57" s="1042">
        <f t="shared" si="157"/>
        <v>0.20599999999999999</v>
      </c>
      <c r="CE57" s="1042">
        <f>CE52+CE55</f>
        <v>1.6360000000000006</v>
      </c>
      <c r="CF57" s="1042">
        <f t="shared" si="148"/>
        <v>1.6360000000000001</v>
      </c>
      <c r="CG57" s="1042">
        <f t="shared" si="149"/>
        <v>1.6360000000000001</v>
      </c>
      <c r="CH57" s="1039">
        <f>CH52+CH55</f>
        <v>1.6360000000000006</v>
      </c>
      <c r="CI57" s="1039">
        <f t="shared" si="150"/>
        <v>1.6360000000000001</v>
      </c>
      <c r="CJ57" s="1039">
        <v>3.44</v>
      </c>
      <c r="CK57" s="1039">
        <f t="shared" ref="CK57:DH57" si="158">+CK52</f>
        <v>0.04</v>
      </c>
      <c r="CL57" s="1039">
        <f t="shared" si="158"/>
        <v>0.04</v>
      </c>
      <c r="CM57" s="1039">
        <f t="shared" si="158"/>
        <v>0.309</v>
      </c>
      <c r="CN57" s="1039">
        <f t="shared" si="158"/>
        <v>0.309</v>
      </c>
      <c r="CO57" s="1039">
        <f t="shared" si="158"/>
        <v>0.309</v>
      </c>
      <c r="CP57" s="1039">
        <f t="shared" si="158"/>
        <v>0.309</v>
      </c>
      <c r="CQ57" s="1039">
        <f t="shared" si="158"/>
        <v>0.309</v>
      </c>
      <c r="CR57" s="1039">
        <f t="shared" si="158"/>
        <v>0.309</v>
      </c>
      <c r="CS57" s="1039">
        <f t="shared" si="158"/>
        <v>0.309</v>
      </c>
      <c r="CT57" s="1039">
        <f t="shared" si="158"/>
        <v>0.309</v>
      </c>
      <c r="CU57" s="1042">
        <f t="shared" si="158"/>
        <v>0.309</v>
      </c>
      <c r="CV57" s="1042">
        <f t="shared" si="158"/>
        <v>0.309</v>
      </c>
      <c r="CW57" s="1039">
        <f t="shared" si="158"/>
        <v>0.309</v>
      </c>
      <c r="CX57" s="1039">
        <f t="shared" si="158"/>
        <v>0.309</v>
      </c>
      <c r="CY57" s="1095">
        <f t="shared" si="158"/>
        <v>0.309</v>
      </c>
      <c r="CZ57" s="1095">
        <f t="shared" si="158"/>
        <v>0.309</v>
      </c>
      <c r="DA57" s="1039">
        <f t="shared" si="158"/>
        <v>0.309</v>
      </c>
      <c r="DB57" s="1039">
        <f t="shared" si="158"/>
        <v>0.309</v>
      </c>
      <c r="DC57" s="1039">
        <f t="shared" si="158"/>
        <v>0.309</v>
      </c>
      <c r="DD57" s="1039">
        <f t="shared" si="158"/>
        <v>0.309</v>
      </c>
      <c r="DE57" s="1039">
        <f t="shared" si="158"/>
        <v>0.309</v>
      </c>
      <c r="DF57" s="1039">
        <f t="shared" si="158"/>
        <v>0.309</v>
      </c>
      <c r="DG57" s="1039">
        <f t="shared" si="158"/>
        <v>0.309</v>
      </c>
      <c r="DH57" s="1039">
        <f t="shared" si="158"/>
        <v>0.20599999999999999</v>
      </c>
      <c r="DI57" s="1096">
        <f t="shared" si="151"/>
        <v>3.4390000000000005</v>
      </c>
      <c r="DJ57" s="1039">
        <f t="shared" si="152"/>
        <v>3.4390000000000005</v>
      </c>
      <c r="DK57" s="1039">
        <f t="shared" si="152"/>
        <v>3.3360000000000003</v>
      </c>
      <c r="DL57" s="1096">
        <f t="shared" si="153"/>
        <v>3.4390000000000005</v>
      </c>
      <c r="DM57" s="1039">
        <f t="shared" si="154"/>
        <v>3.3360000000000003</v>
      </c>
      <c r="DN57" s="1040">
        <f>+DN52+DN55</f>
        <v>0.91999999999999993</v>
      </c>
      <c r="DO57" s="1036">
        <f t="shared" ref="DO57:DZ57" si="159">+DO52+DO55</f>
        <v>0.25</v>
      </c>
      <c r="DP57" s="1036">
        <f t="shared" si="159"/>
        <v>0.25</v>
      </c>
      <c r="DQ57" s="1040">
        <f t="shared" si="159"/>
        <v>0.1</v>
      </c>
      <c r="DR57" s="1040">
        <f t="shared" si="159"/>
        <v>0.1</v>
      </c>
      <c r="DS57" s="1040">
        <f t="shared" si="159"/>
        <v>0.16</v>
      </c>
      <c r="DT57" s="1040">
        <f t="shared" si="159"/>
        <v>0.16</v>
      </c>
      <c r="DU57" s="1040">
        <f t="shared" si="159"/>
        <v>0.16</v>
      </c>
      <c r="DV57" s="1040">
        <f t="shared" si="159"/>
        <v>0</v>
      </c>
      <c r="DW57" s="1040">
        <f t="shared" si="159"/>
        <v>0.16</v>
      </c>
      <c r="DX57" s="1040">
        <f t="shared" si="159"/>
        <v>0</v>
      </c>
      <c r="DY57" s="1040">
        <f t="shared" si="159"/>
        <v>0.09</v>
      </c>
      <c r="DZ57" s="1040">
        <f t="shared" si="159"/>
        <v>0</v>
      </c>
      <c r="EA57" s="1039"/>
      <c r="EB57" s="1039"/>
      <c r="EC57" s="1039"/>
      <c r="ED57" s="1039"/>
      <c r="EE57" s="1039"/>
      <c r="EF57" s="1039"/>
      <c r="EG57" s="1039"/>
      <c r="EH57" s="1039"/>
      <c r="EI57" s="1039"/>
      <c r="EJ57" s="1039"/>
      <c r="EK57" s="1039"/>
      <c r="EL57" s="1039"/>
      <c r="EM57" s="1095">
        <f>EI57+EG57+EE57+EC57+EA57+DY57+DW57+DU57+DS57+DQ57+DO57+EK57</f>
        <v>0.92</v>
      </c>
      <c r="EN57" s="1039">
        <f t="shared" si="156"/>
        <v>0.51</v>
      </c>
      <c r="EO57" s="1044">
        <f t="shared" si="155"/>
        <v>0.51</v>
      </c>
      <c r="EP57" s="1039">
        <f>EP52+EP55</f>
        <v>0.92</v>
      </c>
      <c r="EQ57" s="1039">
        <f>EQ52+EQ55</f>
        <v>0.51</v>
      </c>
      <c r="ER57" s="1045">
        <f t="shared" si="26"/>
        <v>1</v>
      </c>
      <c r="ES57" s="1045">
        <f t="shared" si="21"/>
        <v>1</v>
      </c>
      <c r="ET57" s="1046">
        <f t="shared" si="22"/>
        <v>0.55434782608695654</v>
      </c>
      <c r="EU57" s="1046">
        <f t="shared" si="23"/>
        <v>0.98459237097980556</v>
      </c>
      <c r="EV57" s="1046">
        <f t="shared" si="24"/>
        <v>0.94136155606407323</v>
      </c>
      <c r="EW57" s="1073"/>
      <c r="EX57" s="1073"/>
      <c r="EY57" s="1073"/>
      <c r="EZ57" s="1018"/>
      <c r="FA57" s="1018"/>
      <c r="FB57" s="777"/>
      <c r="FC57" s="75"/>
      <c r="FD57" s="75"/>
    </row>
    <row r="58" spans="1:160" ht="36.75" customHeight="1" thickBot="1" x14ac:dyDescent="0.3">
      <c r="A58" s="710"/>
      <c r="B58" s="731"/>
      <c r="C58" s="731"/>
      <c r="D58" s="731"/>
      <c r="E58" s="731"/>
      <c r="F58" s="81" t="s">
        <v>348</v>
      </c>
      <c r="G58" s="646">
        <f>G53+G56</f>
        <v>4600382816</v>
      </c>
      <c r="H58" s="647">
        <f t="shared" ref="H58:DK58" si="160">H53+H56</f>
        <v>220180000</v>
      </c>
      <c r="I58" s="647">
        <f t="shared" si="160"/>
        <v>0</v>
      </c>
      <c r="J58" s="647">
        <f t="shared" si="160"/>
        <v>0</v>
      </c>
      <c r="K58" s="647">
        <f t="shared" si="160"/>
        <v>220180000</v>
      </c>
      <c r="L58" s="647">
        <f t="shared" si="160"/>
        <v>0</v>
      </c>
      <c r="M58" s="647">
        <f t="shared" si="160"/>
        <v>220180000</v>
      </c>
      <c r="N58" s="647">
        <f t="shared" si="160"/>
        <v>162068000</v>
      </c>
      <c r="O58" s="647">
        <f t="shared" si="160"/>
        <v>220180000</v>
      </c>
      <c r="P58" s="647">
        <f t="shared" si="160"/>
        <v>162068000</v>
      </c>
      <c r="Q58" s="647">
        <f t="shared" si="160"/>
        <v>199997000</v>
      </c>
      <c r="R58" s="647">
        <f t="shared" si="160"/>
        <v>162068000</v>
      </c>
      <c r="S58" s="647">
        <f t="shared" si="160"/>
        <v>218352000</v>
      </c>
      <c r="T58" s="647">
        <f t="shared" si="160"/>
        <v>162068000</v>
      </c>
      <c r="U58" s="647">
        <f t="shared" si="160"/>
        <v>218352000</v>
      </c>
      <c r="V58" s="647">
        <f t="shared" si="160"/>
        <v>200757000</v>
      </c>
      <c r="W58" s="647">
        <f t="shared" si="160"/>
        <v>220180000</v>
      </c>
      <c r="X58" s="647">
        <f t="shared" si="160"/>
        <v>220180000</v>
      </c>
      <c r="Y58" s="647">
        <f t="shared" si="160"/>
        <v>200757000</v>
      </c>
      <c r="Z58" s="647">
        <f t="shared" si="160"/>
        <v>218352000</v>
      </c>
      <c r="AA58" s="647">
        <f t="shared" si="160"/>
        <v>200757000</v>
      </c>
      <c r="AB58" s="647">
        <f t="shared" si="160"/>
        <v>528105067</v>
      </c>
      <c r="AC58" s="647">
        <f t="shared" si="160"/>
        <v>18479500</v>
      </c>
      <c r="AD58" s="647">
        <f t="shared" si="160"/>
        <v>18479500</v>
      </c>
      <c r="AE58" s="647">
        <f t="shared" si="160"/>
        <v>358866300</v>
      </c>
      <c r="AF58" s="647">
        <f t="shared" si="160"/>
        <v>358866300</v>
      </c>
      <c r="AG58" s="647">
        <f t="shared" si="160"/>
        <v>103002267</v>
      </c>
      <c r="AH58" s="647">
        <f t="shared" si="160"/>
        <v>103002267</v>
      </c>
      <c r="AI58" s="647">
        <f t="shared" si="160"/>
        <v>0</v>
      </c>
      <c r="AJ58" s="647">
        <f t="shared" si="160"/>
        <v>0</v>
      </c>
      <c r="AK58" s="647">
        <f t="shared" si="160"/>
        <v>0</v>
      </c>
      <c r="AL58" s="647">
        <f t="shared" si="160"/>
        <v>0</v>
      </c>
      <c r="AM58" s="647">
        <f t="shared" si="160"/>
        <v>0</v>
      </c>
      <c r="AN58" s="647">
        <f t="shared" si="160"/>
        <v>0</v>
      </c>
      <c r="AO58" s="647">
        <f t="shared" si="160"/>
        <v>0</v>
      </c>
      <c r="AP58" s="647">
        <f t="shared" si="160"/>
        <v>0</v>
      </c>
      <c r="AQ58" s="647">
        <f t="shared" si="160"/>
        <v>8646000</v>
      </c>
      <c r="AR58" s="647">
        <f t="shared" si="160"/>
        <v>8646000</v>
      </c>
      <c r="AS58" s="647">
        <f t="shared" si="160"/>
        <v>0</v>
      </c>
      <c r="AT58" s="647">
        <f t="shared" si="160"/>
        <v>0</v>
      </c>
      <c r="AU58" s="647">
        <f t="shared" si="160"/>
        <v>0</v>
      </c>
      <c r="AV58" s="647">
        <f t="shared" si="160"/>
        <v>0</v>
      </c>
      <c r="AW58" s="647">
        <f t="shared" si="160"/>
        <v>0</v>
      </c>
      <c r="AX58" s="647">
        <f t="shared" si="160"/>
        <v>0</v>
      </c>
      <c r="AY58" s="647">
        <f t="shared" si="160"/>
        <v>4041500</v>
      </c>
      <c r="AZ58" s="647">
        <f t="shared" si="160"/>
        <v>4041500</v>
      </c>
      <c r="BA58" s="647">
        <f t="shared" si="160"/>
        <v>493035567</v>
      </c>
      <c r="BB58" s="647">
        <f t="shared" si="160"/>
        <v>493035567</v>
      </c>
      <c r="BC58" s="647">
        <f t="shared" si="160"/>
        <v>493035567</v>
      </c>
      <c r="BD58" s="647">
        <f t="shared" si="160"/>
        <v>493035567</v>
      </c>
      <c r="BE58" s="647">
        <f t="shared" si="160"/>
        <v>493035567</v>
      </c>
      <c r="BF58" s="647">
        <f t="shared" si="160"/>
        <v>465032533</v>
      </c>
      <c r="BG58" s="647">
        <f t="shared" si="160"/>
        <v>465032533</v>
      </c>
      <c r="BH58" s="647">
        <f t="shared" si="160"/>
        <v>465032533</v>
      </c>
      <c r="BI58" s="647">
        <f t="shared" si="160"/>
        <v>0</v>
      </c>
      <c r="BJ58" s="647">
        <f t="shared" si="160"/>
        <v>0</v>
      </c>
      <c r="BK58" s="647">
        <f t="shared" si="160"/>
        <v>0</v>
      </c>
      <c r="BL58" s="647">
        <f t="shared" si="160"/>
        <v>0</v>
      </c>
      <c r="BM58" s="647">
        <f t="shared" si="160"/>
        <v>0</v>
      </c>
      <c r="BN58" s="647">
        <f t="shared" si="160"/>
        <v>0</v>
      </c>
      <c r="BO58" s="647">
        <f t="shared" si="160"/>
        <v>0</v>
      </c>
      <c r="BP58" s="647">
        <f t="shared" si="160"/>
        <v>0</v>
      </c>
      <c r="BQ58" s="647">
        <f t="shared" si="160"/>
        <v>0</v>
      </c>
      <c r="BR58" s="647">
        <f t="shared" si="160"/>
        <v>0</v>
      </c>
      <c r="BS58" s="647">
        <f t="shared" si="160"/>
        <v>556800</v>
      </c>
      <c r="BT58" s="647">
        <f t="shared" si="160"/>
        <v>0</v>
      </c>
      <c r="BU58" s="647">
        <f t="shared" si="160"/>
        <v>0</v>
      </c>
      <c r="BV58" s="647">
        <f t="shared" si="160"/>
        <v>0</v>
      </c>
      <c r="BW58" s="647">
        <f t="shared" si="160"/>
        <v>4409000</v>
      </c>
      <c r="BX58" s="647">
        <f t="shared" si="160"/>
        <v>-8555133</v>
      </c>
      <c r="BY58" s="647">
        <f t="shared" si="160"/>
        <v>0</v>
      </c>
      <c r="BZ58" s="647">
        <f t="shared" si="160"/>
        <v>13520933</v>
      </c>
      <c r="CA58" s="647">
        <f t="shared" si="160"/>
        <v>277259762</v>
      </c>
      <c r="CB58" s="647">
        <f t="shared" si="160"/>
        <v>7916000</v>
      </c>
      <c r="CC58" s="647">
        <f t="shared" si="160"/>
        <v>10974562</v>
      </c>
      <c r="CD58" s="647">
        <f t="shared" si="160"/>
        <v>19056533</v>
      </c>
      <c r="CE58" s="647">
        <f t="shared" si="160"/>
        <v>758232657</v>
      </c>
      <c r="CF58" s="647">
        <f t="shared" si="160"/>
        <v>758232657</v>
      </c>
      <c r="CG58" s="647">
        <f t="shared" si="160"/>
        <v>496970866</v>
      </c>
      <c r="CH58" s="647">
        <f t="shared" si="160"/>
        <v>758232657</v>
      </c>
      <c r="CI58" s="647">
        <f t="shared" si="160"/>
        <v>496970866</v>
      </c>
      <c r="CJ58" s="647">
        <f t="shared" si="160"/>
        <v>1305174233</v>
      </c>
      <c r="CK58" s="647">
        <f t="shared" si="160"/>
        <v>29179467</v>
      </c>
      <c r="CL58" s="647">
        <f t="shared" si="160"/>
        <v>29179467</v>
      </c>
      <c r="CM58" s="647">
        <f t="shared" si="160"/>
        <v>355467025</v>
      </c>
      <c r="CN58" s="647">
        <f t="shared" si="160"/>
        <v>355467025</v>
      </c>
      <c r="CO58" s="647">
        <f t="shared" si="160"/>
        <v>39187325</v>
      </c>
      <c r="CP58" s="647">
        <f t="shared" si="160"/>
        <v>39187325</v>
      </c>
      <c r="CQ58" s="647">
        <f t="shared" si="160"/>
        <v>35462416</v>
      </c>
      <c r="CR58" s="647">
        <f t="shared" si="160"/>
        <v>35273600</v>
      </c>
      <c r="CS58" s="647">
        <f t="shared" si="160"/>
        <v>687734000</v>
      </c>
      <c r="CT58" s="647">
        <f t="shared" si="160"/>
        <v>0</v>
      </c>
      <c r="CU58" s="647">
        <f t="shared" si="160"/>
        <v>-188816</v>
      </c>
      <c r="CV58" s="647">
        <f t="shared" si="160"/>
        <v>0</v>
      </c>
      <c r="CW58" s="647">
        <f t="shared" si="160"/>
        <v>-29001501</v>
      </c>
      <c r="CX58" s="647">
        <f t="shared" si="160"/>
        <v>544582000</v>
      </c>
      <c r="CY58" s="647">
        <f t="shared" si="160"/>
        <v>0</v>
      </c>
      <c r="CZ58" s="647">
        <f t="shared" si="160"/>
        <v>0</v>
      </c>
      <c r="DA58" s="647">
        <f t="shared" si="160"/>
        <v>0</v>
      </c>
      <c r="DB58" s="647">
        <f t="shared" si="160"/>
        <v>0</v>
      </c>
      <c r="DC58" s="647">
        <f t="shared" si="160"/>
        <v>0</v>
      </c>
      <c r="DD58" s="647">
        <f t="shared" si="160"/>
        <v>0</v>
      </c>
      <c r="DE58" s="647">
        <f t="shared" si="160"/>
        <v>107885000</v>
      </c>
      <c r="DF58" s="647">
        <f t="shared" si="160"/>
        <v>35395000</v>
      </c>
      <c r="DG58" s="647">
        <f t="shared" si="160"/>
        <v>58405501</v>
      </c>
      <c r="DH58" s="647">
        <f t="shared" si="160"/>
        <v>28404000</v>
      </c>
      <c r="DI58" s="647">
        <f t="shared" si="160"/>
        <v>1284130417</v>
      </c>
      <c r="DJ58" s="647">
        <f t="shared" si="160"/>
        <v>1284130417</v>
      </c>
      <c r="DK58" s="647">
        <f t="shared" si="160"/>
        <v>1067488417</v>
      </c>
      <c r="DL58" s="647">
        <f>DL53+DL56</f>
        <v>1284130417</v>
      </c>
      <c r="DM58" s="647">
        <f t="shared" ref="DM58:EQ58" si="161">DM53+DM56</f>
        <v>1067488417</v>
      </c>
      <c r="DN58" s="647">
        <f t="shared" si="161"/>
        <v>2342130966</v>
      </c>
      <c r="DO58" s="647">
        <f t="shared" si="161"/>
        <v>34968000</v>
      </c>
      <c r="DP58" s="647">
        <f t="shared" si="161"/>
        <v>34968000</v>
      </c>
      <c r="DQ58" s="647">
        <f t="shared" si="161"/>
        <v>293335248</v>
      </c>
      <c r="DR58" s="647">
        <f t="shared" si="161"/>
        <v>47687433</v>
      </c>
      <c r="DS58" s="647">
        <f t="shared" si="161"/>
        <v>5037982</v>
      </c>
      <c r="DT58" s="647">
        <f t="shared" si="161"/>
        <v>132812133</v>
      </c>
      <c r="DU58" s="647">
        <f t="shared" si="161"/>
        <v>51297982</v>
      </c>
      <c r="DV58" s="647">
        <f t="shared" si="161"/>
        <v>0</v>
      </c>
      <c r="DW58" s="647">
        <f t="shared" si="161"/>
        <v>5037982</v>
      </c>
      <c r="DX58" s="647">
        <f t="shared" si="161"/>
        <v>0</v>
      </c>
      <c r="DY58" s="647">
        <f t="shared" si="161"/>
        <v>1952453772</v>
      </c>
      <c r="DZ58" s="647">
        <f t="shared" si="161"/>
        <v>0</v>
      </c>
      <c r="EA58" s="647">
        <f t="shared" si="161"/>
        <v>0</v>
      </c>
      <c r="EB58" s="647">
        <f t="shared" si="161"/>
        <v>0</v>
      </c>
      <c r="EC58" s="647">
        <f t="shared" si="161"/>
        <v>0</v>
      </c>
      <c r="ED58" s="647">
        <f t="shared" si="161"/>
        <v>0</v>
      </c>
      <c r="EE58" s="647">
        <f t="shared" si="161"/>
        <v>0</v>
      </c>
      <c r="EF58" s="647">
        <f t="shared" si="161"/>
        <v>0</v>
      </c>
      <c r="EG58" s="647">
        <f t="shared" si="161"/>
        <v>0</v>
      </c>
      <c r="EH58" s="647">
        <f t="shared" si="161"/>
        <v>0</v>
      </c>
      <c r="EI58" s="647">
        <f t="shared" si="161"/>
        <v>0</v>
      </c>
      <c r="EJ58" s="647">
        <f t="shared" si="161"/>
        <v>0</v>
      </c>
      <c r="EK58" s="647">
        <f t="shared" si="161"/>
        <v>0</v>
      </c>
      <c r="EL58" s="647">
        <f t="shared" si="161"/>
        <v>0</v>
      </c>
      <c r="EM58" s="647">
        <f t="shared" si="161"/>
        <v>2342130966</v>
      </c>
      <c r="EN58" s="647">
        <f t="shared" si="161"/>
        <v>333341230</v>
      </c>
      <c r="EO58" s="647">
        <f t="shared" si="161"/>
        <v>215467566</v>
      </c>
      <c r="EP58" s="647">
        <f t="shared" si="161"/>
        <v>2342130966</v>
      </c>
      <c r="EQ58" s="647">
        <f t="shared" si="161"/>
        <v>215467566</v>
      </c>
      <c r="ER58" s="648">
        <f t="shared" si="26"/>
        <v>26.362169019262076</v>
      </c>
      <c r="ES58" s="648">
        <f t="shared" si="21"/>
        <v>0.64638738508284743</v>
      </c>
      <c r="ET58" s="649">
        <f t="shared" si="22"/>
        <v>9.1996378139342694E-2</v>
      </c>
      <c r="EU58" s="649">
        <f t="shared" si="23"/>
        <v>0.80131059241806413</v>
      </c>
      <c r="EV58" s="650">
        <f t="shared" si="24"/>
        <v>0.53772034088043164</v>
      </c>
      <c r="EW58" s="1076"/>
      <c r="EX58" s="1076"/>
      <c r="EY58" s="1076"/>
      <c r="EZ58" s="1048"/>
      <c r="FA58" s="1048"/>
      <c r="FB58" s="778"/>
      <c r="FC58" s="88"/>
      <c r="FD58" s="88"/>
    </row>
    <row r="59" spans="1:160" ht="30" customHeight="1" x14ac:dyDescent="0.25">
      <c r="A59" s="710"/>
      <c r="B59" s="759">
        <v>8</v>
      </c>
      <c r="C59" s="758" t="s">
        <v>362</v>
      </c>
      <c r="D59" s="758" t="s">
        <v>177</v>
      </c>
      <c r="E59" s="758">
        <v>199</v>
      </c>
      <c r="F59" s="73" t="s">
        <v>340</v>
      </c>
      <c r="G59" s="651">
        <f>AA59+BE59+CI59+DM59+EP59</f>
        <v>9.0000000000000018</v>
      </c>
      <c r="H59" s="1097">
        <v>0.5</v>
      </c>
      <c r="I59" s="995"/>
      <c r="J59" s="995"/>
      <c r="K59" s="996">
        <v>0.5</v>
      </c>
      <c r="L59" s="997">
        <v>0</v>
      </c>
      <c r="M59" s="996">
        <v>0.5</v>
      </c>
      <c r="N59" s="996">
        <v>0</v>
      </c>
      <c r="O59" s="996">
        <v>0.5</v>
      </c>
      <c r="P59" s="996">
        <v>0</v>
      </c>
      <c r="Q59" s="996">
        <v>0.5</v>
      </c>
      <c r="R59" s="996">
        <v>0.17</v>
      </c>
      <c r="S59" s="996">
        <v>0.5</v>
      </c>
      <c r="T59" s="997">
        <v>0.34</v>
      </c>
      <c r="U59" s="996">
        <v>0.5</v>
      </c>
      <c r="V59" s="996">
        <v>0.5</v>
      </c>
      <c r="W59" s="1001">
        <f t="shared" ref="W59:W64" si="162">+H59</f>
        <v>0.5</v>
      </c>
      <c r="X59" s="1001">
        <f t="shared" ref="X59:X64" si="163">+H59</f>
        <v>0.5</v>
      </c>
      <c r="Y59" s="1001">
        <f t="shared" ref="Y59:Y64" si="164">+V59</f>
        <v>0.5</v>
      </c>
      <c r="Z59" s="1001">
        <f t="shared" ref="Z59:AA64" si="165">+U59</f>
        <v>0.5</v>
      </c>
      <c r="AA59" s="1001">
        <f t="shared" si="165"/>
        <v>0.5</v>
      </c>
      <c r="AB59" s="996">
        <v>1.4</v>
      </c>
      <c r="AC59" s="1002">
        <v>7.0000000000000007E-2</v>
      </c>
      <c r="AD59" s="1002">
        <v>7.0000000000000007E-2</v>
      </c>
      <c r="AE59" s="1002">
        <v>0.126</v>
      </c>
      <c r="AF59" s="1002">
        <v>0.126</v>
      </c>
      <c r="AG59" s="1002">
        <v>0.126</v>
      </c>
      <c r="AH59" s="1002">
        <v>0.126</v>
      </c>
      <c r="AI59" s="1002">
        <v>0.126</v>
      </c>
      <c r="AJ59" s="1002">
        <v>0.126</v>
      </c>
      <c r="AK59" s="1002">
        <v>0.126</v>
      </c>
      <c r="AL59" s="1002">
        <v>0.126</v>
      </c>
      <c r="AM59" s="1002">
        <v>0.126</v>
      </c>
      <c r="AN59" s="1002">
        <v>0.126</v>
      </c>
      <c r="AO59" s="1002">
        <v>0.126</v>
      </c>
      <c r="AP59" s="1002">
        <v>0.126</v>
      </c>
      <c r="AQ59" s="1002">
        <v>0.126</v>
      </c>
      <c r="AR59" s="1002">
        <v>0.126</v>
      </c>
      <c r="AS59" s="1002">
        <v>0.126</v>
      </c>
      <c r="AT59" s="1002">
        <v>0.126</v>
      </c>
      <c r="AU59" s="1002">
        <v>0.126</v>
      </c>
      <c r="AV59" s="1002">
        <v>0.126</v>
      </c>
      <c r="AW59" s="1002">
        <v>0.126</v>
      </c>
      <c r="AX59" s="1002">
        <v>0.126</v>
      </c>
      <c r="AY59" s="1002">
        <v>7.0000000000000007E-2</v>
      </c>
      <c r="AZ59" s="996">
        <v>7.0000000000000007E-2</v>
      </c>
      <c r="BA59" s="998">
        <f>AY59+AW59+AU59+AS59+AO59+AM59+AK59+AI59+AG59+AE59+AC59+AQ59</f>
        <v>1.4000000000000004</v>
      </c>
      <c r="BB59" s="1001">
        <f t="shared" ref="BB59:BB64" si="166">AC59+AE59+AG59+AI59+AK59+AM59+AO59+AQ59+AS59+AU59+AW59+AY59</f>
        <v>1.4000000000000001</v>
      </c>
      <c r="BC59" s="999">
        <f t="shared" ref="BC59:BC64" si="167">+AN59+AD59+AF59+AH59+AJ59+AL59+AP59+AR59+AT59+AV59+AX59+AZ59</f>
        <v>1.4000000000000001</v>
      </c>
      <c r="BD59" s="1001">
        <f>BA59</f>
        <v>1.4000000000000004</v>
      </c>
      <c r="BE59" s="1001">
        <f t="shared" ref="BE59:BE64" si="168">AF59+AH59+AJ59+AL59+AD59+AN59+AP59+AR59+AT59+AV59+AX59+AZ59</f>
        <v>1.4000000000000001</v>
      </c>
      <c r="BF59" s="1070">
        <v>2.5</v>
      </c>
      <c r="BG59" s="996">
        <v>0.06</v>
      </c>
      <c r="BH59" s="996">
        <v>0.06</v>
      </c>
      <c r="BI59" s="1070">
        <v>0.2</v>
      </c>
      <c r="BJ59" s="1070">
        <v>0.2</v>
      </c>
      <c r="BK59" s="996">
        <v>0.23</v>
      </c>
      <c r="BL59" s="996">
        <v>0.23</v>
      </c>
      <c r="BM59" s="996">
        <v>0.23</v>
      </c>
      <c r="BN59" s="996">
        <v>0.23</v>
      </c>
      <c r="BO59" s="996">
        <v>0.23</v>
      </c>
      <c r="BP59" s="996">
        <v>0.23</v>
      </c>
      <c r="BQ59" s="996">
        <v>0.23</v>
      </c>
      <c r="BR59" s="996">
        <v>0.23</v>
      </c>
      <c r="BS59" s="996">
        <v>0.23</v>
      </c>
      <c r="BT59" s="996">
        <v>0.23</v>
      </c>
      <c r="BU59" s="996">
        <v>0.25</v>
      </c>
      <c r="BV59" s="996">
        <v>0.25</v>
      </c>
      <c r="BW59" s="996">
        <v>0.25</v>
      </c>
      <c r="BX59" s="996">
        <v>0.25</v>
      </c>
      <c r="BY59" s="996">
        <v>0.25</v>
      </c>
      <c r="BZ59" s="996">
        <v>0.25</v>
      </c>
      <c r="CA59" s="996">
        <v>0.21</v>
      </c>
      <c r="CB59" s="996">
        <v>0.21</v>
      </c>
      <c r="CC59" s="996">
        <v>0.13</v>
      </c>
      <c r="CD59" s="996">
        <v>0.13</v>
      </c>
      <c r="CE59" s="998">
        <f>CC59+CA59+BY59+BW59+BS59+BQ59+BO59+BM59+BK59+BI59+BG59+BU59</f>
        <v>2.5</v>
      </c>
      <c r="CF59" s="1001">
        <f t="shared" ref="CF59:CF64" si="169">+BG59+BI59+BK59+BM59+BO59+BQ59+BS59+BU59+BW59+BY59+CA59+CC59</f>
        <v>2.5</v>
      </c>
      <c r="CG59" s="999">
        <f t="shared" ref="CG59:CG64" si="170">+BR59+BH59+BJ59+BL59+BN59+BP59+BT59+BV59+BX59+BZ59+CB59+CD59</f>
        <v>2.5</v>
      </c>
      <c r="CH59" s="1001">
        <f>CE59</f>
        <v>2.5</v>
      </c>
      <c r="CI59" s="998">
        <f t="shared" ref="CI59:CI64" si="171">BJ59+BL59+BN59+BP59+BH59+BR59+BT59+BV59+BX59+BZ59+CB59+CD59</f>
        <v>2.5</v>
      </c>
      <c r="CJ59" s="996">
        <v>3.3</v>
      </c>
      <c r="CK59" s="1002">
        <v>0.16500000000000001</v>
      </c>
      <c r="CL59" s="1002">
        <v>0.16500000000000001</v>
      </c>
      <c r="CM59" s="1002">
        <v>0.29699999999999999</v>
      </c>
      <c r="CN59" s="1002">
        <v>0.29699999999999999</v>
      </c>
      <c r="CO59" s="1002">
        <v>0.29699999999999999</v>
      </c>
      <c r="CP59" s="1002">
        <v>0.29699999999999999</v>
      </c>
      <c r="CQ59" s="1002">
        <v>0.29699999999999999</v>
      </c>
      <c r="CR59" s="1002">
        <v>0.29699999999999999</v>
      </c>
      <c r="CS59" s="1002">
        <v>0.29699999999999999</v>
      </c>
      <c r="CT59" s="1002">
        <v>0.29699999999999999</v>
      </c>
      <c r="CU59" s="1002">
        <v>0.29699999999999999</v>
      </c>
      <c r="CV59" s="1002">
        <v>0.29699999999999999</v>
      </c>
      <c r="CW59" s="1002">
        <v>0.29699999999999999</v>
      </c>
      <c r="CX59" s="1002">
        <v>0.29699999999999999</v>
      </c>
      <c r="CY59" s="1002">
        <v>0.29699999999999999</v>
      </c>
      <c r="CZ59" s="1002">
        <v>0.29699999999999999</v>
      </c>
      <c r="DA59" s="1002">
        <v>0.29699999999999999</v>
      </c>
      <c r="DB59" s="1002">
        <v>0.29699999999999999</v>
      </c>
      <c r="DC59" s="1002">
        <v>0.29699999999999999</v>
      </c>
      <c r="DD59" s="1002">
        <v>0.29699999999999999</v>
      </c>
      <c r="DE59" s="1002">
        <v>0.29699999999999999</v>
      </c>
      <c r="DF59" s="1002">
        <v>0.29699999999999999</v>
      </c>
      <c r="DG59" s="1002">
        <v>0.16500000000000001</v>
      </c>
      <c r="DH59" s="1002">
        <v>0.16500000000000001</v>
      </c>
      <c r="DI59" s="997">
        <f>DG59+DE59+DC59+DA59+CY59+CW59+CU59+CS59+CQ59+CO59+CM59+CK59</f>
        <v>3.3000000000000003</v>
      </c>
      <c r="DJ59" s="998">
        <f>CK59+CM59+CO59+CQ59+CS59+CU59+CW59+CY59+DA59+DC59+DE59+DG59</f>
        <v>3.3000000000000003</v>
      </c>
      <c r="DK59" s="998">
        <f>CL59+CN59+CP59+CR59+CT59+CV59+CX59+CZ59+DB59+DD59+DF59+DH59</f>
        <v>3.3000000000000003</v>
      </c>
      <c r="DL59" s="1078">
        <f t="shared" ref="DL59:DL64" si="172">DI59</f>
        <v>3.3000000000000003</v>
      </c>
      <c r="DM59" s="1078">
        <f t="shared" ref="DM59:DM64" si="173">CN59+CP59+CR59+CT59+CL59+CV59+CX59+CZ59+DB59+DD59+DF59+DH59</f>
        <v>3.3000000000000003</v>
      </c>
      <c r="DN59" s="1098">
        <v>1.3</v>
      </c>
      <c r="DO59" s="1099">
        <v>0.06</v>
      </c>
      <c r="DP59" s="1099">
        <v>0.06</v>
      </c>
      <c r="DQ59" s="1099">
        <v>0.06</v>
      </c>
      <c r="DR59" s="1098">
        <v>0.06</v>
      </c>
      <c r="DS59" s="1098">
        <v>0.39</v>
      </c>
      <c r="DT59" s="1098">
        <v>0.39</v>
      </c>
      <c r="DU59" s="1099">
        <v>0.33</v>
      </c>
      <c r="DV59" s="1098"/>
      <c r="DW59" s="1099">
        <v>0.33</v>
      </c>
      <c r="DX59" s="1098"/>
      <c r="DY59" s="1098">
        <v>0.13</v>
      </c>
      <c r="DZ59" s="1100"/>
      <c r="EA59" s="1100"/>
      <c r="EB59" s="1100"/>
      <c r="EC59" s="1100"/>
      <c r="ED59" s="1100"/>
      <c r="EE59" s="1100"/>
      <c r="EF59" s="1100"/>
      <c r="EG59" s="1100"/>
      <c r="EH59" s="1100"/>
      <c r="EI59" s="1100"/>
      <c r="EJ59" s="1100"/>
      <c r="EK59" s="1100"/>
      <c r="EL59" s="1100"/>
      <c r="EM59" s="1078">
        <f>EK59+EI59+EG59+EE59+EC59+EA59+DY59+DW59+DU59+DS59+DQ59+DO59</f>
        <v>1.3000000000000003</v>
      </c>
      <c r="EN59" s="998">
        <f>DO59+DQ59+DS59</f>
        <v>0.51</v>
      </c>
      <c r="EO59" s="1080">
        <f t="shared" ref="EO59:EO64" si="174">DP59+DR59+DT59+DV59</f>
        <v>0.51</v>
      </c>
      <c r="EP59" s="1101">
        <f>DQ59+DS59+DU59+DW59+DY59+EA59+EC59+EE59+EG59+EI59+EK59+DO59</f>
        <v>1.3000000000000003</v>
      </c>
      <c r="EQ59" s="1080">
        <f t="shared" si="51"/>
        <v>0.51</v>
      </c>
      <c r="ER59" s="1008">
        <f t="shared" si="26"/>
        <v>1</v>
      </c>
      <c r="ES59" s="1008">
        <f t="shared" si="21"/>
        <v>1</v>
      </c>
      <c r="ET59" s="1009">
        <f t="shared" si="22"/>
        <v>0.39230769230769225</v>
      </c>
      <c r="EU59" s="1009">
        <f t="shared" si="23"/>
        <v>1</v>
      </c>
      <c r="EV59" s="1009">
        <f t="shared" si="24"/>
        <v>0.91222222222222216</v>
      </c>
      <c r="EW59" s="1082" t="s">
        <v>1612</v>
      </c>
      <c r="EX59" s="1072" t="s">
        <v>178</v>
      </c>
      <c r="EY59" s="1072" t="s">
        <v>178</v>
      </c>
      <c r="EZ59" s="1011" t="s">
        <v>363</v>
      </c>
      <c r="FA59" s="1011" t="s">
        <v>364</v>
      </c>
      <c r="FB59" s="779"/>
      <c r="FC59" s="75"/>
      <c r="FD59" s="75"/>
    </row>
    <row r="60" spans="1:160" ht="30" customHeight="1" x14ac:dyDescent="0.25">
      <c r="A60" s="710"/>
      <c r="B60" s="710"/>
      <c r="C60" s="710"/>
      <c r="D60" s="710"/>
      <c r="E60" s="710"/>
      <c r="F60" s="76" t="s">
        <v>343</v>
      </c>
      <c r="G60" s="641">
        <f>AA60+BE60+CI60+DM60+EP60</f>
        <v>1506416601</v>
      </c>
      <c r="H60" s="1102">
        <v>159600000</v>
      </c>
      <c r="I60" s="1015"/>
      <c r="J60" s="1015"/>
      <c r="K60" s="1015">
        <v>159600000</v>
      </c>
      <c r="L60" s="1015">
        <v>0</v>
      </c>
      <c r="M60" s="1015">
        <v>152972000</v>
      </c>
      <c r="N60" s="1015">
        <v>101484000</v>
      </c>
      <c r="O60" s="1015">
        <v>152972000</v>
      </c>
      <c r="P60" s="1015">
        <v>116067000</v>
      </c>
      <c r="Q60" s="1015">
        <v>136314000</v>
      </c>
      <c r="R60" s="1015">
        <v>116067000</v>
      </c>
      <c r="S60" s="1015">
        <v>156172000</v>
      </c>
      <c r="T60" s="1103">
        <v>116067000</v>
      </c>
      <c r="U60" s="1104">
        <v>156172000</v>
      </c>
      <c r="V60" s="1104">
        <v>151311000</v>
      </c>
      <c r="W60" s="1024">
        <f t="shared" si="162"/>
        <v>159600000</v>
      </c>
      <c r="X60" s="1024">
        <f t="shared" si="163"/>
        <v>159600000</v>
      </c>
      <c r="Y60" s="1024">
        <f t="shared" si="164"/>
        <v>151311000</v>
      </c>
      <c r="Z60" s="1012">
        <f t="shared" si="165"/>
        <v>156172000</v>
      </c>
      <c r="AA60" s="1012">
        <f t="shared" si="165"/>
        <v>151311000</v>
      </c>
      <c r="AB60" s="1012">
        <v>250350000</v>
      </c>
      <c r="AC60" s="1012">
        <v>0</v>
      </c>
      <c r="AD60" s="1012">
        <v>0</v>
      </c>
      <c r="AE60" s="1012">
        <v>99990000</v>
      </c>
      <c r="AF60" s="1012">
        <v>99990000</v>
      </c>
      <c r="AG60" s="1012">
        <f>207261000-AF60</f>
        <v>107271000</v>
      </c>
      <c r="AH60" s="1012">
        <v>107271000</v>
      </c>
      <c r="AI60" s="1012">
        <f>222016000-AF60-AH60</f>
        <v>14755000</v>
      </c>
      <c r="AJ60" s="1012">
        <v>14755000</v>
      </c>
      <c r="AK60" s="1012">
        <v>0</v>
      </c>
      <c r="AL60" s="1012">
        <v>0</v>
      </c>
      <c r="AM60" s="1012">
        <v>43620000</v>
      </c>
      <c r="AN60" s="1012">
        <v>0</v>
      </c>
      <c r="AO60" s="1012">
        <v>0</v>
      </c>
      <c r="AP60" s="1012">
        <v>0</v>
      </c>
      <c r="AQ60" s="1012">
        <f>11504067+568933</f>
        <v>12073000</v>
      </c>
      <c r="AR60" s="1012">
        <v>34896000</v>
      </c>
      <c r="AS60" s="1012">
        <v>0</v>
      </c>
      <c r="AT60" s="1012">
        <v>10815500</v>
      </c>
      <c r="AU60" s="1012">
        <v>0</v>
      </c>
      <c r="AV60" s="1012">
        <v>0</v>
      </c>
      <c r="AW60" s="1012">
        <v>0</v>
      </c>
      <c r="AX60" s="1012">
        <v>8724000</v>
      </c>
      <c r="AY60" s="1012">
        <v>0</v>
      </c>
      <c r="AZ60" s="1012">
        <v>0</v>
      </c>
      <c r="BA60" s="1012">
        <f>AY60+AW60+AU60+AS60+AQ60+AO60+AM60+AK60+AI60+AG60+AE60+AC60</f>
        <v>277709000</v>
      </c>
      <c r="BB60" s="1012">
        <f t="shared" si="166"/>
        <v>277709000</v>
      </c>
      <c r="BC60" s="1012">
        <f t="shared" si="167"/>
        <v>276451500</v>
      </c>
      <c r="BD60" s="1012">
        <f>BA60</f>
        <v>277709000</v>
      </c>
      <c r="BE60" s="1012">
        <f t="shared" si="168"/>
        <v>276451500</v>
      </c>
      <c r="BF60" s="1012">
        <v>289724000</v>
      </c>
      <c r="BG60" s="1012">
        <v>289663634</v>
      </c>
      <c r="BH60" s="1012">
        <v>289663634</v>
      </c>
      <c r="BI60" s="1012">
        <v>0</v>
      </c>
      <c r="BJ60" s="1012">
        <v>0</v>
      </c>
      <c r="BK60" s="1012">
        <v>0</v>
      </c>
      <c r="BL60" s="1012">
        <v>0</v>
      </c>
      <c r="BM60" s="1012">
        <v>0</v>
      </c>
      <c r="BN60" s="1012">
        <v>0</v>
      </c>
      <c r="BO60" s="1012">
        <v>0</v>
      </c>
      <c r="BP60" s="1012"/>
      <c r="BQ60" s="1012">
        <v>0</v>
      </c>
      <c r="BR60" s="1012">
        <v>0</v>
      </c>
      <c r="BS60" s="1012">
        <v>0</v>
      </c>
      <c r="BT60" s="1012">
        <v>0</v>
      </c>
      <c r="BU60" s="1012">
        <v>0</v>
      </c>
      <c r="BV60" s="1012">
        <v>0</v>
      </c>
      <c r="BW60" s="1012">
        <v>0</v>
      </c>
      <c r="BX60" s="1012">
        <v>0</v>
      </c>
      <c r="BY60" s="1012">
        <v>0</v>
      </c>
      <c r="BZ60" s="1012">
        <v>7826000</v>
      </c>
      <c r="CA60" s="1012">
        <v>32500768</v>
      </c>
      <c r="CB60" s="1012">
        <v>6517000</v>
      </c>
      <c r="CC60" s="1012">
        <v>60366</v>
      </c>
      <c r="CD60" s="1012">
        <v>18209066</v>
      </c>
      <c r="CE60" s="1012">
        <f>CC60+CA60+BY60+BW60+BU60+BS60+BQ60+BO60+BM60+BK60+BI60+BG60</f>
        <v>322224768</v>
      </c>
      <c r="CF60" s="1012">
        <f t="shared" si="169"/>
        <v>322224768</v>
      </c>
      <c r="CG60" s="1012">
        <f t="shared" si="170"/>
        <v>322215700</v>
      </c>
      <c r="CH60" s="1012">
        <f>CE60</f>
        <v>322224768</v>
      </c>
      <c r="CI60" s="1012">
        <f t="shared" si="171"/>
        <v>322215700</v>
      </c>
      <c r="CJ60" s="1012">
        <v>370000000</v>
      </c>
      <c r="CK60" s="1012">
        <v>0</v>
      </c>
      <c r="CL60" s="1012">
        <v>0</v>
      </c>
      <c r="CM60" s="1012">
        <v>301225000</v>
      </c>
      <c r="CN60" s="1012">
        <v>301225000</v>
      </c>
      <c r="CO60" s="1012">
        <v>35217000</v>
      </c>
      <c r="CP60" s="1012">
        <v>35217000</v>
      </c>
      <c r="CQ60" s="1012">
        <v>0</v>
      </c>
      <c r="CR60" s="1012">
        <v>0</v>
      </c>
      <c r="CS60" s="1012"/>
      <c r="CT60" s="1012">
        <v>0</v>
      </c>
      <c r="CU60" s="1012"/>
      <c r="CV60" s="1012"/>
      <c r="CW60" s="1012"/>
      <c r="CX60" s="1012"/>
      <c r="CY60" s="1012"/>
      <c r="CZ60" s="1012">
        <v>0</v>
      </c>
      <c r="DA60" s="1012"/>
      <c r="DB60" s="1012"/>
      <c r="DC60" s="1012"/>
      <c r="DD60" s="1012"/>
      <c r="DE60" s="1012">
        <v>19996401</v>
      </c>
      <c r="DF60" s="1012"/>
      <c r="DG60" s="1012">
        <v>0</v>
      </c>
      <c r="DH60" s="1012">
        <v>19996401</v>
      </c>
      <c r="DI60" s="1012">
        <f>DG60+DE60+DC60+DA60+CY60+CW60+CU60+CS60+CQ60+CO60+CM60+CK60</f>
        <v>356438401</v>
      </c>
      <c r="DJ60" s="1012">
        <f>CK60+CM60+CO60+CQ60+CS60+CU60+CW60+CY60+DA60+DC60+DE60</f>
        <v>356438401</v>
      </c>
      <c r="DK60" s="1006">
        <f>CL60+CN60+CP60+CR60+CT60+CV60+CX60+CZ60+DB60+DD60+DF60+DH60</f>
        <v>356438401</v>
      </c>
      <c r="DL60" s="1083">
        <f t="shared" si="172"/>
        <v>356438401</v>
      </c>
      <c r="DM60" s="1083">
        <f t="shared" si="173"/>
        <v>356438401</v>
      </c>
      <c r="DN60" s="1083">
        <v>400000000</v>
      </c>
      <c r="DO60" s="1085">
        <v>16490000</v>
      </c>
      <c r="DP60" s="1085">
        <v>16490000</v>
      </c>
      <c r="DQ60" s="1085">
        <v>135046000</v>
      </c>
      <c r="DR60" s="1085">
        <v>73384000</v>
      </c>
      <c r="DS60" s="1085"/>
      <c r="DT60" s="1085">
        <v>17252000</v>
      </c>
      <c r="DU60" s="1085">
        <v>27264000</v>
      </c>
      <c r="DV60" s="1085"/>
      <c r="DW60" s="1085"/>
      <c r="DX60" s="1085"/>
      <c r="DY60" s="1085">
        <f>+DN60-178800000</f>
        <v>221200000</v>
      </c>
      <c r="DZ60" s="1085"/>
      <c r="EA60" s="1085"/>
      <c r="EB60" s="1085"/>
      <c r="EC60" s="1085"/>
      <c r="ED60" s="1085"/>
      <c r="EE60" s="1085"/>
      <c r="EF60" s="1085"/>
      <c r="EG60" s="1085"/>
      <c r="EH60" s="1085"/>
      <c r="EI60" s="1085"/>
      <c r="EJ60" s="1085"/>
      <c r="EK60" s="1085"/>
      <c r="EL60" s="1085"/>
      <c r="EM60" s="643">
        <f>EK60+EI60+EG60+EE60+EC60+EA60+DY60+DW60+DU60+DS60+DQ60+DO60</f>
        <v>400000000</v>
      </c>
      <c r="EN60" s="643">
        <f>DO60+DQ60+DS60</f>
        <v>151536000</v>
      </c>
      <c r="EO60" s="643">
        <f t="shared" si="174"/>
        <v>107126000</v>
      </c>
      <c r="EP60" s="644">
        <f>DQ60+DS60+DU60+DW60+DY60+EA60+EC60+EE60+EG60+EI60+EK60+DO60</f>
        <v>400000000</v>
      </c>
      <c r="EQ60" s="644">
        <f t="shared" si="51"/>
        <v>107126000</v>
      </c>
      <c r="ER60" s="1007">
        <f t="shared" si="26"/>
        <v>0</v>
      </c>
      <c r="ES60" s="1007">
        <f t="shared" si="21"/>
        <v>0.70693432583676485</v>
      </c>
      <c r="ET60" s="1016">
        <f t="shared" si="22"/>
        <v>0.26781500000000003</v>
      </c>
      <c r="EU60" s="1016">
        <f t="shared" si="23"/>
        <v>0.96002028254269689</v>
      </c>
      <c r="EV60" s="1016">
        <f t="shared" si="24"/>
        <v>0.80558233372787957</v>
      </c>
      <c r="EW60" s="1073"/>
      <c r="EX60" s="1105"/>
      <c r="EY60" s="1105"/>
      <c r="EZ60" s="1018"/>
      <c r="FA60" s="1018"/>
      <c r="FB60" s="780"/>
      <c r="FC60" s="77"/>
      <c r="FD60" s="77"/>
    </row>
    <row r="61" spans="1:160" ht="30" customHeight="1" x14ac:dyDescent="0.25">
      <c r="A61" s="710"/>
      <c r="B61" s="710"/>
      <c r="C61" s="710"/>
      <c r="D61" s="710"/>
      <c r="E61" s="710"/>
      <c r="F61" s="78" t="s">
        <v>344</v>
      </c>
      <c r="G61" s="1012"/>
      <c r="H61" s="1102"/>
      <c r="I61" s="1015"/>
      <c r="J61" s="1015"/>
      <c r="K61" s="1015"/>
      <c r="L61" s="1015"/>
      <c r="M61" s="1015"/>
      <c r="N61" s="1015"/>
      <c r="O61" s="1015"/>
      <c r="P61" s="1015"/>
      <c r="Q61" s="1015"/>
      <c r="R61" s="1015"/>
      <c r="S61" s="1015"/>
      <c r="T61" s="1103"/>
      <c r="U61" s="1104"/>
      <c r="V61" s="1104"/>
      <c r="W61" s="1024">
        <f t="shared" si="162"/>
        <v>0</v>
      </c>
      <c r="X61" s="1024">
        <f t="shared" si="163"/>
        <v>0</v>
      </c>
      <c r="Y61" s="1024">
        <f t="shared" si="164"/>
        <v>0</v>
      </c>
      <c r="Z61" s="1012">
        <f t="shared" si="165"/>
        <v>0</v>
      </c>
      <c r="AA61" s="1012">
        <f t="shared" si="165"/>
        <v>0</v>
      </c>
      <c r="AB61" s="1012"/>
      <c r="AC61" s="1012"/>
      <c r="AD61" s="1012"/>
      <c r="AE61" s="1012"/>
      <c r="AF61" s="1012"/>
      <c r="AG61" s="1012">
        <v>5581534</v>
      </c>
      <c r="AH61" s="1012">
        <v>5581534</v>
      </c>
      <c r="AI61" s="1012">
        <f>22792600-AH61</f>
        <v>17211066</v>
      </c>
      <c r="AJ61" s="1012">
        <v>17211066</v>
      </c>
      <c r="AK61" s="1012">
        <v>19802834</v>
      </c>
      <c r="AL61" s="1012">
        <v>19802834</v>
      </c>
      <c r="AM61" s="1012">
        <v>26132141</v>
      </c>
      <c r="AN61" s="1012">
        <v>22144000</v>
      </c>
      <c r="AO61" s="1012">
        <f>23163681+7270000</f>
        <v>30433681</v>
      </c>
      <c r="AP61" s="1012">
        <v>22144000</v>
      </c>
      <c r="AQ61" s="1012">
        <v>30433681</v>
      </c>
      <c r="AR61" s="1012">
        <v>22144000</v>
      </c>
      <c r="AS61" s="1012">
        <v>30433681</v>
      </c>
      <c r="AT61" s="1012">
        <v>26132667</v>
      </c>
      <c r="AU61" s="1012">
        <v>30433681</v>
      </c>
      <c r="AV61" s="1012">
        <v>34704000</v>
      </c>
      <c r="AW61" s="1012">
        <f>19305298+7270000</f>
        <v>26575298</v>
      </c>
      <c r="AX61" s="1012">
        <v>34704000</v>
      </c>
      <c r="AY61" s="1012">
        <v>26575298</v>
      </c>
      <c r="AZ61" s="1012">
        <v>36749867</v>
      </c>
      <c r="BA61" s="1012">
        <f>AW61+AU61+AS61+AQ61+AO61+AM61+AK61+AI61+AG61+AE61+AC61+AY61</f>
        <v>243612895</v>
      </c>
      <c r="BB61" s="1012">
        <f t="shared" si="166"/>
        <v>243612895</v>
      </c>
      <c r="BC61" s="1012">
        <f t="shared" si="167"/>
        <v>241317968</v>
      </c>
      <c r="BD61" s="1012">
        <f>BA61</f>
        <v>243612895</v>
      </c>
      <c r="BE61" s="1012">
        <f t="shared" si="168"/>
        <v>241317968</v>
      </c>
      <c r="BF61" s="1012"/>
      <c r="BG61" s="1012">
        <v>0</v>
      </c>
      <c r="BH61" s="1012">
        <v>0</v>
      </c>
      <c r="BI61" s="1012">
        <v>10792333</v>
      </c>
      <c r="BJ61" s="1012">
        <v>1520633</v>
      </c>
      <c r="BK61" s="1012">
        <v>30910000</v>
      </c>
      <c r="BL61" s="1012">
        <f>31614966-1520633</f>
        <v>30094333</v>
      </c>
      <c r="BM61" s="1012">
        <v>30910000</v>
      </c>
      <c r="BN61" s="1012">
        <v>27403000</v>
      </c>
      <c r="BO61" s="1012">
        <v>30910000</v>
      </c>
      <c r="BP61" s="1012">
        <v>34417000</v>
      </c>
      <c r="BQ61" s="1012">
        <v>30910000</v>
      </c>
      <c r="BR61" s="1012">
        <v>30910000</v>
      </c>
      <c r="BS61" s="1012">
        <v>30910000</v>
      </c>
      <c r="BT61" s="1012">
        <v>30910000</v>
      </c>
      <c r="BU61" s="1012">
        <v>30910000</v>
      </c>
      <c r="BV61" s="1012">
        <v>30910000</v>
      </c>
      <c r="BW61" s="1012">
        <v>29587374</v>
      </c>
      <c r="BX61" s="1012">
        <v>30910000</v>
      </c>
      <c r="BY61" s="1012">
        <v>23892333</v>
      </c>
      <c r="BZ61" s="1012">
        <v>22588000</v>
      </c>
      <c r="CA61" s="1012">
        <v>22588000</v>
      </c>
      <c r="CB61" s="1012">
        <v>28672434</v>
      </c>
      <c r="CC61" s="1012">
        <f>17403960+32500768</f>
        <v>49904728</v>
      </c>
      <c r="CD61" s="1012">
        <v>34746000</v>
      </c>
      <c r="CE61" s="1012">
        <f>CA61+BY61+BW61+BU61+BS61+BQ61+BO61+BM61+BK61+BI61+BG61+CC61</f>
        <v>322224768</v>
      </c>
      <c r="CF61" s="1012">
        <f t="shared" si="169"/>
        <v>322224768</v>
      </c>
      <c r="CG61" s="1012">
        <f t="shared" si="170"/>
        <v>303081400</v>
      </c>
      <c r="CH61" s="1012">
        <f>CE61</f>
        <v>322224768</v>
      </c>
      <c r="CI61" s="1012">
        <f t="shared" si="171"/>
        <v>303081400</v>
      </c>
      <c r="CJ61" s="1012"/>
      <c r="CK61" s="1012"/>
      <c r="CL61" s="1012"/>
      <c r="CM61" s="1012">
        <v>0</v>
      </c>
      <c r="CN61" s="1012">
        <v>0</v>
      </c>
      <c r="CO61" s="1012">
        <v>11707467</v>
      </c>
      <c r="CP61" s="1012">
        <v>11707467</v>
      </c>
      <c r="CQ61" s="1012">
        <v>32819700</v>
      </c>
      <c r="CR61" s="1012">
        <v>31252667</v>
      </c>
      <c r="CS61" s="1012">
        <v>32819700</v>
      </c>
      <c r="CT61" s="1012">
        <v>33211000</v>
      </c>
      <c r="CU61" s="1012">
        <v>32819700</v>
      </c>
      <c r="CV61" s="1012">
        <v>33211000</v>
      </c>
      <c r="CW61" s="1012">
        <v>32819700</v>
      </c>
      <c r="CX61" s="1012">
        <v>33211000</v>
      </c>
      <c r="CY61" s="1012">
        <v>32819700</v>
      </c>
      <c r="CZ61" s="1012">
        <v>33211000</v>
      </c>
      <c r="DA61" s="1012">
        <v>32819700</v>
      </c>
      <c r="DB61" s="1012">
        <v>33211000</v>
      </c>
      <c r="DC61" s="1012">
        <v>32819700</v>
      </c>
      <c r="DD61" s="1012">
        <v>33211000</v>
      </c>
      <c r="DE61" s="1012">
        <v>32819700</v>
      </c>
      <c r="DF61" s="1012">
        <v>33211000</v>
      </c>
      <c r="DG61" s="1012">
        <f>95734933-13561599</f>
        <v>82173334</v>
      </c>
      <c r="DH61" s="1012">
        <v>58596000</v>
      </c>
      <c r="DI61" s="1012">
        <f>DE61+DC61+DA61+CY61+CW61+CU61+CS61+CQ61+CO61+CM61+CK61+DG61</f>
        <v>356438401</v>
      </c>
      <c r="DJ61" s="1012">
        <f>CK61+CM61+CO61+CQ61+CS61+CU61+CW61+CY61+DA61+DC61+DE61</f>
        <v>274265067</v>
      </c>
      <c r="DK61" s="1006">
        <f>CL61+CN61+CP61+CR61+CT61+CV61+CX61+CZ61+DB61+DD61+DF61+DH61</f>
        <v>334033134</v>
      </c>
      <c r="DL61" s="1083">
        <f t="shared" si="172"/>
        <v>356438401</v>
      </c>
      <c r="DM61" s="1083">
        <f t="shared" si="173"/>
        <v>334033134</v>
      </c>
      <c r="DN61" s="1083">
        <v>400008000</v>
      </c>
      <c r="DO61" s="1085"/>
      <c r="DP61" s="1085"/>
      <c r="DQ61" s="1085">
        <v>8245000</v>
      </c>
      <c r="DR61" s="1085"/>
      <c r="DS61" s="1085">
        <v>34769000</v>
      </c>
      <c r="DT61" s="1085">
        <v>8245000</v>
      </c>
      <c r="DU61" s="1085">
        <v>35612000</v>
      </c>
      <c r="DV61" s="1085"/>
      <c r="DW61" s="1085">
        <f>35612000+9088000</f>
        <v>44700000</v>
      </c>
      <c r="DX61" s="1085"/>
      <c r="DY61" s="1085">
        <f>+EM60-123326000</f>
        <v>276674000</v>
      </c>
      <c r="DZ61" s="1085"/>
      <c r="EA61" s="1085"/>
      <c r="EB61" s="1085"/>
      <c r="EC61" s="1085"/>
      <c r="ED61" s="1085"/>
      <c r="EE61" s="1085"/>
      <c r="EF61" s="1085"/>
      <c r="EG61" s="1085"/>
      <c r="EH61" s="1085"/>
      <c r="EI61" s="1085"/>
      <c r="EJ61" s="1085"/>
      <c r="EK61" s="1085"/>
      <c r="EL61" s="1085"/>
      <c r="EM61" s="643">
        <f>EI61+EG61+EE61+EC61+EA61+DY61+DW61+DU61+DS61+DQ61+DO61+EK61</f>
        <v>400000000</v>
      </c>
      <c r="EN61" s="643">
        <f t="shared" ref="EN61:EN64" si="175">DO61+DQ61+DS61</f>
        <v>43014000</v>
      </c>
      <c r="EO61" s="643">
        <f t="shared" si="174"/>
        <v>8245000</v>
      </c>
      <c r="EP61" s="644">
        <f>DQ61+DS61+DU61+DW61+DY61+EA61+EC61+EE61+EG61+EI61+EK61</f>
        <v>400000000</v>
      </c>
      <c r="EQ61" s="644">
        <f t="shared" si="51"/>
        <v>8245000</v>
      </c>
      <c r="ER61" s="1007">
        <f t="shared" si="26"/>
        <v>0.23713652966723231</v>
      </c>
      <c r="ES61" s="1007">
        <f t="shared" si="21"/>
        <v>0.19168177802575906</v>
      </c>
      <c r="ET61" s="1016">
        <f t="shared" si="22"/>
        <v>2.0612499999999999E-2</v>
      </c>
      <c r="EU61" s="1016">
        <f t="shared" si="23"/>
        <v>0.91856068457366824</v>
      </c>
      <c r="EV61" s="1016">
        <f>IFERROR((AA61+BE61+CI61+DM61+EQ61)/G61,0)</f>
        <v>0</v>
      </c>
      <c r="EW61" s="1073"/>
      <c r="EX61" s="1105"/>
      <c r="EY61" s="1105"/>
      <c r="EZ61" s="1018"/>
      <c r="FA61" s="1018"/>
      <c r="FB61" s="780"/>
      <c r="FC61" s="77"/>
      <c r="FD61" s="77"/>
    </row>
    <row r="62" spans="1:160" ht="30" customHeight="1" x14ac:dyDescent="0.25">
      <c r="A62" s="710"/>
      <c r="B62" s="710"/>
      <c r="C62" s="710"/>
      <c r="D62" s="710"/>
      <c r="E62" s="710"/>
      <c r="F62" s="79" t="s">
        <v>345</v>
      </c>
      <c r="G62" s="645">
        <f>AA62+BE62+CI62+DM62+EP62</f>
        <v>0</v>
      </c>
      <c r="H62" s="1106"/>
      <c r="I62" s="1025"/>
      <c r="J62" s="1025"/>
      <c r="K62" s="1025"/>
      <c r="L62" s="1025"/>
      <c r="M62" s="1025"/>
      <c r="N62" s="1025"/>
      <c r="O62" s="1025"/>
      <c r="P62" s="1025"/>
      <c r="Q62" s="1025"/>
      <c r="R62" s="1025"/>
      <c r="S62" s="1025"/>
      <c r="T62" s="1025"/>
      <c r="U62" s="1025"/>
      <c r="V62" s="1025"/>
      <c r="W62" s="1024">
        <f t="shared" si="162"/>
        <v>0</v>
      </c>
      <c r="X62" s="1024">
        <f t="shared" si="163"/>
        <v>0</v>
      </c>
      <c r="Y62" s="1024">
        <f t="shared" si="164"/>
        <v>0</v>
      </c>
      <c r="Z62" s="1024">
        <f t="shared" si="165"/>
        <v>0</v>
      </c>
      <c r="AA62" s="1024">
        <f t="shared" si="165"/>
        <v>0</v>
      </c>
      <c r="AB62" s="1025"/>
      <c r="AC62" s="1025"/>
      <c r="AD62" s="1025"/>
      <c r="AE62" s="1025"/>
      <c r="AF62" s="1025"/>
      <c r="AG62" s="1025"/>
      <c r="AH62" s="1025"/>
      <c r="AI62" s="1025"/>
      <c r="AJ62" s="1025"/>
      <c r="AK62" s="1022"/>
      <c r="AL62" s="1022"/>
      <c r="AM62" s="1022"/>
      <c r="AN62" s="1022"/>
      <c r="AO62" s="1022"/>
      <c r="AP62" s="1022"/>
      <c r="AQ62" s="1022"/>
      <c r="AR62" s="1022"/>
      <c r="AS62" s="1022"/>
      <c r="AT62" s="1022"/>
      <c r="AU62" s="1022"/>
      <c r="AV62" s="1022"/>
      <c r="AW62" s="1022"/>
      <c r="AX62" s="1022"/>
      <c r="AY62" s="1022"/>
      <c r="AZ62" s="1022"/>
      <c r="BA62" s="1020">
        <v>0</v>
      </c>
      <c r="BB62" s="1024">
        <f t="shared" si="166"/>
        <v>0</v>
      </c>
      <c r="BC62" s="1024">
        <f t="shared" si="167"/>
        <v>0</v>
      </c>
      <c r="BD62" s="1024">
        <f>AC62+AE62+AG62+AI62+AK62+AM62+AO62+AQ62+AS62+AU62+AW62+AY62</f>
        <v>0</v>
      </c>
      <c r="BE62" s="1024">
        <f t="shared" si="168"/>
        <v>0</v>
      </c>
      <c r="BF62" s="1022"/>
      <c r="BG62" s="1022"/>
      <c r="BH62" s="1022"/>
      <c r="BI62" s="1022"/>
      <c r="BJ62" s="1022"/>
      <c r="BK62" s="1022"/>
      <c r="BL62" s="1022"/>
      <c r="BM62" s="1022"/>
      <c r="BN62" s="1022"/>
      <c r="BO62" s="1022"/>
      <c r="BP62" s="1022"/>
      <c r="BQ62" s="1022"/>
      <c r="BR62" s="1022"/>
      <c r="BS62" s="1022"/>
      <c r="BT62" s="1022"/>
      <c r="BU62" s="1022"/>
      <c r="BV62" s="1022"/>
      <c r="BW62" s="1022"/>
      <c r="BX62" s="1022"/>
      <c r="BY62" s="1022"/>
      <c r="BZ62" s="1022"/>
      <c r="CA62" s="1022"/>
      <c r="CB62" s="1022"/>
      <c r="CC62" s="1022"/>
      <c r="CD62" s="1022"/>
      <c r="CE62" s="1020">
        <v>0</v>
      </c>
      <c r="CF62" s="1024">
        <f t="shared" si="169"/>
        <v>0</v>
      </c>
      <c r="CG62" s="1024">
        <f t="shared" si="170"/>
        <v>0</v>
      </c>
      <c r="CH62" s="1024">
        <f>BG62+BI62+BK62+BM62+BO62+BQ62+BS62+BU62+BW62+BY62+CA62+CC62</f>
        <v>0</v>
      </c>
      <c r="CI62" s="1006">
        <f t="shared" si="171"/>
        <v>0</v>
      </c>
      <c r="CJ62" s="1022"/>
      <c r="CK62" s="1022"/>
      <c r="CL62" s="1022"/>
      <c r="CM62" s="1022"/>
      <c r="CN62" s="1022"/>
      <c r="CO62" s="1022"/>
      <c r="CP62" s="1022"/>
      <c r="CQ62" s="1022"/>
      <c r="CR62" s="1022"/>
      <c r="CS62" s="1022"/>
      <c r="CT62" s="1022"/>
      <c r="CU62" s="1022"/>
      <c r="CV62" s="1022"/>
      <c r="CW62" s="1022"/>
      <c r="CX62" s="1022"/>
      <c r="CY62" s="1022"/>
      <c r="CZ62" s="1022"/>
      <c r="DA62" s="1022"/>
      <c r="DB62" s="1022"/>
      <c r="DC62" s="1022"/>
      <c r="DD62" s="1022"/>
      <c r="DE62" s="1022"/>
      <c r="DF62" s="1022"/>
      <c r="DG62" s="1022"/>
      <c r="DH62" s="1022"/>
      <c r="DI62" s="1020">
        <f>DE62+DC62+DA62+CY62+CW62+CU62+CS62+CQ62+CO62+CM62+CK62+DG62</f>
        <v>0</v>
      </c>
      <c r="DJ62" s="1006">
        <f>CK62+CM62+CO62+CQ62+CS62+CU62+CW62+CY62+DA62+DC62+DE62</f>
        <v>0</v>
      </c>
      <c r="DK62" s="1006">
        <f>CL62+CN62+CP62+CR62+CT62+CV62+CX62+CZ62+DB62+DD62+DF62+DH62</f>
        <v>0</v>
      </c>
      <c r="DL62" s="1107">
        <f t="shared" si="172"/>
        <v>0</v>
      </c>
      <c r="DM62" s="1107">
        <f t="shared" si="173"/>
        <v>0</v>
      </c>
      <c r="DN62" s="1108"/>
      <c r="DO62" s="1108"/>
      <c r="DP62" s="1108"/>
      <c r="DQ62" s="1108"/>
      <c r="DR62" s="1108"/>
      <c r="DS62" s="1108"/>
      <c r="DT62" s="1108"/>
      <c r="DU62" s="1108"/>
      <c r="DV62" s="1108"/>
      <c r="DW62" s="1108"/>
      <c r="DX62" s="1108"/>
      <c r="DY62" s="1108"/>
      <c r="DZ62" s="1108"/>
      <c r="EA62" s="1108"/>
      <c r="EB62" s="1108"/>
      <c r="EC62" s="1108"/>
      <c r="ED62" s="1108"/>
      <c r="EE62" s="1108"/>
      <c r="EF62" s="1108"/>
      <c r="EG62" s="1108"/>
      <c r="EH62" s="1108"/>
      <c r="EI62" s="1108"/>
      <c r="EJ62" s="1108"/>
      <c r="EK62" s="1108"/>
      <c r="EL62" s="1108"/>
      <c r="EM62" s="1088">
        <f>EI62+EG62+EE62+EC62+EA62+DY62+DW62+DU62+DS62+DQ62+DO62+EK62</f>
        <v>0</v>
      </c>
      <c r="EN62" s="1020">
        <f t="shared" si="175"/>
        <v>0</v>
      </c>
      <c r="EO62" s="1109">
        <f t="shared" si="174"/>
        <v>0</v>
      </c>
      <c r="EP62" s="1110">
        <f>DQ62+DS62+DU62+DW62+DY62+EA62+EC62+EE62+EG62+EI62+EK62</f>
        <v>0</v>
      </c>
      <c r="EQ62" s="1088">
        <f t="shared" si="51"/>
        <v>0</v>
      </c>
      <c r="ER62" s="1007">
        <f t="shared" si="26"/>
        <v>0</v>
      </c>
      <c r="ES62" s="1007">
        <f>IFERROR(EO62/EN62,0)</f>
        <v>0</v>
      </c>
      <c r="ET62" s="1016">
        <f>IFERROR(EQ62/EP62,0)</f>
        <v>0</v>
      </c>
      <c r="EU62" s="1016">
        <f>IFERROR((AA62+BE62+CI62+DM62+EO62)/(Z62+BD62+CH62+DL62+EN62),0)</f>
        <v>0</v>
      </c>
      <c r="EV62" s="1016">
        <f>IFERROR((AA62+BE62+CI62+DM62+EQ62)/G62,0)</f>
        <v>0</v>
      </c>
      <c r="EW62" s="1073"/>
      <c r="EX62" s="1105"/>
      <c r="EY62" s="1105"/>
      <c r="EZ62" s="1018"/>
      <c r="FA62" s="1018"/>
      <c r="FB62" s="780"/>
      <c r="FC62" s="83"/>
      <c r="FD62" s="83"/>
    </row>
    <row r="63" spans="1:160" ht="30" customHeight="1" x14ac:dyDescent="0.25">
      <c r="A63" s="710"/>
      <c r="B63" s="710"/>
      <c r="C63" s="710"/>
      <c r="D63" s="710"/>
      <c r="E63" s="710"/>
      <c r="F63" s="80" t="s">
        <v>346</v>
      </c>
      <c r="G63" s="641">
        <f>AA63+BE63+CI63+DM63+EP63</f>
        <v>115540900</v>
      </c>
      <c r="H63" s="1012"/>
      <c r="I63" s="1012"/>
      <c r="J63" s="1012"/>
      <c r="K63" s="1012"/>
      <c r="L63" s="1012"/>
      <c r="M63" s="1012"/>
      <c r="N63" s="1012"/>
      <c r="O63" s="1012"/>
      <c r="P63" s="1012"/>
      <c r="Q63" s="1012"/>
      <c r="R63" s="1012"/>
      <c r="S63" s="1012"/>
      <c r="T63" s="1012"/>
      <c r="U63" s="1012"/>
      <c r="V63" s="1012"/>
      <c r="W63" s="1012">
        <f t="shared" si="162"/>
        <v>0</v>
      </c>
      <c r="X63" s="1012">
        <f t="shared" si="163"/>
        <v>0</v>
      </c>
      <c r="Y63" s="1012">
        <f t="shared" si="164"/>
        <v>0</v>
      </c>
      <c r="Z63" s="1012">
        <f t="shared" si="165"/>
        <v>0</v>
      </c>
      <c r="AA63" s="1012">
        <f t="shared" si="165"/>
        <v>0</v>
      </c>
      <c r="AB63" s="1012">
        <v>46923400</v>
      </c>
      <c r="AC63" s="1012">
        <v>5648300</v>
      </c>
      <c r="AD63" s="1012">
        <v>5648300</v>
      </c>
      <c r="AE63" s="1012">
        <f>33089933-AD63</f>
        <v>27441633</v>
      </c>
      <c r="AF63" s="1012">
        <v>27441633</v>
      </c>
      <c r="AG63" s="1012">
        <f>42024000-AD63-AF63</f>
        <v>8934067</v>
      </c>
      <c r="AH63" s="1012">
        <v>8934067</v>
      </c>
      <c r="AI63" s="1012">
        <f>44906000-AD63-AF63-AH63</f>
        <v>2882000</v>
      </c>
      <c r="AJ63" s="1012">
        <v>2882000</v>
      </c>
      <c r="AK63" s="1012">
        <f>46923400-AD63-AF63-AH63-AJ63</f>
        <v>2017400</v>
      </c>
      <c r="AL63" s="1012">
        <v>2017400</v>
      </c>
      <c r="AM63" s="1012">
        <v>0</v>
      </c>
      <c r="AN63" s="1012">
        <v>0</v>
      </c>
      <c r="AO63" s="1012">
        <v>0</v>
      </c>
      <c r="AP63" s="1012">
        <v>0</v>
      </c>
      <c r="AQ63" s="1012"/>
      <c r="AR63" s="1012"/>
      <c r="AS63" s="1012"/>
      <c r="AT63" s="1012">
        <v>0</v>
      </c>
      <c r="AU63" s="1012"/>
      <c r="AV63" s="1012">
        <v>0</v>
      </c>
      <c r="AW63" s="1012"/>
      <c r="AX63" s="1012"/>
      <c r="AY63" s="1012"/>
      <c r="AZ63" s="1012"/>
      <c r="BA63" s="1012">
        <f>AW63+AU63+AS63+AQ63+AO63+AM63+AK63+AI63+AG63+AE63+AC63+AY63</f>
        <v>46923400</v>
      </c>
      <c r="BB63" s="1012">
        <f t="shared" si="166"/>
        <v>46923400</v>
      </c>
      <c r="BC63" s="1012">
        <f t="shared" si="167"/>
        <v>46923400</v>
      </c>
      <c r="BD63" s="1012">
        <f>BA63</f>
        <v>46923400</v>
      </c>
      <c r="BE63" s="1012">
        <f t="shared" si="168"/>
        <v>46923400</v>
      </c>
      <c r="BF63" s="1012">
        <v>35133532</v>
      </c>
      <c r="BG63" s="1012">
        <v>17611533</v>
      </c>
      <c r="BH63" s="1012">
        <v>17611533</v>
      </c>
      <c r="BI63" s="1012">
        <v>9465600</v>
      </c>
      <c r="BJ63" s="1012">
        <v>0</v>
      </c>
      <c r="BK63" s="1012">
        <v>0</v>
      </c>
      <c r="BL63" s="1012">
        <v>9466400</v>
      </c>
      <c r="BM63" s="1012">
        <f>8056399-8055599</f>
        <v>800</v>
      </c>
      <c r="BN63" s="1012">
        <v>0</v>
      </c>
      <c r="BO63" s="1012">
        <v>0</v>
      </c>
      <c r="BP63" s="1012"/>
      <c r="BQ63" s="1012">
        <v>0</v>
      </c>
      <c r="BR63" s="1012">
        <v>0</v>
      </c>
      <c r="BS63" s="1012">
        <v>0</v>
      </c>
      <c r="BT63" s="1012">
        <v>0</v>
      </c>
      <c r="BU63" s="1012">
        <v>0</v>
      </c>
      <c r="BV63" s="1012">
        <v>0</v>
      </c>
      <c r="BW63" s="1012">
        <v>0</v>
      </c>
      <c r="BX63" s="1012"/>
      <c r="BY63" s="1012">
        <v>0</v>
      </c>
      <c r="BZ63" s="1012">
        <v>0</v>
      </c>
      <c r="CA63" s="1012">
        <v>0</v>
      </c>
      <c r="CB63" s="1012">
        <v>0</v>
      </c>
      <c r="CC63" s="1012">
        <v>0</v>
      </c>
      <c r="CD63" s="1012"/>
      <c r="CE63" s="1012">
        <f>CA63+BY63+BW63+BU63+BS63+BQ63+BO63+BM63+BK63+BI63+BG63+CC63</f>
        <v>27077933</v>
      </c>
      <c r="CF63" s="1012">
        <f t="shared" si="169"/>
        <v>27077933</v>
      </c>
      <c r="CG63" s="1012">
        <f t="shared" si="170"/>
        <v>27077933</v>
      </c>
      <c r="CH63" s="1012">
        <f>CE63</f>
        <v>27077933</v>
      </c>
      <c r="CI63" s="1012">
        <f t="shared" si="171"/>
        <v>27077933</v>
      </c>
      <c r="CJ63" s="1012">
        <v>19134300</v>
      </c>
      <c r="CK63" s="1012">
        <v>15561467</v>
      </c>
      <c r="CL63" s="1012">
        <v>15561467</v>
      </c>
      <c r="CM63" s="1012">
        <v>3572833</v>
      </c>
      <c r="CN63" s="1012">
        <v>3572833</v>
      </c>
      <c r="CO63" s="1012">
        <v>0</v>
      </c>
      <c r="CP63" s="1012">
        <v>0</v>
      </c>
      <c r="CQ63" s="1012"/>
      <c r="CR63" s="1012">
        <v>0</v>
      </c>
      <c r="CS63" s="1012"/>
      <c r="CT63" s="1012">
        <v>0</v>
      </c>
      <c r="CU63" s="1012"/>
      <c r="CV63" s="1012"/>
      <c r="CW63" s="1012"/>
      <c r="CX63" s="1012"/>
      <c r="CY63" s="1012"/>
      <c r="CZ63" s="1012"/>
      <c r="DA63" s="1012"/>
      <c r="DB63" s="1012"/>
      <c r="DC63" s="1012"/>
      <c r="DD63" s="1012"/>
      <c r="DE63" s="1012"/>
      <c r="DF63" s="1012"/>
      <c r="DG63" s="1012"/>
      <c r="DH63" s="1012"/>
      <c r="DI63" s="1012">
        <f>DE63+DC63+DA63+CY63+CW63+CU63+CS63+CQ63+CO63+CM63+CK63+DG63</f>
        <v>19134300</v>
      </c>
      <c r="DJ63" s="1012">
        <f>CK63+CM63+CO63+CQ63+CS63+CU63+CW63+CY63+DA63+DC63+DE63</f>
        <v>19134300</v>
      </c>
      <c r="DK63" s="1006">
        <f>CL63+CN63+CP63+CR63+CT63+CV63+CX63+CZ63+DB63+DD63+DF63+DH63</f>
        <v>19134300</v>
      </c>
      <c r="DL63" s="1083">
        <f t="shared" si="172"/>
        <v>19134300</v>
      </c>
      <c r="DM63" s="1083">
        <f t="shared" si="173"/>
        <v>19134300</v>
      </c>
      <c r="DN63" s="1083">
        <v>22405267</v>
      </c>
      <c r="DO63" s="1085">
        <v>7826000</v>
      </c>
      <c r="DP63" s="1085">
        <v>7826000</v>
      </c>
      <c r="DQ63" s="1084">
        <v>14579267</v>
      </c>
      <c r="DR63" s="1085">
        <v>13697467</v>
      </c>
      <c r="DS63" s="1085"/>
      <c r="DT63" s="1085">
        <v>881800</v>
      </c>
      <c r="DU63" s="1085"/>
      <c r="DV63" s="1085"/>
      <c r="DW63" s="1085"/>
      <c r="DX63" s="1085"/>
      <c r="DY63" s="1085"/>
      <c r="DZ63" s="1085"/>
      <c r="EA63" s="1085"/>
      <c r="EB63" s="1085"/>
      <c r="EC63" s="1085"/>
      <c r="ED63" s="1085"/>
      <c r="EE63" s="1085"/>
      <c r="EF63" s="1085"/>
      <c r="EG63" s="1085"/>
      <c r="EH63" s="1085"/>
      <c r="EI63" s="1085"/>
      <c r="EJ63" s="1085"/>
      <c r="EK63" s="1085"/>
      <c r="EL63" s="1085"/>
      <c r="EM63" s="643">
        <f>EI63+EG63+EE63+EC63+EA63+DY63+DW63+DU63+DS63+DQ63+DO63+EK63</f>
        <v>22405267</v>
      </c>
      <c r="EN63" s="643">
        <f t="shared" si="175"/>
        <v>22405267</v>
      </c>
      <c r="EO63" s="643">
        <f t="shared" si="174"/>
        <v>22405267</v>
      </c>
      <c r="EP63" s="644">
        <f>DQ63+DS63+DU63+DW63+DY63+EA63+EC63+EE63+EG63+EI63+EK63+DO63</f>
        <v>22405267</v>
      </c>
      <c r="EQ63" s="644">
        <f t="shared" si="51"/>
        <v>22405267</v>
      </c>
      <c r="ER63" s="1007">
        <f t="shared" si="26"/>
        <v>0</v>
      </c>
      <c r="ES63" s="1007">
        <f t="shared" si="21"/>
        <v>1</v>
      </c>
      <c r="ET63" s="1016">
        <f t="shared" si="22"/>
        <v>1</v>
      </c>
      <c r="EU63" s="1016">
        <f t="shared" si="23"/>
        <v>1</v>
      </c>
      <c r="EV63" s="1016">
        <f t="shared" si="24"/>
        <v>1</v>
      </c>
      <c r="EW63" s="1073"/>
      <c r="EX63" s="1105"/>
      <c r="EY63" s="1105"/>
      <c r="EZ63" s="1018"/>
      <c r="FA63" s="1018"/>
      <c r="FB63" s="780"/>
      <c r="FC63" s="89"/>
      <c r="FD63" s="89"/>
    </row>
    <row r="64" spans="1:160" ht="30" customHeight="1" thickBot="1" x14ac:dyDescent="0.3">
      <c r="A64" s="710"/>
      <c r="B64" s="710"/>
      <c r="C64" s="710"/>
      <c r="D64" s="710"/>
      <c r="E64" s="710"/>
      <c r="F64" s="79" t="s">
        <v>347</v>
      </c>
      <c r="G64" s="1033">
        <f>G59+G62</f>
        <v>9.0000000000000018</v>
      </c>
      <c r="H64" s="1062">
        <v>0.5</v>
      </c>
      <c r="I64" s="1063"/>
      <c r="J64" s="1063"/>
      <c r="K64" s="1111">
        <v>0.5</v>
      </c>
      <c r="L64" s="1111">
        <v>0</v>
      </c>
      <c r="M64" s="1111">
        <v>0.5</v>
      </c>
      <c r="N64" s="1111">
        <v>0</v>
      </c>
      <c r="O64" s="1111">
        <v>0.5</v>
      </c>
      <c r="P64" s="1111">
        <v>0</v>
      </c>
      <c r="Q64" s="1111">
        <v>0.5</v>
      </c>
      <c r="R64" s="1111">
        <v>0.17</v>
      </c>
      <c r="S64" s="1111">
        <v>0.5</v>
      </c>
      <c r="T64" s="1112">
        <v>0.34</v>
      </c>
      <c r="U64" s="1112">
        <v>0.5</v>
      </c>
      <c r="V64" s="1112">
        <v>0.5</v>
      </c>
      <c r="W64" s="1038">
        <f t="shared" si="162"/>
        <v>0.5</v>
      </c>
      <c r="X64" s="1038">
        <f t="shared" si="163"/>
        <v>0.5</v>
      </c>
      <c r="Y64" s="1038">
        <f t="shared" si="164"/>
        <v>0.5</v>
      </c>
      <c r="Z64" s="1038">
        <f t="shared" si="165"/>
        <v>0.5</v>
      </c>
      <c r="AA64" s="1038">
        <f t="shared" si="165"/>
        <v>0.5</v>
      </c>
      <c r="AB64" s="1039">
        <v>1.4</v>
      </c>
      <c r="AC64" s="1042">
        <v>7.0000000000000007E-2</v>
      </c>
      <c r="AD64" s="1042">
        <v>7.0000000000000007E-2</v>
      </c>
      <c r="AE64" s="1042">
        <v>0.126</v>
      </c>
      <c r="AF64" s="1042">
        <v>0.126</v>
      </c>
      <c r="AG64" s="1042">
        <v>0.126</v>
      </c>
      <c r="AH64" s="1042">
        <v>0.126</v>
      </c>
      <c r="AI64" s="1042">
        <v>0.126</v>
      </c>
      <c r="AJ64" s="1042">
        <v>0.126</v>
      </c>
      <c r="AK64" s="1036">
        <v>0.126</v>
      </c>
      <c r="AL64" s="1036">
        <v>0.126</v>
      </c>
      <c r="AM64" s="1036">
        <v>0.126</v>
      </c>
      <c r="AN64" s="1036">
        <v>0.126</v>
      </c>
      <c r="AO64" s="1036">
        <v>0.126</v>
      </c>
      <c r="AP64" s="1036">
        <v>0.126</v>
      </c>
      <c r="AQ64" s="1036">
        <v>0.126</v>
      </c>
      <c r="AR64" s="1036">
        <v>0.126</v>
      </c>
      <c r="AS64" s="1036">
        <v>0.126</v>
      </c>
      <c r="AT64" s="1036">
        <v>0.126</v>
      </c>
      <c r="AU64" s="1036">
        <v>0.126</v>
      </c>
      <c r="AV64" s="1036">
        <v>0.126</v>
      </c>
      <c r="AW64" s="1036">
        <v>0.126</v>
      </c>
      <c r="AX64" s="1036">
        <v>0.126</v>
      </c>
      <c r="AY64" s="1036">
        <v>7.0000000000000007E-2</v>
      </c>
      <c r="AZ64" s="1040">
        <v>7.0000000000000007E-2</v>
      </c>
      <c r="BA64" s="1039">
        <f>BA59+BA62</f>
        <v>1.4000000000000004</v>
      </c>
      <c r="BB64" s="1038">
        <f t="shared" si="166"/>
        <v>1.4000000000000001</v>
      </c>
      <c r="BC64" s="1038">
        <f t="shared" si="167"/>
        <v>1.4000000000000001</v>
      </c>
      <c r="BD64" s="1038">
        <f>BD59+BD62</f>
        <v>1.4000000000000004</v>
      </c>
      <c r="BE64" s="1038">
        <f t="shared" si="168"/>
        <v>1.4000000000000001</v>
      </c>
      <c r="BF64" s="1040">
        <v>2.5</v>
      </c>
      <c r="BG64" s="1040">
        <f t="shared" ref="BG64:CD64" si="176">+BG59</f>
        <v>0.06</v>
      </c>
      <c r="BH64" s="1040">
        <f t="shared" si="176"/>
        <v>0.06</v>
      </c>
      <c r="BI64" s="1040">
        <f t="shared" si="176"/>
        <v>0.2</v>
      </c>
      <c r="BJ64" s="1040">
        <f t="shared" si="176"/>
        <v>0.2</v>
      </c>
      <c r="BK64" s="1040">
        <f t="shared" si="176"/>
        <v>0.23</v>
      </c>
      <c r="BL64" s="1040">
        <f t="shared" si="176"/>
        <v>0.23</v>
      </c>
      <c r="BM64" s="1040">
        <f t="shared" si="176"/>
        <v>0.23</v>
      </c>
      <c r="BN64" s="1040">
        <f t="shared" si="176"/>
        <v>0.23</v>
      </c>
      <c r="BO64" s="1040">
        <f t="shared" si="176"/>
        <v>0.23</v>
      </c>
      <c r="BP64" s="1040">
        <f t="shared" si="176"/>
        <v>0.23</v>
      </c>
      <c r="BQ64" s="1040">
        <f t="shared" si="176"/>
        <v>0.23</v>
      </c>
      <c r="BR64" s="1040">
        <f t="shared" si="176"/>
        <v>0.23</v>
      </c>
      <c r="BS64" s="1040">
        <f t="shared" si="176"/>
        <v>0.23</v>
      </c>
      <c r="BT64" s="1040">
        <f t="shared" si="176"/>
        <v>0.23</v>
      </c>
      <c r="BU64" s="1040">
        <f t="shared" si="176"/>
        <v>0.25</v>
      </c>
      <c r="BV64" s="1040">
        <f t="shared" si="176"/>
        <v>0.25</v>
      </c>
      <c r="BW64" s="1040">
        <f t="shared" si="176"/>
        <v>0.25</v>
      </c>
      <c r="BX64" s="1040">
        <f t="shared" si="176"/>
        <v>0.25</v>
      </c>
      <c r="BY64" s="1040">
        <f t="shared" si="176"/>
        <v>0.25</v>
      </c>
      <c r="BZ64" s="1040">
        <f t="shared" si="176"/>
        <v>0.25</v>
      </c>
      <c r="CA64" s="1040">
        <f t="shared" si="176"/>
        <v>0.21</v>
      </c>
      <c r="CB64" s="1040">
        <f t="shared" si="176"/>
        <v>0.21</v>
      </c>
      <c r="CC64" s="1040">
        <f t="shared" si="176"/>
        <v>0.13</v>
      </c>
      <c r="CD64" s="1040">
        <f t="shared" si="176"/>
        <v>0.13</v>
      </c>
      <c r="CE64" s="1039">
        <f>CE59+CE62</f>
        <v>2.5</v>
      </c>
      <c r="CF64" s="1038">
        <f t="shared" si="169"/>
        <v>2.5</v>
      </c>
      <c r="CG64" s="1038">
        <f t="shared" si="170"/>
        <v>2.5</v>
      </c>
      <c r="CH64" s="1038">
        <f>CH59+CH62</f>
        <v>2.5</v>
      </c>
      <c r="CI64" s="1039">
        <f t="shared" si="171"/>
        <v>2.5</v>
      </c>
      <c r="CJ64" s="1065">
        <v>3.3</v>
      </c>
      <c r="CK64" s="1042">
        <f t="shared" ref="CK64:DH64" si="177">+CK59</f>
        <v>0.16500000000000001</v>
      </c>
      <c r="CL64" s="1042">
        <f t="shared" si="177"/>
        <v>0.16500000000000001</v>
      </c>
      <c r="CM64" s="1042">
        <f t="shared" si="177"/>
        <v>0.29699999999999999</v>
      </c>
      <c r="CN64" s="1042">
        <f t="shared" si="177"/>
        <v>0.29699999999999999</v>
      </c>
      <c r="CO64" s="1042">
        <f t="shared" si="177"/>
        <v>0.29699999999999999</v>
      </c>
      <c r="CP64" s="1042">
        <f t="shared" si="177"/>
        <v>0.29699999999999999</v>
      </c>
      <c r="CQ64" s="1042">
        <f t="shared" si="177"/>
        <v>0.29699999999999999</v>
      </c>
      <c r="CR64" s="1042">
        <f t="shared" si="177"/>
        <v>0.29699999999999999</v>
      </c>
      <c r="CS64" s="1042">
        <f t="shared" si="177"/>
        <v>0.29699999999999999</v>
      </c>
      <c r="CT64" s="1042">
        <f t="shared" si="177"/>
        <v>0.29699999999999999</v>
      </c>
      <c r="CU64" s="1042">
        <f t="shared" si="177"/>
        <v>0.29699999999999999</v>
      </c>
      <c r="CV64" s="1042">
        <f t="shared" si="177"/>
        <v>0.29699999999999999</v>
      </c>
      <c r="CW64" s="1042">
        <f t="shared" si="177"/>
        <v>0.29699999999999999</v>
      </c>
      <c r="CX64" s="1042">
        <f t="shared" si="177"/>
        <v>0.29699999999999999</v>
      </c>
      <c r="CY64" s="1042">
        <f t="shared" si="177"/>
        <v>0.29699999999999999</v>
      </c>
      <c r="CZ64" s="1042">
        <f t="shared" si="177"/>
        <v>0.29699999999999999</v>
      </c>
      <c r="DA64" s="1042">
        <f t="shared" si="177"/>
        <v>0.29699999999999999</v>
      </c>
      <c r="DB64" s="1042">
        <f t="shared" si="177"/>
        <v>0.29699999999999999</v>
      </c>
      <c r="DC64" s="1039">
        <f t="shared" si="177"/>
        <v>0.29699999999999999</v>
      </c>
      <c r="DD64" s="1039">
        <f t="shared" si="177"/>
        <v>0.29699999999999999</v>
      </c>
      <c r="DE64" s="1039">
        <f t="shared" si="177"/>
        <v>0.29699999999999999</v>
      </c>
      <c r="DF64" s="1039">
        <f t="shared" si="177"/>
        <v>0.29699999999999999</v>
      </c>
      <c r="DG64" s="1042">
        <f t="shared" si="177"/>
        <v>0.16500000000000001</v>
      </c>
      <c r="DH64" s="1042">
        <f t="shared" si="177"/>
        <v>0.16500000000000001</v>
      </c>
      <c r="DI64" s="1039">
        <f>DE64+DC64+DA64+CY64+CW64+CU64+CS64+CQ64+CO64+CM64+CK64+DG64</f>
        <v>3.3000000000000003</v>
      </c>
      <c r="DJ64" s="1039">
        <f>CK64+CM64+CO64+CQ64+CS64+CU64+CW64+CY64+DA64+DC64+DE64</f>
        <v>3.1350000000000002</v>
      </c>
      <c r="DK64" s="1039">
        <f>CL64+CN64+CP64+CR64+CT64+CV64+CX64+CZ64+DB64+DD64+DF64+DH64</f>
        <v>3.3000000000000003</v>
      </c>
      <c r="DL64" s="1038">
        <f t="shared" si="172"/>
        <v>3.3000000000000003</v>
      </c>
      <c r="DM64" s="1039">
        <f t="shared" si="173"/>
        <v>3.3000000000000003</v>
      </c>
      <c r="DN64" s="1040">
        <f>+DN59+DN62</f>
        <v>1.3</v>
      </c>
      <c r="DO64" s="1040">
        <f t="shared" ref="DO64:DZ64" si="178">+DO59+DO62</f>
        <v>0.06</v>
      </c>
      <c r="DP64" s="1040">
        <f t="shared" si="178"/>
        <v>0.06</v>
      </c>
      <c r="DQ64" s="1040">
        <f t="shared" si="178"/>
        <v>0.06</v>
      </c>
      <c r="DR64" s="1040">
        <f t="shared" si="178"/>
        <v>0.06</v>
      </c>
      <c r="DS64" s="1040">
        <f t="shared" si="178"/>
        <v>0.39</v>
      </c>
      <c r="DT64" s="1040">
        <f t="shared" si="178"/>
        <v>0.39</v>
      </c>
      <c r="DU64" s="1040">
        <f t="shared" si="178"/>
        <v>0.33</v>
      </c>
      <c r="DV64" s="1040">
        <f t="shared" si="178"/>
        <v>0</v>
      </c>
      <c r="DW64" s="1040">
        <f t="shared" si="178"/>
        <v>0.33</v>
      </c>
      <c r="DX64" s="1040">
        <f t="shared" si="178"/>
        <v>0</v>
      </c>
      <c r="DY64" s="1040">
        <f t="shared" si="178"/>
        <v>0.13</v>
      </c>
      <c r="DZ64" s="1040">
        <f t="shared" si="178"/>
        <v>0</v>
      </c>
      <c r="EA64" s="1040"/>
      <c r="EB64" s="1040"/>
      <c r="EC64" s="1040"/>
      <c r="ED64" s="1040"/>
      <c r="EE64" s="1040"/>
      <c r="EF64" s="1040"/>
      <c r="EG64" s="1040"/>
      <c r="EH64" s="1040"/>
      <c r="EI64" s="1040"/>
      <c r="EJ64" s="1040"/>
      <c r="EK64" s="1040"/>
      <c r="EL64" s="1040"/>
      <c r="EM64" s="1039">
        <f>EI64+EG64+EE64+EC64+EA64+DY64+DW64+DU64+DS64+DQ64+DO64+EK64</f>
        <v>1.3000000000000003</v>
      </c>
      <c r="EN64" s="1039">
        <f t="shared" si="175"/>
        <v>0.51</v>
      </c>
      <c r="EO64" s="1044">
        <f t="shared" si="174"/>
        <v>0.51</v>
      </c>
      <c r="EP64" s="1112">
        <f>DQ64+DS64+DU64+DW64+DY64+EA64+EC64+EE64+EG64+EI64+EK64+DO64</f>
        <v>1.3000000000000003</v>
      </c>
      <c r="EQ64" s="1039">
        <f t="shared" si="51"/>
        <v>0.51</v>
      </c>
      <c r="ER64" s="1045">
        <f t="shared" si="26"/>
        <v>1</v>
      </c>
      <c r="ES64" s="1045">
        <f t="shared" si="21"/>
        <v>1</v>
      </c>
      <c r="ET64" s="1046">
        <f t="shared" si="22"/>
        <v>0.39230769230769225</v>
      </c>
      <c r="EU64" s="1046">
        <f t="shared" si="23"/>
        <v>1</v>
      </c>
      <c r="EV64" s="1046">
        <f t="shared" si="24"/>
        <v>0.91222222222222216</v>
      </c>
      <c r="EW64" s="1073"/>
      <c r="EX64" s="1105"/>
      <c r="EY64" s="1105"/>
      <c r="EZ64" s="1018"/>
      <c r="FA64" s="1018"/>
      <c r="FB64" s="780"/>
      <c r="FC64" s="83"/>
      <c r="FD64" s="83"/>
    </row>
    <row r="65" spans="1:160" ht="36" customHeight="1" thickBot="1" x14ac:dyDescent="0.3">
      <c r="A65" s="731"/>
      <c r="B65" s="731"/>
      <c r="C65" s="731"/>
      <c r="D65" s="731"/>
      <c r="E65" s="731"/>
      <c r="F65" s="81" t="s">
        <v>348</v>
      </c>
      <c r="G65" s="646">
        <f>G60+G63</f>
        <v>1621957501</v>
      </c>
      <c r="H65" s="647">
        <f t="shared" ref="H65:DK65" si="179">H60+H63</f>
        <v>159600000</v>
      </c>
      <c r="I65" s="647">
        <f t="shared" si="179"/>
        <v>0</v>
      </c>
      <c r="J65" s="647">
        <f t="shared" si="179"/>
        <v>0</v>
      </c>
      <c r="K65" s="647">
        <f t="shared" si="179"/>
        <v>159600000</v>
      </c>
      <c r="L65" s="647">
        <f t="shared" si="179"/>
        <v>0</v>
      </c>
      <c r="M65" s="647">
        <f t="shared" si="179"/>
        <v>152972000</v>
      </c>
      <c r="N65" s="647">
        <f t="shared" si="179"/>
        <v>101484000</v>
      </c>
      <c r="O65" s="647">
        <f t="shared" si="179"/>
        <v>152972000</v>
      </c>
      <c r="P65" s="647">
        <f t="shared" si="179"/>
        <v>116067000</v>
      </c>
      <c r="Q65" s="647">
        <f t="shared" si="179"/>
        <v>136314000</v>
      </c>
      <c r="R65" s="647">
        <f t="shared" si="179"/>
        <v>116067000</v>
      </c>
      <c r="S65" s="647">
        <f t="shared" si="179"/>
        <v>156172000</v>
      </c>
      <c r="T65" s="647">
        <f t="shared" si="179"/>
        <v>116067000</v>
      </c>
      <c r="U65" s="647">
        <f t="shared" si="179"/>
        <v>156172000</v>
      </c>
      <c r="V65" s="647">
        <f t="shared" si="179"/>
        <v>151311000</v>
      </c>
      <c r="W65" s="647">
        <f t="shared" si="179"/>
        <v>159600000</v>
      </c>
      <c r="X65" s="647">
        <f t="shared" si="179"/>
        <v>159600000</v>
      </c>
      <c r="Y65" s="647">
        <f t="shared" si="179"/>
        <v>151311000</v>
      </c>
      <c r="Z65" s="647">
        <f t="shared" si="179"/>
        <v>156172000</v>
      </c>
      <c r="AA65" s="647">
        <f t="shared" si="179"/>
        <v>151311000</v>
      </c>
      <c r="AB65" s="647">
        <f t="shared" si="179"/>
        <v>297273400</v>
      </c>
      <c r="AC65" s="647">
        <f t="shared" si="179"/>
        <v>5648300</v>
      </c>
      <c r="AD65" s="647">
        <f t="shared" si="179"/>
        <v>5648300</v>
      </c>
      <c r="AE65" s="647">
        <f t="shared" si="179"/>
        <v>127431633</v>
      </c>
      <c r="AF65" s="647">
        <f t="shared" si="179"/>
        <v>127431633</v>
      </c>
      <c r="AG65" s="647">
        <f t="shared" si="179"/>
        <v>116205067</v>
      </c>
      <c r="AH65" s="647">
        <f t="shared" si="179"/>
        <v>116205067</v>
      </c>
      <c r="AI65" s="647">
        <f t="shared" si="179"/>
        <v>17637000</v>
      </c>
      <c r="AJ65" s="647">
        <f t="shared" si="179"/>
        <v>17637000</v>
      </c>
      <c r="AK65" s="647">
        <f t="shared" si="179"/>
        <v>2017400</v>
      </c>
      <c r="AL65" s="647">
        <f t="shared" si="179"/>
        <v>2017400</v>
      </c>
      <c r="AM65" s="647">
        <f t="shared" si="179"/>
        <v>43620000</v>
      </c>
      <c r="AN65" s="647">
        <f t="shared" si="179"/>
        <v>0</v>
      </c>
      <c r="AO65" s="647">
        <f t="shared" si="179"/>
        <v>0</v>
      </c>
      <c r="AP65" s="647">
        <f t="shared" si="179"/>
        <v>0</v>
      </c>
      <c r="AQ65" s="647">
        <f t="shared" si="179"/>
        <v>12073000</v>
      </c>
      <c r="AR65" s="647">
        <f t="shared" si="179"/>
        <v>34896000</v>
      </c>
      <c r="AS65" s="647">
        <f t="shared" si="179"/>
        <v>0</v>
      </c>
      <c r="AT65" s="647">
        <f t="shared" si="179"/>
        <v>10815500</v>
      </c>
      <c r="AU65" s="647">
        <f t="shared" si="179"/>
        <v>0</v>
      </c>
      <c r="AV65" s="647">
        <f t="shared" si="179"/>
        <v>0</v>
      </c>
      <c r="AW65" s="647">
        <f t="shared" si="179"/>
        <v>0</v>
      </c>
      <c r="AX65" s="647">
        <f t="shared" si="179"/>
        <v>8724000</v>
      </c>
      <c r="AY65" s="647">
        <f t="shared" si="179"/>
        <v>0</v>
      </c>
      <c r="AZ65" s="647">
        <f t="shared" si="179"/>
        <v>0</v>
      </c>
      <c r="BA65" s="647">
        <f t="shared" si="179"/>
        <v>324632400</v>
      </c>
      <c r="BB65" s="647">
        <f t="shared" si="179"/>
        <v>324632400</v>
      </c>
      <c r="BC65" s="647">
        <f t="shared" si="179"/>
        <v>323374900</v>
      </c>
      <c r="BD65" s="647">
        <f t="shared" si="179"/>
        <v>324632400</v>
      </c>
      <c r="BE65" s="647">
        <f t="shared" si="179"/>
        <v>323374900</v>
      </c>
      <c r="BF65" s="647">
        <f t="shared" si="179"/>
        <v>324857532</v>
      </c>
      <c r="BG65" s="647">
        <f t="shared" si="179"/>
        <v>307275167</v>
      </c>
      <c r="BH65" s="647">
        <f t="shared" si="179"/>
        <v>307275167</v>
      </c>
      <c r="BI65" s="647">
        <f t="shared" si="179"/>
        <v>9465600</v>
      </c>
      <c r="BJ65" s="647">
        <f t="shared" si="179"/>
        <v>0</v>
      </c>
      <c r="BK65" s="647">
        <f t="shared" si="179"/>
        <v>0</v>
      </c>
      <c r="BL65" s="647">
        <f t="shared" si="179"/>
        <v>9466400</v>
      </c>
      <c r="BM65" s="647">
        <f t="shared" si="179"/>
        <v>800</v>
      </c>
      <c r="BN65" s="647">
        <f t="shared" si="179"/>
        <v>0</v>
      </c>
      <c r="BO65" s="647">
        <f t="shared" si="179"/>
        <v>0</v>
      </c>
      <c r="BP65" s="647">
        <f t="shared" si="179"/>
        <v>0</v>
      </c>
      <c r="BQ65" s="647">
        <f t="shared" si="179"/>
        <v>0</v>
      </c>
      <c r="BR65" s="647">
        <f t="shared" si="179"/>
        <v>0</v>
      </c>
      <c r="BS65" s="647">
        <f t="shared" si="179"/>
        <v>0</v>
      </c>
      <c r="BT65" s="647">
        <f t="shared" si="179"/>
        <v>0</v>
      </c>
      <c r="BU65" s="647">
        <f t="shared" si="179"/>
        <v>0</v>
      </c>
      <c r="BV65" s="647">
        <f t="shared" si="179"/>
        <v>0</v>
      </c>
      <c r="BW65" s="647">
        <f t="shared" si="179"/>
        <v>0</v>
      </c>
      <c r="BX65" s="647">
        <f t="shared" si="179"/>
        <v>0</v>
      </c>
      <c r="BY65" s="647">
        <f t="shared" si="179"/>
        <v>0</v>
      </c>
      <c r="BZ65" s="647">
        <f t="shared" si="179"/>
        <v>7826000</v>
      </c>
      <c r="CA65" s="647">
        <f t="shared" si="179"/>
        <v>32500768</v>
      </c>
      <c r="CB65" s="647">
        <f t="shared" si="179"/>
        <v>6517000</v>
      </c>
      <c r="CC65" s="647">
        <f t="shared" si="179"/>
        <v>60366</v>
      </c>
      <c r="CD65" s="647">
        <f t="shared" si="179"/>
        <v>18209066</v>
      </c>
      <c r="CE65" s="647">
        <f t="shared" si="179"/>
        <v>349302701</v>
      </c>
      <c r="CF65" s="647">
        <f t="shared" si="179"/>
        <v>349302701</v>
      </c>
      <c r="CG65" s="647">
        <f t="shared" si="179"/>
        <v>349293633</v>
      </c>
      <c r="CH65" s="647">
        <f t="shared" si="179"/>
        <v>349302701</v>
      </c>
      <c r="CI65" s="647">
        <f t="shared" si="179"/>
        <v>349293633</v>
      </c>
      <c r="CJ65" s="647">
        <f t="shared" si="179"/>
        <v>389134300</v>
      </c>
      <c r="CK65" s="647">
        <f t="shared" si="179"/>
        <v>15561467</v>
      </c>
      <c r="CL65" s="647">
        <f t="shared" si="179"/>
        <v>15561467</v>
      </c>
      <c r="CM65" s="647">
        <f t="shared" si="179"/>
        <v>304797833</v>
      </c>
      <c r="CN65" s="647">
        <f t="shared" si="179"/>
        <v>304797833</v>
      </c>
      <c r="CO65" s="647">
        <f t="shared" si="179"/>
        <v>35217000</v>
      </c>
      <c r="CP65" s="647">
        <f t="shared" si="179"/>
        <v>35217000</v>
      </c>
      <c r="CQ65" s="647">
        <f t="shared" si="179"/>
        <v>0</v>
      </c>
      <c r="CR65" s="647">
        <f t="shared" si="179"/>
        <v>0</v>
      </c>
      <c r="CS65" s="647">
        <f t="shared" si="179"/>
        <v>0</v>
      </c>
      <c r="CT65" s="647">
        <f t="shared" si="179"/>
        <v>0</v>
      </c>
      <c r="CU65" s="647">
        <f t="shared" si="179"/>
        <v>0</v>
      </c>
      <c r="CV65" s="647">
        <f t="shared" si="179"/>
        <v>0</v>
      </c>
      <c r="CW65" s="647">
        <f t="shared" si="179"/>
        <v>0</v>
      </c>
      <c r="CX65" s="647">
        <f t="shared" si="179"/>
        <v>0</v>
      </c>
      <c r="CY65" s="647">
        <f t="shared" si="179"/>
        <v>0</v>
      </c>
      <c r="CZ65" s="647">
        <f t="shared" si="179"/>
        <v>0</v>
      </c>
      <c r="DA65" s="647">
        <f t="shared" si="179"/>
        <v>0</v>
      </c>
      <c r="DB65" s="647">
        <f t="shared" si="179"/>
        <v>0</v>
      </c>
      <c r="DC65" s="647">
        <f t="shared" si="179"/>
        <v>0</v>
      </c>
      <c r="DD65" s="647">
        <f t="shared" si="179"/>
        <v>0</v>
      </c>
      <c r="DE65" s="647">
        <f t="shared" si="179"/>
        <v>19996401</v>
      </c>
      <c r="DF65" s="647">
        <f t="shared" si="179"/>
        <v>0</v>
      </c>
      <c r="DG65" s="647">
        <f t="shared" si="179"/>
        <v>0</v>
      </c>
      <c r="DH65" s="647">
        <f t="shared" si="179"/>
        <v>19996401</v>
      </c>
      <c r="DI65" s="647">
        <f t="shared" si="179"/>
        <v>375572701</v>
      </c>
      <c r="DJ65" s="647">
        <f t="shared" si="179"/>
        <v>375572701</v>
      </c>
      <c r="DK65" s="647">
        <f t="shared" si="179"/>
        <v>375572701</v>
      </c>
      <c r="DL65" s="647">
        <f>DL60+DL63</f>
        <v>375572701</v>
      </c>
      <c r="DM65" s="647">
        <f t="shared" ref="DM65:EQ65" si="180">DM60+DM63</f>
        <v>375572701</v>
      </c>
      <c r="DN65" s="647">
        <f t="shared" si="180"/>
        <v>422405267</v>
      </c>
      <c r="DO65" s="647">
        <f t="shared" si="180"/>
        <v>24316000</v>
      </c>
      <c r="DP65" s="647">
        <f t="shared" si="180"/>
        <v>24316000</v>
      </c>
      <c r="DQ65" s="647">
        <f t="shared" si="180"/>
        <v>149625267</v>
      </c>
      <c r="DR65" s="647">
        <f t="shared" si="180"/>
        <v>87081467</v>
      </c>
      <c r="DS65" s="647">
        <f t="shared" si="180"/>
        <v>0</v>
      </c>
      <c r="DT65" s="647">
        <f t="shared" si="180"/>
        <v>18133800</v>
      </c>
      <c r="DU65" s="647">
        <f t="shared" si="180"/>
        <v>27264000</v>
      </c>
      <c r="DV65" s="647">
        <f t="shared" si="180"/>
        <v>0</v>
      </c>
      <c r="DW65" s="647">
        <f t="shared" si="180"/>
        <v>0</v>
      </c>
      <c r="DX65" s="647">
        <f t="shared" si="180"/>
        <v>0</v>
      </c>
      <c r="DY65" s="647">
        <f t="shared" si="180"/>
        <v>221200000</v>
      </c>
      <c r="DZ65" s="647">
        <f t="shared" si="180"/>
        <v>0</v>
      </c>
      <c r="EA65" s="647">
        <f t="shared" si="180"/>
        <v>0</v>
      </c>
      <c r="EB65" s="647">
        <f t="shared" si="180"/>
        <v>0</v>
      </c>
      <c r="EC65" s="647">
        <f t="shared" si="180"/>
        <v>0</v>
      </c>
      <c r="ED65" s="647">
        <f t="shared" si="180"/>
        <v>0</v>
      </c>
      <c r="EE65" s="647">
        <f t="shared" si="180"/>
        <v>0</v>
      </c>
      <c r="EF65" s="647">
        <f t="shared" si="180"/>
        <v>0</v>
      </c>
      <c r="EG65" s="647">
        <f t="shared" si="180"/>
        <v>0</v>
      </c>
      <c r="EH65" s="647">
        <f t="shared" si="180"/>
        <v>0</v>
      </c>
      <c r="EI65" s="647">
        <f t="shared" si="180"/>
        <v>0</v>
      </c>
      <c r="EJ65" s="647">
        <f t="shared" si="180"/>
        <v>0</v>
      </c>
      <c r="EK65" s="647">
        <f t="shared" si="180"/>
        <v>0</v>
      </c>
      <c r="EL65" s="647">
        <f t="shared" si="180"/>
        <v>0</v>
      </c>
      <c r="EM65" s="647">
        <f t="shared" si="180"/>
        <v>422405267</v>
      </c>
      <c r="EN65" s="647">
        <f t="shared" si="180"/>
        <v>173941267</v>
      </c>
      <c r="EO65" s="647">
        <f t="shared" si="180"/>
        <v>129531267</v>
      </c>
      <c r="EP65" s="647">
        <f t="shared" si="180"/>
        <v>422405267</v>
      </c>
      <c r="EQ65" s="647">
        <f t="shared" si="180"/>
        <v>129531267</v>
      </c>
      <c r="ER65" s="648">
        <f t="shared" si="26"/>
        <v>0</v>
      </c>
      <c r="ES65" s="648">
        <f t="shared" si="21"/>
        <v>0.74468393403159472</v>
      </c>
      <c r="ET65" s="649">
        <f t="shared" si="22"/>
        <v>0.30665163793992178</v>
      </c>
      <c r="EU65" s="649">
        <f t="shared" si="23"/>
        <v>0.96336851535861834</v>
      </c>
      <c r="EV65" s="650">
        <f t="shared" si="24"/>
        <v>0.81943176697328268</v>
      </c>
      <c r="EW65" s="1076"/>
      <c r="EX65" s="1113"/>
      <c r="EY65" s="1113"/>
      <c r="EZ65" s="1048"/>
      <c r="FA65" s="1048"/>
      <c r="FB65" s="781"/>
      <c r="FC65" s="90"/>
      <c r="FD65" s="90"/>
    </row>
    <row r="66" spans="1:160" ht="30" customHeight="1" x14ac:dyDescent="0.25">
      <c r="A66" s="758" t="s">
        <v>365</v>
      </c>
      <c r="B66" s="759">
        <v>9</v>
      </c>
      <c r="C66" s="758" t="s">
        <v>366</v>
      </c>
      <c r="D66" s="758" t="s">
        <v>177</v>
      </c>
      <c r="E66" s="758">
        <v>198</v>
      </c>
      <c r="F66" s="73" t="s">
        <v>340</v>
      </c>
      <c r="G66" s="651">
        <f>AA66+BE66+CI66+DM66+EP66</f>
        <v>0.9</v>
      </c>
      <c r="H66" s="1097">
        <v>1</v>
      </c>
      <c r="I66" s="995"/>
      <c r="J66" s="995"/>
      <c r="K66" s="995">
        <v>1</v>
      </c>
      <c r="L66" s="993">
        <v>0</v>
      </c>
      <c r="M66" s="995">
        <v>1</v>
      </c>
      <c r="N66" s="996">
        <v>0</v>
      </c>
      <c r="O66" s="995">
        <v>1</v>
      </c>
      <c r="P66" s="996">
        <v>0</v>
      </c>
      <c r="Q66" s="995">
        <v>1</v>
      </c>
      <c r="R66" s="1002">
        <v>0.5</v>
      </c>
      <c r="S66" s="995">
        <v>1</v>
      </c>
      <c r="T66" s="998">
        <v>0.7</v>
      </c>
      <c r="U66" s="995">
        <v>1</v>
      </c>
      <c r="V66" s="995">
        <v>0.9</v>
      </c>
      <c r="W66" s="1001">
        <f t="shared" ref="W66:W71" si="181">+H66</f>
        <v>1</v>
      </c>
      <c r="X66" s="1001">
        <f t="shared" ref="X66:X71" si="182">+H66</f>
        <v>1</v>
      </c>
      <c r="Y66" s="1001">
        <f t="shared" ref="Y66:Y71" si="183">+V66</f>
        <v>0.9</v>
      </c>
      <c r="Z66" s="1001">
        <f t="shared" ref="Z66:AA71" si="184">+U66</f>
        <v>1</v>
      </c>
      <c r="AA66" s="1001">
        <f t="shared" si="184"/>
        <v>0.9</v>
      </c>
      <c r="AB66" s="996">
        <v>0</v>
      </c>
      <c r="AC66" s="1002">
        <v>0</v>
      </c>
      <c r="AD66" s="1002">
        <v>0</v>
      </c>
      <c r="AE66" s="1002">
        <v>0</v>
      </c>
      <c r="AF66" s="1002">
        <v>0</v>
      </c>
      <c r="AG66" s="1002">
        <v>0</v>
      </c>
      <c r="AH66" s="1002">
        <v>0</v>
      </c>
      <c r="AI66" s="1002">
        <v>0</v>
      </c>
      <c r="AJ66" s="1002">
        <v>0</v>
      </c>
      <c r="AK66" s="1002">
        <v>0</v>
      </c>
      <c r="AL66" s="1002">
        <v>0</v>
      </c>
      <c r="AM66" s="1002">
        <v>0</v>
      </c>
      <c r="AN66" s="1002">
        <v>0</v>
      </c>
      <c r="AO66" s="1002">
        <v>0</v>
      </c>
      <c r="AP66" s="1002">
        <v>0</v>
      </c>
      <c r="AQ66" s="1002">
        <v>0</v>
      </c>
      <c r="AR66" s="1002">
        <v>0</v>
      </c>
      <c r="AS66" s="1002">
        <v>0</v>
      </c>
      <c r="AT66" s="1002">
        <v>0</v>
      </c>
      <c r="AU66" s="1002">
        <v>0</v>
      </c>
      <c r="AV66" s="1002">
        <v>0</v>
      </c>
      <c r="AW66" s="1002">
        <v>0</v>
      </c>
      <c r="AX66" s="1002">
        <v>0</v>
      </c>
      <c r="AY66" s="1002">
        <v>0</v>
      </c>
      <c r="AZ66" s="1002">
        <v>0</v>
      </c>
      <c r="BA66" s="1001">
        <f>AY66+AW66+AU66+AS66+AO66+AM66+AK66+AI66+AG66+AE66+AC66+AQ66</f>
        <v>0</v>
      </c>
      <c r="BB66" s="1001">
        <f t="shared" ref="BB66:BB71" si="185">AC66+AE66+AG66+AI66+AK66+AM66+AO66+AQ66+AS66+AU66+AW66+AY66</f>
        <v>0</v>
      </c>
      <c r="BC66" s="1001">
        <f t="shared" ref="BC66:BC71" si="186">+AN66+AD66+AF66+AH66+AJ66+AL66+AP66+AR66+AT66+AV66+AX66+AZ66</f>
        <v>0</v>
      </c>
      <c r="BD66" s="1001">
        <f>BA66</f>
        <v>0</v>
      </c>
      <c r="BE66" s="1001">
        <f t="shared" ref="BE66:BE71" si="187">AF66+AH66+AJ66+AL66+AD66+AN66+AP66+AR66+AT66+AV66+AX66+AZ66</f>
        <v>0</v>
      </c>
      <c r="BF66" s="993">
        <v>0</v>
      </c>
      <c r="BG66" s="993"/>
      <c r="BH66" s="993"/>
      <c r="BI66" s="993"/>
      <c r="BJ66" s="993"/>
      <c r="BK66" s="993"/>
      <c r="BL66" s="993"/>
      <c r="BM66" s="993"/>
      <c r="BN66" s="993"/>
      <c r="BO66" s="993"/>
      <c r="BP66" s="993"/>
      <c r="BQ66" s="993"/>
      <c r="BR66" s="993"/>
      <c r="BS66" s="993">
        <v>0</v>
      </c>
      <c r="BT66" s="993">
        <v>0</v>
      </c>
      <c r="BU66" s="993"/>
      <c r="BV66" s="993"/>
      <c r="BW66" s="993"/>
      <c r="BX66" s="1001"/>
      <c r="BY66" s="1001"/>
      <c r="BZ66" s="1001"/>
      <c r="CA66" s="1001"/>
      <c r="CB66" s="1001"/>
      <c r="CC66" s="1001"/>
      <c r="CD66" s="1001"/>
      <c r="CE66" s="1001">
        <f>CC66+CA66+BY66+BW66+BS66+BQ66+BO66+BM66+BK66+BI66+BG66+BU66</f>
        <v>0</v>
      </c>
      <c r="CF66" s="1001">
        <f t="shared" ref="CF66:CF71" si="188">+BG66+BI66+BK66+BM66+BO66+BQ66+BS66+BU66+BW66+BY66+CA66+CC66</f>
        <v>0</v>
      </c>
      <c r="CG66" s="1001">
        <f t="shared" ref="CG66:CG71" si="189">+BR66+BH66+BJ66+BL66+BN66+BP66+BT66+BV66+BX66+BZ66+CB66+CD66</f>
        <v>0</v>
      </c>
      <c r="CH66" s="1001">
        <f>CE66</f>
        <v>0</v>
      </c>
      <c r="CI66" s="1001">
        <f t="shared" ref="CI66:CI71" si="190">BJ66+BL66+BN66+BP66+BH66+BR66+BT66+BV66+BX66+BZ66+CB66+CD66</f>
        <v>0</v>
      </c>
      <c r="CJ66" s="993">
        <v>0</v>
      </c>
      <c r="CK66" s="993"/>
      <c r="CL66" s="993"/>
      <c r="CM66" s="993"/>
      <c r="CN66" s="993"/>
      <c r="CO66" s="993"/>
      <c r="CP66" s="993"/>
      <c r="CQ66" s="993"/>
      <c r="CR66" s="993"/>
      <c r="CS66" s="993"/>
      <c r="CT66" s="993"/>
      <c r="CU66" s="993"/>
      <c r="CV66" s="993"/>
      <c r="CW66" s="993"/>
      <c r="CX66" s="993"/>
      <c r="CY66" s="993"/>
      <c r="CZ66" s="993"/>
      <c r="DA66" s="993"/>
      <c r="DB66" s="993"/>
      <c r="DC66" s="993"/>
      <c r="DD66" s="993"/>
      <c r="DE66" s="993"/>
      <c r="DF66" s="993"/>
      <c r="DG66" s="993"/>
      <c r="DH66" s="993"/>
      <c r="DI66" s="993">
        <f>DG66+DE66+DC66+DA66+CY66+CW66+CU66+CS66+CQ66+CO66+CM66+CK66</f>
        <v>0</v>
      </c>
      <c r="DJ66" s="1001">
        <f t="shared" ref="DJ66:DJ71" si="191">CK66+CM66+CO66+CQ66+CS66+CU66</f>
        <v>0</v>
      </c>
      <c r="DK66" s="993">
        <f>CL66+CN66+CP66+CR66</f>
        <v>0</v>
      </c>
      <c r="DL66" s="1052">
        <f>CM66+CO66+CQ66+CS66+CU66+CW66+CY66+DA66+DC66+DE66+DG66+CK66</f>
        <v>0</v>
      </c>
      <c r="DM66" s="993">
        <f>CL66+CN66+CP66+CR66</f>
        <v>0</v>
      </c>
      <c r="DN66" s="998">
        <v>0</v>
      </c>
      <c r="DO66" s="998"/>
      <c r="DP66" s="998"/>
      <c r="DQ66" s="998"/>
      <c r="DR66" s="998"/>
      <c r="DS66" s="998"/>
      <c r="DT66" s="998"/>
      <c r="DU66" s="998"/>
      <c r="DV66" s="998"/>
      <c r="DW66" s="998"/>
      <c r="DX66" s="998"/>
      <c r="DY66" s="998"/>
      <c r="DZ66" s="998"/>
      <c r="EA66" s="998"/>
      <c r="EB66" s="998"/>
      <c r="EC66" s="998"/>
      <c r="ED66" s="998"/>
      <c r="EE66" s="998"/>
      <c r="EF66" s="998"/>
      <c r="EG66" s="993"/>
      <c r="EH66" s="993"/>
      <c r="EI66" s="993"/>
      <c r="EJ66" s="993"/>
      <c r="EK66" s="993"/>
      <c r="EL66" s="993"/>
      <c r="EM66" s="993">
        <f>EK66+EI66+EG66+EE66+EC66+EA66+DY66+DW66+DU66+DS66+DQ66+DO66</f>
        <v>0</v>
      </c>
      <c r="EN66" s="993">
        <f t="shared" ref="EN66:EO71" si="192">DO66+DQ66+DS66+DU66</f>
        <v>0</v>
      </c>
      <c r="EO66" s="993">
        <f t="shared" si="192"/>
        <v>0</v>
      </c>
      <c r="EP66" s="1052">
        <f>DQ66+DS66+DU66+DW66+DY66+EA66+EC66+EE66+EG66+EI66+EK66+DO66</f>
        <v>0</v>
      </c>
      <c r="EQ66" s="998">
        <f t="shared" si="51"/>
        <v>0</v>
      </c>
      <c r="ER66" s="1008">
        <f t="shared" si="26"/>
        <v>0</v>
      </c>
      <c r="ES66" s="1008">
        <f>IFERROR(EO66/EN66,0)</f>
        <v>0</v>
      </c>
      <c r="ET66" s="1009">
        <f>IFERROR(EQ66/EP66,0)</f>
        <v>0</v>
      </c>
      <c r="EU66" s="1009">
        <f t="shared" si="23"/>
        <v>0.9</v>
      </c>
      <c r="EV66" s="1009">
        <f t="shared" si="24"/>
        <v>1</v>
      </c>
      <c r="EW66" s="1114" t="s">
        <v>367</v>
      </c>
      <c r="EX66" s="1011" t="s">
        <v>178</v>
      </c>
      <c r="EY66" s="1011" t="s">
        <v>178</v>
      </c>
      <c r="EZ66" s="1011" t="s">
        <v>368</v>
      </c>
      <c r="FA66" s="1011" t="s">
        <v>369</v>
      </c>
      <c r="FB66" s="776"/>
      <c r="FC66" s="83"/>
      <c r="FD66" s="83"/>
    </row>
    <row r="67" spans="1:160" ht="30" customHeight="1" x14ac:dyDescent="0.25">
      <c r="A67" s="710"/>
      <c r="B67" s="710"/>
      <c r="C67" s="710"/>
      <c r="D67" s="710"/>
      <c r="E67" s="710"/>
      <c r="F67" s="76" t="s">
        <v>343</v>
      </c>
      <c r="G67" s="643">
        <f>AA67+BE67+CI67+DM67+EP67</f>
        <v>424276000</v>
      </c>
      <c r="H67" s="1012">
        <v>334120000</v>
      </c>
      <c r="I67" s="1012"/>
      <c r="J67" s="1012"/>
      <c r="K67" s="1012">
        <v>334120000</v>
      </c>
      <c r="L67" s="1012">
        <v>40000000</v>
      </c>
      <c r="M67" s="1012">
        <v>400424000</v>
      </c>
      <c r="N67" s="1012">
        <v>318184000</v>
      </c>
      <c r="O67" s="1012">
        <v>478424000</v>
      </c>
      <c r="P67" s="1012">
        <v>318184000</v>
      </c>
      <c r="Q67" s="1012">
        <v>491805000</v>
      </c>
      <c r="R67" s="1012">
        <v>318184000</v>
      </c>
      <c r="S67" s="1012">
        <v>463576000</v>
      </c>
      <c r="T67" s="1012">
        <v>318184000</v>
      </c>
      <c r="U67" s="1012">
        <v>463576000</v>
      </c>
      <c r="V67" s="1012">
        <v>424276000</v>
      </c>
      <c r="W67" s="1012">
        <f t="shared" si="181"/>
        <v>334120000</v>
      </c>
      <c r="X67" s="1012">
        <f t="shared" si="182"/>
        <v>334120000</v>
      </c>
      <c r="Y67" s="1012">
        <f t="shared" si="183"/>
        <v>424276000</v>
      </c>
      <c r="Z67" s="1012">
        <f t="shared" si="184"/>
        <v>463576000</v>
      </c>
      <c r="AA67" s="1012">
        <f t="shared" si="184"/>
        <v>424276000</v>
      </c>
      <c r="AB67" s="1012">
        <v>0</v>
      </c>
      <c r="AC67" s="1012">
        <v>0</v>
      </c>
      <c r="AD67" s="1012">
        <v>0</v>
      </c>
      <c r="AE67" s="1012">
        <v>0</v>
      </c>
      <c r="AF67" s="1012">
        <v>0</v>
      </c>
      <c r="AG67" s="1012">
        <v>0</v>
      </c>
      <c r="AH67" s="1012">
        <v>0</v>
      </c>
      <c r="AI67" s="1012">
        <v>0</v>
      </c>
      <c r="AJ67" s="1012">
        <v>0</v>
      </c>
      <c r="AK67" s="1012">
        <v>0</v>
      </c>
      <c r="AL67" s="1012">
        <v>0</v>
      </c>
      <c r="AM67" s="1012">
        <v>0</v>
      </c>
      <c r="AN67" s="1012">
        <v>0</v>
      </c>
      <c r="AO67" s="1012">
        <v>0</v>
      </c>
      <c r="AP67" s="1012">
        <v>0</v>
      </c>
      <c r="AQ67" s="1012">
        <v>0</v>
      </c>
      <c r="AR67" s="1012">
        <v>0</v>
      </c>
      <c r="AS67" s="1012">
        <v>0</v>
      </c>
      <c r="AT67" s="1012">
        <v>0</v>
      </c>
      <c r="AU67" s="1012">
        <v>0</v>
      </c>
      <c r="AV67" s="1012">
        <v>0</v>
      </c>
      <c r="AW67" s="1012">
        <v>0</v>
      </c>
      <c r="AX67" s="1012">
        <v>0</v>
      </c>
      <c r="AY67" s="1012">
        <v>0</v>
      </c>
      <c r="AZ67" s="1012">
        <v>0</v>
      </c>
      <c r="BA67" s="1012">
        <f>AY67+AW67+AU67+AS67+AQ67+AO67+AM67+AK67+AI67+AG67+AE67+AC67</f>
        <v>0</v>
      </c>
      <c r="BB67" s="1012">
        <f t="shared" si="185"/>
        <v>0</v>
      </c>
      <c r="BC67" s="1012">
        <f t="shared" si="186"/>
        <v>0</v>
      </c>
      <c r="BD67" s="1012">
        <f>AC67+AE67+AG67+AI67+AK67+AM67+AO67+AQ67+AS67+AU67+AW67+AY67</f>
        <v>0</v>
      </c>
      <c r="BE67" s="1012">
        <f t="shared" si="187"/>
        <v>0</v>
      </c>
      <c r="BF67" s="1012">
        <v>0</v>
      </c>
      <c r="BG67" s="1012"/>
      <c r="BH67" s="1012"/>
      <c r="BI67" s="1012"/>
      <c r="BJ67" s="1012"/>
      <c r="BK67" s="1012"/>
      <c r="BL67" s="1012"/>
      <c r="BM67" s="1012"/>
      <c r="BN67" s="1012"/>
      <c r="BO67" s="1012"/>
      <c r="BP67" s="1012"/>
      <c r="BQ67" s="1012"/>
      <c r="BR67" s="1012"/>
      <c r="BS67" s="1012">
        <v>0</v>
      </c>
      <c r="BT67" s="1012">
        <v>0</v>
      </c>
      <c r="BU67" s="1012"/>
      <c r="BV67" s="1012"/>
      <c r="BW67" s="1012"/>
      <c r="BX67" s="1012"/>
      <c r="BY67" s="1012"/>
      <c r="BZ67" s="1012"/>
      <c r="CA67" s="1012"/>
      <c r="CB67" s="1012"/>
      <c r="CC67" s="1012"/>
      <c r="CD67" s="1012"/>
      <c r="CE67" s="1012">
        <f>CC67+CA67+BY67+BW67+BU67+BS67+BQ67+BO67+BM67+BK67+BI67+BG67</f>
        <v>0</v>
      </c>
      <c r="CF67" s="1012">
        <f t="shared" si="188"/>
        <v>0</v>
      </c>
      <c r="CG67" s="1012">
        <f t="shared" si="189"/>
        <v>0</v>
      </c>
      <c r="CH67" s="1012">
        <f>BG67+BI67+BK67+BM67+BO67+BQ67+BS67+BU67+BW67+BY67+CA67+CC67</f>
        <v>0</v>
      </c>
      <c r="CI67" s="1012">
        <f t="shared" si="190"/>
        <v>0</v>
      </c>
      <c r="CJ67" s="1012">
        <v>0</v>
      </c>
      <c r="CK67" s="1012"/>
      <c r="CL67" s="1012"/>
      <c r="CM67" s="1012"/>
      <c r="CN67" s="1012"/>
      <c r="CO67" s="1012"/>
      <c r="CP67" s="1012"/>
      <c r="CQ67" s="1012"/>
      <c r="CR67" s="1012"/>
      <c r="CS67" s="1012"/>
      <c r="CT67" s="1012"/>
      <c r="CU67" s="1012"/>
      <c r="CV67" s="1012"/>
      <c r="CW67" s="1012"/>
      <c r="CX67" s="1012"/>
      <c r="CY67" s="1012"/>
      <c r="CZ67" s="1012"/>
      <c r="DA67" s="1012"/>
      <c r="DB67" s="1012"/>
      <c r="DC67" s="1012"/>
      <c r="DD67" s="1012"/>
      <c r="DE67" s="1012"/>
      <c r="DF67" s="1012"/>
      <c r="DG67" s="1012"/>
      <c r="DH67" s="1012"/>
      <c r="DI67" s="1012">
        <f>DG67+DE67+DC67+DA67+CY67+CW67+CU67+CS67+CQ67+CO67+CM67+CK67</f>
        <v>0</v>
      </c>
      <c r="DJ67" s="1024">
        <f t="shared" si="191"/>
        <v>0</v>
      </c>
      <c r="DK67" s="1012">
        <f>CL67+CN67+CP67+CR67</f>
        <v>0</v>
      </c>
      <c r="DL67" s="1012">
        <f>CM67+CO67+CQ67+CS67+CU67+CW67+CY67+DA67+DC67+DE67+DG67+CK67</f>
        <v>0</v>
      </c>
      <c r="DM67" s="1012">
        <f>CL67+CN67+CP67+CR67</f>
        <v>0</v>
      </c>
      <c r="DN67" s="1012">
        <v>0</v>
      </c>
      <c r="DO67" s="1055"/>
      <c r="DP67" s="1055"/>
      <c r="DQ67" s="1055"/>
      <c r="DR67" s="1055"/>
      <c r="DS67" s="1055"/>
      <c r="DT67" s="1055"/>
      <c r="DU67" s="1055"/>
      <c r="DV67" s="1055"/>
      <c r="DW67" s="1055"/>
      <c r="DX67" s="1055"/>
      <c r="DY67" s="1055"/>
      <c r="DZ67" s="1055"/>
      <c r="EA67" s="1055"/>
      <c r="EB67" s="1055"/>
      <c r="EC67" s="1055"/>
      <c r="ED67" s="1055"/>
      <c r="EE67" s="1055"/>
      <c r="EF67" s="1055"/>
      <c r="EG67" s="1055"/>
      <c r="EH67" s="1055"/>
      <c r="EI67" s="1055"/>
      <c r="EJ67" s="1055"/>
      <c r="EK67" s="1055"/>
      <c r="EL67" s="1055"/>
      <c r="EM67" s="1020">
        <f>EK67+EI67+EG67+EE67+EC67+EA67+DY67+DW67+DU67+DS67+DQ67+DO67</f>
        <v>0</v>
      </c>
      <c r="EN67" s="1055">
        <f t="shared" si="192"/>
        <v>0</v>
      </c>
      <c r="EO67" s="1055">
        <f t="shared" si="192"/>
        <v>0</v>
      </c>
      <c r="EP67" s="1012">
        <f>DQ67+DS67+DU67+DW67+DY67+EA67+EC67+EE67+EG67+EI67+EK67+DO67</f>
        <v>0</v>
      </c>
      <c r="EQ67" s="1006">
        <f t="shared" si="51"/>
        <v>0</v>
      </c>
      <c r="ER67" s="1007">
        <f t="shared" si="26"/>
        <v>0</v>
      </c>
      <c r="ES67" s="1007">
        <f t="shared" ref="ES67:ES72" si="193">IFERROR(EO67/EN67,0)</f>
        <v>0</v>
      </c>
      <c r="ET67" s="1016">
        <f t="shared" ref="ET67:ET72" si="194">IFERROR(EQ67/EP67,0)</f>
        <v>0</v>
      </c>
      <c r="EU67" s="1016">
        <f t="shared" si="23"/>
        <v>0.91522425664831653</v>
      </c>
      <c r="EV67" s="1016">
        <f t="shared" si="24"/>
        <v>1</v>
      </c>
      <c r="EW67" s="1018"/>
      <c r="EX67" s="1018"/>
      <c r="EY67" s="1018"/>
      <c r="EZ67" s="1018"/>
      <c r="FA67" s="1018"/>
      <c r="FB67" s="777"/>
      <c r="FC67" s="91"/>
      <c r="FD67" s="91"/>
    </row>
    <row r="68" spans="1:160" ht="30" customHeight="1" x14ac:dyDescent="0.25">
      <c r="A68" s="710"/>
      <c r="B68" s="710"/>
      <c r="C68" s="710"/>
      <c r="D68" s="710"/>
      <c r="E68" s="710"/>
      <c r="F68" s="78" t="s">
        <v>344</v>
      </c>
      <c r="G68" s="1012"/>
      <c r="H68" s="1012"/>
      <c r="I68" s="1012"/>
      <c r="J68" s="1012"/>
      <c r="K68" s="1012"/>
      <c r="L68" s="1012"/>
      <c r="M68" s="1012"/>
      <c r="N68" s="1012"/>
      <c r="O68" s="1012"/>
      <c r="P68" s="1012"/>
      <c r="Q68" s="1012"/>
      <c r="R68" s="1012"/>
      <c r="S68" s="1012"/>
      <c r="T68" s="1012"/>
      <c r="U68" s="1012"/>
      <c r="V68" s="1012"/>
      <c r="W68" s="1012">
        <f t="shared" si="181"/>
        <v>0</v>
      </c>
      <c r="X68" s="1012">
        <f t="shared" si="182"/>
        <v>0</v>
      </c>
      <c r="Y68" s="1012">
        <f t="shared" si="183"/>
        <v>0</v>
      </c>
      <c r="Z68" s="1012">
        <f t="shared" si="184"/>
        <v>0</v>
      </c>
      <c r="AA68" s="1012">
        <f t="shared" si="184"/>
        <v>0</v>
      </c>
      <c r="AB68" s="1012"/>
      <c r="AC68" s="1012"/>
      <c r="AD68" s="1012"/>
      <c r="AE68" s="1012"/>
      <c r="AF68" s="1012"/>
      <c r="AG68" s="1012"/>
      <c r="AH68" s="1012"/>
      <c r="AI68" s="1012"/>
      <c r="AJ68" s="1012"/>
      <c r="AK68" s="1012"/>
      <c r="AL68" s="1012"/>
      <c r="AM68" s="1012"/>
      <c r="AN68" s="1012"/>
      <c r="AO68" s="1012"/>
      <c r="AP68" s="1012"/>
      <c r="AQ68" s="1012"/>
      <c r="AR68" s="1012"/>
      <c r="AS68" s="1012"/>
      <c r="AT68" s="1012"/>
      <c r="AU68" s="1012"/>
      <c r="AV68" s="1012"/>
      <c r="AW68" s="1012"/>
      <c r="AX68" s="1012"/>
      <c r="AY68" s="1012"/>
      <c r="AZ68" s="1012"/>
      <c r="BA68" s="1012">
        <f>AW68+AU68+AS68+AQ68+AO68+AM68+AK68+AI68+AG68+AE68+AC68+AY68</f>
        <v>0</v>
      </c>
      <c r="BB68" s="1012">
        <f t="shared" si="185"/>
        <v>0</v>
      </c>
      <c r="BC68" s="1012">
        <f t="shared" si="186"/>
        <v>0</v>
      </c>
      <c r="BD68" s="1012">
        <f>AC68+AE68+AG68+AI68+AK68+AM68+AO68+AQ68+AS68+AU68+AW68+AY68</f>
        <v>0</v>
      </c>
      <c r="BE68" s="1012">
        <f t="shared" si="187"/>
        <v>0</v>
      </c>
      <c r="BF68" s="1012"/>
      <c r="BG68" s="1012"/>
      <c r="BH68" s="1012"/>
      <c r="BI68" s="1012"/>
      <c r="BJ68" s="1012"/>
      <c r="BK68" s="1012"/>
      <c r="BL68" s="1012"/>
      <c r="BM68" s="1012"/>
      <c r="BN68" s="1012"/>
      <c r="BO68" s="1012"/>
      <c r="BP68" s="1012"/>
      <c r="BQ68" s="1012"/>
      <c r="BR68" s="1012"/>
      <c r="BS68" s="1012"/>
      <c r="BT68" s="1012"/>
      <c r="BU68" s="1012"/>
      <c r="BV68" s="1012"/>
      <c r="BW68" s="1012"/>
      <c r="BX68" s="1012"/>
      <c r="BY68" s="1012"/>
      <c r="BZ68" s="1012"/>
      <c r="CA68" s="1012"/>
      <c r="CB68" s="1012"/>
      <c r="CC68" s="1012"/>
      <c r="CD68" s="1012"/>
      <c r="CE68" s="1012">
        <f>CA68+BY68+BW68+BU68+BS68+BQ68+BO68+BM68+BK68+BI68+BG68+CC68</f>
        <v>0</v>
      </c>
      <c r="CF68" s="1012">
        <f t="shared" si="188"/>
        <v>0</v>
      </c>
      <c r="CG68" s="1012">
        <f t="shared" si="189"/>
        <v>0</v>
      </c>
      <c r="CH68" s="1012">
        <f>BG68+BI68+BK68+BM68+BO68+BQ68+BS68+BU68+BW68+BY68+CA68+CC68</f>
        <v>0</v>
      </c>
      <c r="CI68" s="1012">
        <f t="shared" si="190"/>
        <v>0</v>
      </c>
      <c r="CJ68" s="1012"/>
      <c r="CK68" s="1012"/>
      <c r="CL68" s="1012"/>
      <c r="CM68" s="1012"/>
      <c r="CN68" s="1012"/>
      <c r="CO68" s="1012"/>
      <c r="CP68" s="1012"/>
      <c r="CQ68" s="1012"/>
      <c r="CR68" s="1012"/>
      <c r="CS68" s="1012"/>
      <c r="CT68" s="1012"/>
      <c r="CU68" s="1012"/>
      <c r="CV68" s="1012"/>
      <c r="CW68" s="1012"/>
      <c r="CX68" s="1012"/>
      <c r="CY68" s="1012"/>
      <c r="CZ68" s="1012"/>
      <c r="DA68" s="1012"/>
      <c r="DB68" s="1012"/>
      <c r="DC68" s="1012"/>
      <c r="DD68" s="1012"/>
      <c r="DE68" s="1012"/>
      <c r="DF68" s="1012"/>
      <c r="DG68" s="1012"/>
      <c r="DH68" s="1012"/>
      <c r="DI68" s="1012">
        <f>DE68+DC68+DA68+CY68+CW68+CU68+CS68+CQ68+CO68+CM68+CK68+DG68</f>
        <v>0</v>
      </c>
      <c r="DJ68" s="1024">
        <f t="shared" si="191"/>
        <v>0</v>
      </c>
      <c r="DK68" s="1012">
        <f>CL68+CN68+CP68+CR68</f>
        <v>0</v>
      </c>
      <c r="DL68" s="1012">
        <f>CM68+CO68+CQ68+CS68+CU68+CW68+CY68+DA68+DC68+DE68+DG68</f>
        <v>0</v>
      </c>
      <c r="DM68" s="1012">
        <f>CL68+CN68+CP68+CR68</f>
        <v>0</v>
      </c>
      <c r="DN68" s="1012"/>
      <c r="DO68" s="1055"/>
      <c r="DP68" s="1055"/>
      <c r="DQ68" s="1055"/>
      <c r="DR68" s="1055"/>
      <c r="DS68" s="1055"/>
      <c r="DT68" s="1055"/>
      <c r="DU68" s="1055"/>
      <c r="DV68" s="1055"/>
      <c r="DW68" s="1055"/>
      <c r="DX68" s="1055"/>
      <c r="DY68" s="1055"/>
      <c r="DZ68" s="1055"/>
      <c r="EA68" s="1055"/>
      <c r="EB68" s="1055"/>
      <c r="EC68" s="1055"/>
      <c r="ED68" s="1055"/>
      <c r="EE68" s="1055"/>
      <c r="EF68" s="1055"/>
      <c r="EG68" s="1055"/>
      <c r="EH68" s="1055"/>
      <c r="EI68" s="1055"/>
      <c r="EJ68" s="1055"/>
      <c r="EK68" s="1055"/>
      <c r="EL68" s="1055"/>
      <c r="EM68" s="1020">
        <f>EI68+EG68+EE68+EC68+EA68+DY68+DW68+DU68+DS68+DQ68+DO68+EK68</f>
        <v>0</v>
      </c>
      <c r="EN68" s="1055">
        <f t="shared" si="192"/>
        <v>0</v>
      </c>
      <c r="EO68" s="1055">
        <f t="shared" si="192"/>
        <v>0</v>
      </c>
      <c r="EP68" s="1115">
        <f>DQ68+DS68+DU68+DW68+DY68+EA68+EC68+EE68+EG68+EI68+EK68</f>
        <v>0</v>
      </c>
      <c r="EQ68" s="1006">
        <f t="shared" si="51"/>
        <v>0</v>
      </c>
      <c r="ER68" s="1007">
        <f t="shared" si="26"/>
        <v>0</v>
      </c>
      <c r="ES68" s="1007">
        <f t="shared" si="193"/>
        <v>0</v>
      </c>
      <c r="ET68" s="1016">
        <f t="shared" si="194"/>
        <v>0</v>
      </c>
      <c r="EU68" s="1016">
        <f>IFERROR((AA68+BE68+CI68+DM68+EO68)/(Z68+BD68+CH68+DL68+EN68),0)</f>
        <v>0</v>
      </c>
      <c r="EV68" s="1016">
        <f>IFERROR((AA68+BE68+CI68+DM68+EQ68)/G68,0)</f>
        <v>0</v>
      </c>
      <c r="EW68" s="1018"/>
      <c r="EX68" s="1018"/>
      <c r="EY68" s="1018"/>
      <c r="EZ68" s="1018"/>
      <c r="FA68" s="1018"/>
      <c r="FB68" s="777"/>
      <c r="FC68" s="91"/>
      <c r="FD68" s="91"/>
    </row>
    <row r="69" spans="1:160" ht="30" customHeight="1" x14ac:dyDescent="0.25">
      <c r="A69" s="710"/>
      <c r="B69" s="710"/>
      <c r="C69" s="710"/>
      <c r="D69" s="710"/>
      <c r="E69" s="710"/>
      <c r="F69" s="79" t="s">
        <v>345</v>
      </c>
      <c r="G69" s="645">
        <f>AA69+BE69+CI69+DM69+EP69</f>
        <v>0.1</v>
      </c>
      <c r="H69" s="1106"/>
      <c r="I69" s="1025"/>
      <c r="J69" s="1025"/>
      <c r="K69" s="1025"/>
      <c r="L69" s="1025"/>
      <c r="M69" s="1025"/>
      <c r="N69" s="1025"/>
      <c r="O69" s="1025"/>
      <c r="P69" s="1025"/>
      <c r="Q69" s="1025"/>
      <c r="R69" s="1025"/>
      <c r="S69" s="1025"/>
      <c r="T69" s="1025"/>
      <c r="U69" s="1025"/>
      <c r="V69" s="1025"/>
      <c r="W69" s="1024">
        <f t="shared" si="181"/>
        <v>0</v>
      </c>
      <c r="X69" s="1024">
        <f t="shared" si="182"/>
        <v>0</v>
      </c>
      <c r="Y69" s="1024">
        <f t="shared" si="183"/>
        <v>0</v>
      </c>
      <c r="Z69" s="1024">
        <f t="shared" si="184"/>
        <v>0</v>
      </c>
      <c r="AA69" s="1024">
        <f t="shared" si="184"/>
        <v>0</v>
      </c>
      <c r="AB69" s="1025">
        <v>0.1</v>
      </c>
      <c r="AC69" s="1025">
        <v>0.05</v>
      </c>
      <c r="AD69" s="1025">
        <v>0.05</v>
      </c>
      <c r="AE69" s="1025">
        <v>0.05</v>
      </c>
      <c r="AF69" s="1025">
        <v>0.05</v>
      </c>
      <c r="AG69" s="1025">
        <v>0</v>
      </c>
      <c r="AH69" s="1025">
        <v>0</v>
      </c>
      <c r="AI69" s="1025">
        <v>0</v>
      </c>
      <c r="AJ69" s="1025">
        <v>0</v>
      </c>
      <c r="AK69" s="1023">
        <v>0</v>
      </c>
      <c r="AL69" s="1023">
        <v>0</v>
      </c>
      <c r="AM69" s="1023">
        <v>0</v>
      </c>
      <c r="AN69" s="1023">
        <v>0</v>
      </c>
      <c r="AO69" s="1023">
        <v>0</v>
      </c>
      <c r="AP69" s="1023">
        <v>0</v>
      </c>
      <c r="AQ69" s="1023">
        <v>0</v>
      </c>
      <c r="AR69" s="1023">
        <v>0</v>
      </c>
      <c r="AS69" s="1023">
        <v>0</v>
      </c>
      <c r="AT69" s="1023">
        <v>0</v>
      </c>
      <c r="AU69" s="1023">
        <v>0</v>
      </c>
      <c r="AV69" s="1023">
        <v>0</v>
      </c>
      <c r="AW69" s="1023">
        <v>0</v>
      </c>
      <c r="AX69" s="1023">
        <v>0</v>
      </c>
      <c r="AY69" s="1023">
        <v>0</v>
      </c>
      <c r="AZ69" s="1023">
        <v>0</v>
      </c>
      <c r="BA69" s="1024">
        <f>AW69+AU69+AS69+AQ69+AO69+AM69+AK69+AI69+AG69+AE69+AC69+AY69</f>
        <v>0.1</v>
      </c>
      <c r="BB69" s="1024">
        <f t="shared" si="185"/>
        <v>0.1</v>
      </c>
      <c r="BC69" s="1024">
        <f t="shared" si="186"/>
        <v>0.1</v>
      </c>
      <c r="BD69" s="1024">
        <f>AC69+AE69+AG69+AI69+AK69+AM69+AO69+AQ69+AS69+AU69+AW69+AY69</f>
        <v>0.1</v>
      </c>
      <c r="BE69" s="1024">
        <f t="shared" si="187"/>
        <v>0.1</v>
      </c>
      <c r="BF69" s="1023"/>
      <c r="BG69" s="1023"/>
      <c r="BH69" s="1023"/>
      <c r="BI69" s="1023"/>
      <c r="BJ69" s="1023"/>
      <c r="BK69" s="1023"/>
      <c r="BL69" s="1023"/>
      <c r="BM69" s="1023"/>
      <c r="BN69" s="1023"/>
      <c r="BO69" s="1023"/>
      <c r="BP69" s="1023"/>
      <c r="BQ69" s="1023"/>
      <c r="BR69" s="1023"/>
      <c r="BS69" s="1023"/>
      <c r="BT69" s="1023"/>
      <c r="BU69" s="1023"/>
      <c r="BV69" s="1023"/>
      <c r="BW69" s="1023"/>
      <c r="BX69" s="1024"/>
      <c r="BY69" s="1024"/>
      <c r="BZ69" s="1024"/>
      <c r="CA69" s="1024"/>
      <c r="CB69" s="1024"/>
      <c r="CC69" s="1024"/>
      <c r="CD69" s="1024"/>
      <c r="CE69" s="1024">
        <f>CA69+BY69+BW69+BU69+BS69+BQ69+BO69+BM69+BK69+BI69+BG69+CC69</f>
        <v>0</v>
      </c>
      <c r="CF69" s="1024">
        <f t="shared" si="188"/>
        <v>0</v>
      </c>
      <c r="CG69" s="1024">
        <f t="shared" si="189"/>
        <v>0</v>
      </c>
      <c r="CH69" s="1024">
        <f>BG69+BI69+BK69+BM69+BO69+BQ69+BS69+BU69+BW69+BY69+CA69+CC69</f>
        <v>0</v>
      </c>
      <c r="CI69" s="1024">
        <f t="shared" si="190"/>
        <v>0</v>
      </c>
      <c r="CJ69" s="1023"/>
      <c r="CK69" s="1023"/>
      <c r="CL69" s="1023"/>
      <c r="CM69" s="1023"/>
      <c r="CN69" s="1023"/>
      <c r="CO69" s="1023"/>
      <c r="CP69" s="1023"/>
      <c r="CQ69" s="1023"/>
      <c r="CR69" s="1023"/>
      <c r="CS69" s="1023"/>
      <c r="CT69" s="1023"/>
      <c r="CU69" s="1023"/>
      <c r="CV69" s="1023"/>
      <c r="CW69" s="1023"/>
      <c r="CX69" s="1023"/>
      <c r="CY69" s="1023"/>
      <c r="CZ69" s="1023"/>
      <c r="DA69" s="1023"/>
      <c r="DB69" s="1023"/>
      <c r="DC69" s="1023"/>
      <c r="DD69" s="1023"/>
      <c r="DE69" s="1023"/>
      <c r="DF69" s="1023"/>
      <c r="DG69" s="1023"/>
      <c r="DH69" s="1023"/>
      <c r="DI69" s="1006">
        <f>DE69+DC69+DA69+CY69+CW69+CU69+CS69+CQ69+CO69+CM69+CK69+DG69</f>
        <v>0</v>
      </c>
      <c r="DJ69" s="1024">
        <f t="shared" si="191"/>
        <v>0</v>
      </c>
      <c r="DK69" s="1020">
        <f t="shared" ref="DK69:DM71" si="195">DG69+DE69+DC69+DA69+CY69+CW69+CU69+CS69+CQ69+CO69+CM69+DI69</f>
        <v>0</v>
      </c>
      <c r="DL69" s="1020">
        <f t="shared" si="195"/>
        <v>0</v>
      </c>
      <c r="DM69" s="1020">
        <f t="shared" si="195"/>
        <v>0</v>
      </c>
      <c r="DN69" s="1023"/>
      <c r="DO69" s="1023"/>
      <c r="DP69" s="1023"/>
      <c r="DQ69" s="1023"/>
      <c r="DR69" s="1023"/>
      <c r="DS69" s="1023"/>
      <c r="DT69" s="1023"/>
      <c r="DU69" s="1023"/>
      <c r="DV69" s="1023"/>
      <c r="DW69" s="1023"/>
      <c r="DX69" s="1023"/>
      <c r="DY69" s="1023"/>
      <c r="DZ69" s="1023"/>
      <c r="EA69" s="1023"/>
      <c r="EB69" s="1023"/>
      <c r="EC69" s="1023"/>
      <c r="ED69" s="1023"/>
      <c r="EE69" s="1023"/>
      <c r="EF69" s="1023"/>
      <c r="EG69" s="1023"/>
      <c r="EH69" s="1023"/>
      <c r="EI69" s="1023"/>
      <c r="EJ69" s="1023"/>
      <c r="EK69" s="1023"/>
      <c r="EL69" s="1023"/>
      <c r="EM69" s="1006">
        <f>EI69+EG69+EE69+EC69+EA69+DY69+DW69+DU69+DS69+DQ69+DO69+EK69</f>
        <v>0</v>
      </c>
      <c r="EN69" s="1030">
        <f t="shared" si="192"/>
        <v>0</v>
      </c>
      <c r="EO69" s="1030">
        <f t="shared" si="192"/>
        <v>0</v>
      </c>
      <c r="EP69" s="1031">
        <f>DQ69+DS69+DU69+DW69+DY69+EA69+EC69+EE69+EG69+EI69+EK69</f>
        <v>0</v>
      </c>
      <c r="EQ69" s="1006">
        <f t="shared" si="51"/>
        <v>0</v>
      </c>
      <c r="ER69" s="1007">
        <f t="shared" si="26"/>
        <v>0</v>
      </c>
      <c r="ES69" s="1007">
        <f t="shared" si="193"/>
        <v>0</v>
      </c>
      <c r="ET69" s="1016">
        <f t="shared" si="194"/>
        <v>0</v>
      </c>
      <c r="EU69" s="1016">
        <f t="shared" si="23"/>
        <v>1</v>
      </c>
      <c r="EV69" s="1016">
        <f>IFERROR((AA69+BE69+CI69+DM69+EQ69)/G69,0)</f>
        <v>1</v>
      </c>
      <c r="EW69" s="1018"/>
      <c r="EX69" s="1018"/>
      <c r="EY69" s="1018"/>
      <c r="EZ69" s="1018"/>
      <c r="FA69" s="1018"/>
      <c r="FB69" s="777"/>
      <c r="FC69" s="83"/>
      <c r="FD69" s="83"/>
    </row>
    <row r="70" spans="1:160" ht="30" customHeight="1" x14ac:dyDescent="0.25">
      <c r="A70" s="710"/>
      <c r="B70" s="710"/>
      <c r="C70" s="710"/>
      <c r="D70" s="710"/>
      <c r="E70" s="710"/>
      <c r="F70" s="80" t="s">
        <v>346</v>
      </c>
      <c r="G70" s="643">
        <f>AA70+BE70+CI70+DM70+EP70</f>
        <v>160059853</v>
      </c>
      <c r="H70" s="1012"/>
      <c r="I70" s="1012"/>
      <c r="J70" s="1012"/>
      <c r="K70" s="1012"/>
      <c r="L70" s="1012"/>
      <c r="M70" s="1012"/>
      <c r="N70" s="1012"/>
      <c r="O70" s="1012"/>
      <c r="P70" s="1012"/>
      <c r="Q70" s="1012"/>
      <c r="R70" s="1012"/>
      <c r="S70" s="1012"/>
      <c r="T70" s="1012"/>
      <c r="U70" s="1012"/>
      <c r="V70" s="1012"/>
      <c r="W70" s="1012">
        <f t="shared" si="181"/>
        <v>0</v>
      </c>
      <c r="X70" s="1012">
        <f t="shared" si="182"/>
        <v>0</v>
      </c>
      <c r="Y70" s="1012">
        <f t="shared" si="183"/>
        <v>0</v>
      </c>
      <c r="Z70" s="1012">
        <f t="shared" si="184"/>
        <v>0</v>
      </c>
      <c r="AA70" s="1012">
        <f t="shared" si="184"/>
        <v>0</v>
      </c>
      <c r="AB70" s="1012">
        <v>160059853</v>
      </c>
      <c r="AC70" s="1012">
        <v>33914000</v>
      </c>
      <c r="AD70" s="1012">
        <v>33914000</v>
      </c>
      <c r="AE70" s="1012">
        <f>97735000-AD70</f>
        <v>63821000</v>
      </c>
      <c r="AF70" s="1012">
        <v>63821000</v>
      </c>
      <c r="AG70" s="1012">
        <f>126122834-AD70-AF70</f>
        <v>28387834</v>
      </c>
      <c r="AH70" s="1012">
        <v>28387834</v>
      </c>
      <c r="AI70" s="1012">
        <v>0</v>
      </c>
      <c r="AJ70" s="1012">
        <v>0</v>
      </c>
      <c r="AK70" s="1012">
        <f>157987834-AD70-AF70-AH70-AJ70</f>
        <v>31865000</v>
      </c>
      <c r="AL70" s="1012">
        <v>31865000</v>
      </c>
      <c r="AM70" s="1012">
        <v>2072019</v>
      </c>
      <c r="AN70" s="1012">
        <v>2072019</v>
      </c>
      <c r="AO70" s="1012">
        <v>0</v>
      </c>
      <c r="AP70" s="1012">
        <v>0</v>
      </c>
      <c r="AQ70" s="1012"/>
      <c r="AR70" s="1012"/>
      <c r="AS70" s="1012"/>
      <c r="AT70" s="1012">
        <v>0</v>
      </c>
      <c r="AU70" s="1012"/>
      <c r="AV70" s="1012">
        <v>0</v>
      </c>
      <c r="AW70" s="1012"/>
      <c r="AX70" s="1012"/>
      <c r="AY70" s="1012"/>
      <c r="AZ70" s="1012">
        <v>0</v>
      </c>
      <c r="BA70" s="1012">
        <f>AW70+AU70+AS70+AQ70+AO70+AM70+AK70+AI70+AG70+AE70+AC70+AY70</f>
        <v>160059853</v>
      </c>
      <c r="BB70" s="1012">
        <f t="shared" si="185"/>
        <v>160059853</v>
      </c>
      <c r="BC70" s="1012">
        <f t="shared" si="186"/>
        <v>160059853</v>
      </c>
      <c r="BD70" s="1012">
        <f>BA70</f>
        <v>160059853</v>
      </c>
      <c r="BE70" s="1012">
        <f t="shared" si="187"/>
        <v>160059853</v>
      </c>
      <c r="BF70" s="1012">
        <v>0</v>
      </c>
      <c r="BG70" s="1012"/>
      <c r="BH70" s="1012"/>
      <c r="BI70" s="1012"/>
      <c r="BJ70" s="1012"/>
      <c r="BK70" s="1012"/>
      <c r="BL70" s="1012"/>
      <c r="BM70" s="1012"/>
      <c r="BN70" s="1012"/>
      <c r="BO70" s="1012"/>
      <c r="BP70" s="1012"/>
      <c r="BQ70" s="1012"/>
      <c r="BR70" s="1012"/>
      <c r="BS70" s="1012">
        <v>0</v>
      </c>
      <c r="BT70" s="1012">
        <v>0</v>
      </c>
      <c r="BU70" s="1012"/>
      <c r="BV70" s="1012"/>
      <c r="BW70" s="1012"/>
      <c r="BX70" s="1012"/>
      <c r="BY70" s="1012"/>
      <c r="BZ70" s="1012"/>
      <c r="CA70" s="1012"/>
      <c r="CB70" s="1012"/>
      <c r="CC70" s="1012"/>
      <c r="CD70" s="1012"/>
      <c r="CE70" s="1012">
        <f>CA70+BY70+BW70+BU70+BS70+BQ70+BO70+BM70+BK70+BI70+BG70+CC70</f>
        <v>0</v>
      </c>
      <c r="CF70" s="1012">
        <f t="shared" si="188"/>
        <v>0</v>
      </c>
      <c r="CG70" s="1012">
        <f t="shared" si="189"/>
        <v>0</v>
      </c>
      <c r="CH70" s="1012">
        <f>CE70</f>
        <v>0</v>
      </c>
      <c r="CI70" s="1012">
        <f t="shared" si="190"/>
        <v>0</v>
      </c>
      <c r="CJ70" s="1012"/>
      <c r="CK70" s="1012"/>
      <c r="CL70" s="1012"/>
      <c r="CM70" s="1012"/>
      <c r="CN70" s="1012"/>
      <c r="CO70" s="1012"/>
      <c r="CP70" s="1012"/>
      <c r="CQ70" s="1012"/>
      <c r="CR70" s="1012"/>
      <c r="CS70" s="1012"/>
      <c r="CT70" s="1012"/>
      <c r="CU70" s="1012"/>
      <c r="CV70" s="1012"/>
      <c r="CW70" s="1012"/>
      <c r="CX70" s="1012"/>
      <c r="CY70" s="1012"/>
      <c r="CZ70" s="1012"/>
      <c r="DA70" s="1012"/>
      <c r="DB70" s="1012"/>
      <c r="DC70" s="1012"/>
      <c r="DD70" s="1012"/>
      <c r="DE70" s="1012"/>
      <c r="DF70" s="1012"/>
      <c r="DG70" s="1012"/>
      <c r="DH70" s="1012"/>
      <c r="DI70" s="1020">
        <f>DE70+DC70+DA70+CY70+CW70+CU70+CS70+CQ70+CO70+CM70+CK70+DG70</f>
        <v>0</v>
      </c>
      <c r="DJ70" s="1024">
        <f t="shared" si="191"/>
        <v>0</v>
      </c>
      <c r="DK70" s="1020">
        <f t="shared" si="195"/>
        <v>0</v>
      </c>
      <c r="DL70" s="1020">
        <f t="shared" si="195"/>
        <v>0</v>
      </c>
      <c r="DM70" s="1020">
        <f t="shared" si="195"/>
        <v>0</v>
      </c>
      <c r="DN70" s="1012"/>
      <c r="DO70" s="1015"/>
      <c r="DP70" s="1015"/>
      <c r="DQ70" s="1015"/>
      <c r="DR70" s="1015"/>
      <c r="DS70" s="1015"/>
      <c r="DT70" s="1015"/>
      <c r="DU70" s="1015"/>
      <c r="DV70" s="1015"/>
      <c r="DW70" s="1015"/>
      <c r="DX70" s="1015"/>
      <c r="DY70" s="1015"/>
      <c r="DZ70" s="1015"/>
      <c r="EA70" s="1015"/>
      <c r="EB70" s="1015"/>
      <c r="EC70" s="1015"/>
      <c r="ED70" s="1015"/>
      <c r="EE70" s="1015"/>
      <c r="EF70" s="1015"/>
      <c r="EG70" s="1015"/>
      <c r="EH70" s="1015"/>
      <c r="EI70" s="1015"/>
      <c r="EJ70" s="1015"/>
      <c r="EK70" s="1015"/>
      <c r="EL70" s="1015"/>
      <c r="EM70" s="1006">
        <f>EI70+EG70+EE70+EC70+EA70+DY70+DW70+DU70+DS70+DQ70+DO70+EK70</f>
        <v>0</v>
      </c>
      <c r="EN70" s="1055">
        <f t="shared" si="192"/>
        <v>0</v>
      </c>
      <c r="EO70" s="1055">
        <f t="shared" si="192"/>
        <v>0</v>
      </c>
      <c r="EP70" s="1115">
        <f>DQ70+DS70+DU70+DW70+DY70+EA70+EC70+EE70+EG70+EI70+EK70+DO70</f>
        <v>0</v>
      </c>
      <c r="EQ70" s="1006">
        <f t="shared" si="51"/>
        <v>0</v>
      </c>
      <c r="ER70" s="1007">
        <f t="shared" si="26"/>
        <v>0</v>
      </c>
      <c r="ES70" s="1007">
        <f t="shared" si="193"/>
        <v>0</v>
      </c>
      <c r="ET70" s="1016">
        <f t="shared" si="194"/>
        <v>0</v>
      </c>
      <c r="EU70" s="1016">
        <f t="shared" si="23"/>
        <v>1</v>
      </c>
      <c r="EV70" s="1016">
        <f>IFERROR((AA70+BE70+CI70+DM70+EQ70)/G70,0)</f>
        <v>1</v>
      </c>
      <c r="EW70" s="1018"/>
      <c r="EX70" s="1018"/>
      <c r="EY70" s="1018"/>
      <c r="EZ70" s="1018"/>
      <c r="FA70" s="1018"/>
      <c r="FB70" s="777"/>
      <c r="FC70" s="83"/>
      <c r="FD70" s="83"/>
    </row>
    <row r="71" spans="1:160" ht="30" customHeight="1" thickBot="1" x14ac:dyDescent="0.3">
      <c r="A71" s="710"/>
      <c r="B71" s="710"/>
      <c r="C71" s="710"/>
      <c r="D71" s="710"/>
      <c r="E71" s="710"/>
      <c r="F71" s="79" t="s">
        <v>347</v>
      </c>
      <c r="G71" s="1033">
        <f>G66+G69</f>
        <v>1</v>
      </c>
      <c r="H71" s="1062">
        <v>1</v>
      </c>
      <c r="I71" s="1063"/>
      <c r="J71" s="1063"/>
      <c r="K71" s="1063">
        <v>1</v>
      </c>
      <c r="L71" s="1063">
        <v>0</v>
      </c>
      <c r="M71" s="1063">
        <v>1</v>
      </c>
      <c r="N71" s="1064">
        <v>0</v>
      </c>
      <c r="O71" s="1063">
        <v>1</v>
      </c>
      <c r="P71" s="1064">
        <v>0</v>
      </c>
      <c r="Q71" s="1063">
        <v>1</v>
      </c>
      <c r="R71" s="1065">
        <v>0.5</v>
      </c>
      <c r="S71" s="1063">
        <v>1</v>
      </c>
      <c r="T71" s="1039">
        <v>0.7</v>
      </c>
      <c r="U71" s="1033">
        <v>1</v>
      </c>
      <c r="V71" s="1033">
        <v>0.9</v>
      </c>
      <c r="W71" s="1038">
        <f t="shared" si="181"/>
        <v>1</v>
      </c>
      <c r="X71" s="1038">
        <f t="shared" si="182"/>
        <v>1</v>
      </c>
      <c r="Y71" s="1038">
        <f t="shared" si="183"/>
        <v>0.9</v>
      </c>
      <c r="Z71" s="1038">
        <f t="shared" si="184"/>
        <v>1</v>
      </c>
      <c r="AA71" s="1038">
        <f t="shared" si="184"/>
        <v>0.9</v>
      </c>
      <c r="AB71" s="1039">
        <v>0.1</v>
      </c>
      <c r="AC71" s="1042">
        <v>0.05</v>
      </c>
      <c r="AD71" s="1042">
        <v>0.05</v>
      </c>
      <c r="AE71" s="1042">
        <v>0.1</v>
      </c>
      <c r="AF71" s="1042">
        <v>0.1</v>
      </c>
      <c r="AG71" s="1042">
        <v>0</v>
      </c>
      <c r="AH71" s="1042">
        <v>0</v>
      </c>
      <c r="AI71" s="1042">
        <v>0</v>
      </c>
      <c r="AJ71" s="1042">
        <v>0</v>
      </c>
      <c r="AK71" s="1039">
        <v>0</v>
      </c>
      <c r="AL71" s="1039">
        <v>0</v>
      </c>
      <c r="AM71" s="1039"/>
      <c r="AN71" s="1039"/>
      <c r="AO71" s="1039">
        <v>0</v>
      </c>
      <c r="AP71" s="1039">
        <v>0</v>
      </c>
      <c r="AQ71" s="1039"/>
      <c r="AR71" s="1039"/>
      <c r="AS71" s="1039"/>
      <c r="AT71" s="1039"/>
      <c r="AU71" s="1039"/>
      <c r="AV71" s="1039">
        <v>0</v>
      </c>
      <c r="AW71" s="1039"/>
      <c r="AX71" s="1039"/>
      <c r="AY71" s="1039"/>
      <c r="AZ71" s="1039">
        <v>0</v>
      </c>
      <c r="BA71" s="1039">
        <f>BA66+BA69</f>
        <v>0.1</v>
      </c>
      <c r="BB71" s="1038">
        <f t="shared" si="185"/>
        <v>0.15000000000000002</v>
      </c>
      <c r="BC71" s="1038">
        <f t="shared" si="186"/>
        <v>0.15000000000000002</v>
      </c>
      <c r="BD71" s="1038">
        <f>BD66+BD69</f>
        <v>0.1</v>
      </c>
      <c r="BE71" s="1038">
        <f>BE66+BE69</f>
        <v>0.1</v>
      </c>
      <c r="BF71" s="1039">
        <v>0</v>
      </c>
      <c r="BG71" s="1039"/>
      <c r="BH71" s="1039"/>
      <c r="BI71" s="1039"/>
      <c r="BJ71" s="1039"/>
      <c r="BK71" s="1039"/>
      <c r="BL71" s="1039"/>
      <c r="BM71" s="1039"/>
      <c r="BN71" s="1039"/>
      <c r="BO71" s="1039"/>
      <c r="BP71" s="1039"/>
      <c r="BQ71" s="1039"/>
      <c r="BR71" s="1039"/>
      <c r="BS71" s="1039">
        <v>0</v>
      </c>
      <c r="BT71" s="1039">
        <v>0</v>
      </c>
      <c r="BU71" s="1039"/>
      <c r="BV71" s="1039"/>
      <c r="BW71" s="1039"/>
      <c r="BX71" s="1038"/>
      <c r="BY71" s="1038"/>
      <c r="BZ71" s="1038"/>
      <c r="CA71" s="1038"/>
      <c r="CB71" s="1038"/>
      <c r="CC71" s="1038"/>
      <c r="CD71" s="1038"/>
      <c r="CE71" s="1038">
        <f>CE66+CE69</f>
        <v>0</v>
      </c>
      <c r="CF71" s="1038">
        <f t="shared" si="188"/>
        <v>0</v>
      </c>
      <c r="CG71" s="1038">
        <f t="shared" si="189"/>
        <v>0</v>
      </c>
      <c r="CH71" s="1038">
        <f>CH66+CH69</f>
        <v>0</v>
      </c>
      <c r="CI71" s="1038">
        <f t="shared" si="190"/>
        <v>0</v>
      </c>
      <c r="CJ71" s="1039">
        <v>0</v>
      </c>
      <c r="CK71" s="1039"/>
      <c r="CL71" s="1039"/>
      <c r="CM71" s="1039"/>
      <c r="CN71" s="1039"/>
      <c r="CO71" s="1039"/>
      <c r="CP71" s="1039"/>
      <c r="CQ71" s="1039"/>
      <c r="CR71" s="1039"/>
      <c r="CS71" s="1039"/>
      <c r="CT71" s="1039"/>
      <c r="CU71" s="1039"/>
      <c r="CV71" s="1039"/>
      <c r="CW71" s="1039"/>
      <c r="CX71" s="1039"/>
      <c r="CY71" s="1039"/>
      <c r="CZ71" s="1039"/>
      <c r="DA71" s="1039"/>
      <c r="DB71" s="1039"/>
      <c r="DC71" s="1039"/>
      <c r="DD71" s="1039"/>
      <c r="DE71" s="1039"/>
      <c r="DF71" s="1039"/>
      <c r="DG71" s="1039"/>
      <c r="DH71" s="1039"/>
      <c r="DI71" s="1039">
        <f>DE71+DC71+DA71+CY71+CW71+CU71+CS71+CQ71+CO71+CM71+CK71+DG71</f>
        <v>0</v>
      </c>
      <c r="DJ71" s="1038">
        <f t="shared" si="191"/>
        <v>0</v>
      </c>
      <c r="DK71" s="1033">
        <f t="shared" si="195"/>
        <v>0</v>
      </c>
      <c r="DL71" s="1033">
        <f t="shared" si="195"/>
        <v>0</v>
      </c>
      <c r="DM71" s="1033">
        <f t="shared" si="195"/>
        <v>0</v>
      </c>
      <c r="DN71" s="1039">
        <v>0</v>
      </c>
      <c r="DO71" s="1039"/>
      <c r="DP71" s="1039"/>
      <c r="DQ71" s="1039"/>
      <c r="DR71" s="1039"/>
      <c r="DS71" s="1039"/>
      <c r="DT71" s="1039"/>
      <c r="DU71" s="1039"/>
      <c r="DV71" s="1039"/>
      <c r="DW71" s="1039"/>
      <c r="DX71" s="1039"/>
      <c r="DY71" s="1039"/>
      <c r="DZ71" s="1039"/>
      <c r="EA71" s="1039"/>
      <c r="EB71" s="1039"/>
      <c r="EC71" s="1039"/>
      <c r="ED71" s="1039"/>
      <c r="EE71" s="1039"/>
      <c r="EF71" s="1039"/>
      <c r="EG71" s="1039"/>
      <c r="EH71" s="1039"/>
      <c r="EI71" s="1039"/>
      <c r="EJ71" s="1039"/>
      <c r="EK71" s="1039"/>
      <c r="EL71" s="1039"/>
      <c r="EM71" s="1039">
        <f>EI71+EG71+EE71+EC71+EA71+DY71+DW71+DU71+DS71+DQ71+DO71+EK71</f>
        <v>0</v>
      </c>
      <c r="EN71" s="1044">
        <f t="shared" si="192"/>
        <v>0</v>
      </c>
      <c r="EO71" s="1044">
        <f t="shared" si="192"/>
        <v>0</v>
      </c>
      <c r="EP71" s="1067">
        <f>DQ71+DS71+DU71+DW71+DY71+EA71+EC71+EE71+EG71+EI71+EK71+DO71</f>
        <v>0</v>
      </c>
      <c r="EQ71" s="1039">
        <f t="shared" si="51"/>
        <v>0</v>
      </c>
      <c r="ER71" s="1045">
        <f t="shared" si="26"/>
        <v>0</v>
      </c>
      <c r="ES71" s="1045">
        <f t="shared" si="193"/>
        <v>0</v>
      </c>
      <c r="ET71" s="1046">
        <f t="shared" si="194"/>
        <v>0</v>
      </c>
      <c r="EU71" s="1046">
        <f t="shared" si="23"/>
        <v>0.90909090909090906</v>
      </c>
      <c r="EV71" s="1046">
        <f>(AA71+BE71+CI71+DM71+EQ71)/G71</f>
        <v>1</v>
      </c>
      <c r="EW71" s="1018"/>
      <c r="EX71" s="1018"/>
      <c r="EY71" s="1018"/>
      <c r="EZ71" s="1018"/>
      <c r="FA71" s="1018"/>
      <c r="FB71" s="777"/>
      <c r="FC71" s="83"/>
      <c r="FD71" s="83"/>
    </row>
    <row r="72" spans="1:160" ht="30" customHeight="1" thickBot="1" x14ac:dyDescent="0.3">
      <c r="A72" s="710"/>
      <c r="B72" s="731"/>
      <c r="C72" s="731"/>
      <c r="D72" s="731"/>
      <c r="E72" s="731"/>
      <c r="F72" s="81" t="s">
        <v>348</v>
      </c>
      <c r="G72" s="646">
        <f>G67+G70</f>
        <v>584335853</v>
      </c>
      <c r="H72" s="647">
        <f t="shared" ref="H72:DN72" si="196">H67+H70</f>
        <v>334120000</v>
      </c>
      <c r="I72" s="647">
        <f t="shared" si="196"/>
        <v>0</v>
      </c>
      <c r="J72" s="647">
        <f t="shared" si="196"/>
        <v>0</v>
      </c>
      <c r="K72" s="647">
        <f t="shared" si="196"/>
        <v>334120000</v>
      </c>
      <c r="L72" s="647">
        <f t="shared" si="196"/>
        <v>40000000</v>
      </c>
      <c r="M72" s="647">
        <f t="shared" si="196"/>
        <v>400424000</v>
      </c>
      <c r="N72" s="647">
        <f t="shared" si="196"/>
        <v>318184000</v>
      </c>
      <c r="O72" s="647">
        <f t="shared" si="196"/>
        <v>478424000</v>
      </c>
      <c r="P72" s="647">
        <f t="shared" si="196"/>
        <v>318184000</v>
      </c>
      <c r="Q72" s="647">
        <f t="shared" si="196"/>
        <v>491805000</v>
      </c>
      <c r="R72" s="647">
        <f t="shared" si="196"/>
        <v>318184000</v>
      </c>
      <c r="S72" s="647">
        <f t="shared" si="196"/>
        <v>463576000</v>
      </c>
      <c r="T72" s="647">
        <f t="shared" si="196"/>
        <v>318184000</v>
      </c>
      <c r="U72" s="647">
        <f t="shared" si="196"/>
        <v>463576000</v>
      </c>
      <c r="V72" s="647">
        <f t="shared" si="196"/>
        <v>424276000</v>
      </c>
      <c r="W72" s="647">
        <f t="shared" si="196"/>
        <v>334120000</v>
      </c>
      <c r="X72" s="647">
        <f t="shared" si="196"/>
        <v>334120000</v>
      </c>
      <c r="Y72" s="647">
        <f t="shared" si="196"/>
        <v>424276000</v>
      </c>
      <c r="Z72" s="647">
        <f t="shared" si="196"/>
        <v>463576000</v>
      </c>
      <c r="AA72" s="647">
        <f t="shared" si="196"/>
        <v>424276000</v>
      </c>
      <c r="AB72" s="647">
        <f t="shared" si="196"/>
        <v>160059853</v>
      </c>
      <c r="AC72" s="647">
        <f t="shared" si="196"/>
        <v>33914000</v>
      </c>
      <c r="AD72" s="647">
        <f t="shared" si="196"/>
        <v>33914000</v>
      </c>
      <c r="AE72" s="647">
        <f t="shared" si="196"/>
        <v>63821000</v>
      </c>
      <c r="AF72" s="647">
        <f t="shared" si="196"/>
        <v>63821000</v>
      </c>
      <c r="AG72" s="647">
        <f t="shared" si="196"/>
        <v>28387834</v>
      </c>
      <c r="AH72" s="647">
        <f t="shared" si="196"/>
        <v>28387834</v>
      </c>
      <c r="AI72" s="647">
        <f t="shared" si="196"/>
        <v>0</v>
      </c>
      <c r="AJ72" s="647">
        <f t="shared" si="196"/>
        <v>0</v>
      </c>
      <c r="AK72" s="647">
        <f t="shared" si="196"/>
        <v>31865000</v>
      </c>
      <c r="AL72" s="647">
        <f t="shared" si="196"/>
        <v>31865000</v>
      </c>
      <c r="AM72" s="647">
        <f t="shared" si="196"/>
        <v>2072019</v>
      </c>
      <c r="AN72" s="647">
        <f t="shared" si="196"/>
        <v>2072019</v>
      </c>
      <c r="AO72" s="647">
        <f t="shared" si="196"/>
        <v>0</v>
      </c>
      <c r="AP72" s="647">
        <f t="shared" si="196"/>
        <v>0</v>
      </c>
      <c r="AQ72" s="647">
        <f t="shared" si="196"/>
        <v>0</v>
      </c>
      <c r="AR72" s="647">
        <f t="shared" si="196"/>
        <v>0</v>
      </c>
      <c r="AS72" s="647">
        <f t="shared" si="196"/>
        <v>0</v>
      </c>
      <c r="AT72" s="647">
        <f t="shared" si="196"/>
        <v>0</v>
      </c>
      <c r="AU72" s="647">
        <f t="shared" si="196"/>
        <v>0</v>
      </c>
      <c r="AV72" s="647">
        <f t="shared" si="196"/>
        <v>0</v>
      </c>
      <c r="AW72" s="647">
        <f t="shared" si="196"/>
        <v>0</v>
      </c>
      <c r="AX72" s="647">
        <f t="shared" si="196"/>
        <v>0</v>
      </c>
      <c r="AY72" s="647">
        <f t="shared" si="196"/>
        <v>0</v>
      </c>
      <c r="AZ72" s="647">
        <f t="shared" si="196"/>
        <v>0</v>
      </c>
      <c r="BA72" s="647">
        <f t="shared" si="196"/>
        <v>160059853</v>
      </c>
      <c r="BB72" s="647">
        <f t="shared" si="196"/>
        <v>160059853</v>
      </c>
      <c r="BC72" s="647">
        <f t="shared" si="196"/>
        <v>160059853</v>
      </c>
      <c r="BD72" s="647">
        <f t="shared" si="196"/>
        <v>160059853</v>
      </c>
      <c r="BE72" s="647">
        <f t="shared" si="196"/>
        <v>160059853</v>
      </c>
      <c r="BF72" s="647">
        <f t="shared" si="196"/>
        <v>0</v>
      </c>
      <c r="BG72" s="647">
        <f t="shared" si="196"/>
        <v>0</v>
      </c>
      <c r="BH72" s="647">
        <f t="shared" si="196"/>
        <v>0</v>
      </c>
      <c r="BI72" s="647">
        <f t="shared" si="196"/>
        <v>0</v>
      </c>
      <c r="BJ72" s="647">
        <f t="shared" si="196"/>
        <v>0</v>
      </c>
      <c r="BK72" s="647">
        <f t="shared" si="196"/>
        <v>0</v>
      </c>
      <c r="BL72" s="647">
        <f t="shared" si="196"/>
        <v>0</v>
      </c>
      <c r="BM72" s="647">
        <f t="shared" si="196"/>
        <v>0</v>
      </c>
      <c r="BN72" s="647">
        <f t="shared" si="196"/>
        <v>0</v>
      </c>
      <c r="BO72" s="647">
        <f t="shared" si="196"/>
        <v>0</v>
      </c>
      <c r="BP72" s="647">
        <f t="shared" si="196"/>
        <v>0</v>
      </c>
      <c r="BQ72" s="647">
        <f t="shared" si="196"/>
        <v>0</v>
      </c>
      <c r="BR72" s="647">
        <f t="shared" si="196"/>
        <v>0</v>
      </c>
      <c r="BS72" s="647">
        <f t="shared" si="196"/>
        <v>0</v>
      </c>
      <c r="BT72" s="647">
        <f t="shared" si="196"/>
        <v>0</v>
      </c>
      <c r="BU72" s="647">
        <f t="shared" si="196"/>
        <v>0</v>
      </c>
      <c r="BV72" s="647">
        <f t="shared" si="196"/>
        <v>0</v>
      </c>
      <c r="BW72" s="647">
        <f t="shared" si="196"/>
        <v>0</v>
      </c>
      <c r="BX72" s="647">
        <f t="shared" si="196"/>
        <v>0</v>
      </c>
      <c r="BY72" s="647">
        <f t="shared" si="196"/>
        <v>0</v>
      </c>
      <c r="BZ72" s="647">
        <f t="shared" si="196"/>
        <v>0</v>
      </c>
      <c r="CA72" s="647">
        <f t="shared" si="196"/>
        <v>0</v>
      </c>
      <c r="CB72" s="647">
        <f t="shared" si="196"/>
        <v>0</v>
      </c>
      <c r="CC72" s="647">
        <f t="shared" si="196"/>
        <v>0</v>
      </c>
      <c r="CD72" s="647">
        <f t="shared" si="196"/>
        <v>0</v>
      </c>
      <c r="CE72" s="647">
        <f t="shared" si="196"/>
        <v>0</v>
      </c>
      <c r="CF72" s="647">
        <f t="shared" si="196"/>
        <v>0</v>
      </c>
      <c r="CG72" s="647">
        <f t="shared" si="196"/>
        <v>0</v>
      </c>
      <c r="CH72" s="647">
        <f t="shared" si="196"/>
        <v>0</v>
      </c>
      <c r="CI72" s="647">
        <f t="shared" si="196"/>
        <v>0</v>
      </c>
      <c r="CJ72" s="647">
        <f t="shared" si="196"/>
        <v>0</v>
      </c>
      <c r="CK72" s="647">
        <f t="shared" si="196"/>
        <v>0</v>
      </c>
      <c r="CL72" s="647">
        <f t="shared" si="196"/>
        <v>0</v>
      </c>
      <c r="CM72" s="647">
        <f t="shared" si="196"/>
        <v>0</v>
      </c>
      <c r="CN72" s="647">
        <f t="shared" si="196"/>
        <v>0</v>
      </c>
      <c r="CO72" s="647">
        <f t="shared" si="196"/>
        <v>0</v>
      </c>
      <c r="CP72" s="647">
        <f t="shared" si="196"/>
        <v>0</v>
      </c>
      <c r="CQ72" s="647">
        <f t="shared" si="196"/>
        <v>0</v>
      </c>
      <c r="CR72" s="647">
        <f t="shared" si="196"/>
        <v>0</v>
      </c>
      <c r="CS72" s="647">
        <f t="shared" si="196"/>
        <v>0</v>
      </c>
      <c r="CT72" s="647">
        <f t="shared" si="196"/>
        <v>0</v>
      </c>
      <c r="CU72" s="647">
        <f t="shared" si="196"/>
        <v>0</v>
      </c>
      <c r="CV72" s="647">
        <f t="shared" si="196"/>
        <v>0</v>
      </c>
      <c r="CW72" s="647">
        <f t="shared" si="196"/>
        <v>0</v>
      </c>
      <c r="CX72" s="647">
        <f t="shared" si="196"/>
        <v>0</v>
      </c>
      <c r="CY72" s="647">
        <f t="shared" si="196"/>
        <v>0</v>
      </c>
      <c r="CZ72" s="647">
        <f t="shared" si="196"/>
        <v>0</v>
      </c>
      <c r="DA72" s="647">
        <f t="shared" si="196"/>
        <v>0</v>
      </c>
      <c r="DB72" s="647">
        <f t="shared" si="196"/>
        <v>0</v>
      </c>
      <c r="DC72" s="647">
        <f t="shared" si="196"/>
        <v>0</v>
      </c>
      <c r="DD72" s="647">
        <f t="shared" si="196"/>
        <v>0</v>
      </c>
      <c r="DE72" s="647">
        <f t="shared" si="196"/>
        <v>0</v>
      </c>
      <c r="DF72" s="647">
        <f t="shared" si="196"/>
        <v>0</v>
      </c>
      <c r="DG72" s="647">
        <f t="shared" si="196"/>
        <v>0</v>
      </c>
      <c r="DH72" s="647">
        <f t="shared" si="196"/>
        <v>0</v>
      </c>
      <c r="DI72" s="647">
        <f t="shared" si="196"/>
        <v>0</v>
      </c>
      <c r="DJ72" s="647">
        <f t="shared" si="196"/>
        <v>0</v>
      </c>
      <c r="DK72" s="647">
        <f t="shared" si="196"/>
        <v>0</v>
      </c>
      <c r="DL72" s="647">
        <f t="shared" si="196"/>
        <v>0</v>
      </c>
      <c r="DM72" s="647">
        <f t="shared" si="196"/>
        <v>0</v>
      </c>
      <c r="DN72" s="647">
        <f t="shared" si="196"/>
        <v>0</v>
      </c>
      <c r="DO72" s="652"/>
      <c r="DP72" s="652"/>
      <c r="DQ72" s="652"/>
      <c r="DR72" s="652"/>
      <c r="DS72" s="652"/>
      <c r="DT72" s="652"/>
      <c r="DU72" s="652"/>
      <c r="DV72" s="652"/>
      <c r="DW72" s="652"/>
      <c r="DX72" s="652"/>
      <c r="DY72" s="652"/>
      <c r="DZ72" s="652"/>
      <c r="EA72" s="652"/>
      <c r="EB72" s="652"/>
      <c r="EC72" s="652"/>
      <c r="ED72" s="652"/>
      <c r="EE72" s="652"/>
      <c r="EF72" s="652"/>
      <c r="EG72" s="652"/>
      <c r="EH72" s="652"/>
      <c r="EI72" s="652"/>
      <c r="EJ72" s="652"/>
      <c r="EK72" s="652"/>
      <c r="EL72" s="652"/>
      <c r="EM72" s="653">
        <f>EK72+EI72+EG72+EE72+EC72+EA72+DY72+DW72+DU72+DS72+DQ72+DO72</f>
        <v>0</v>
      </c>
      <c r="EN72" s="654">
        <f>+EN67+EN70</f>
        <v>0</v>
      </c>
      <c r="EO72" s="654">
        <f>EO67+EO70</f>
        <v>0</v>
      </c>
      <c r="EP72" s="654">
        <f>+EP67+EP70</f>
        <v>0</v>
      </c>
      <c r="EQ72" s="654">
        <f>+EQ67+EQ70</f>
        <v>0</v>
      </c>
      <c r="ER72" s="648">
        <f t="shared" si="26"/>
        <v>0</v>
      </c>
      <c r="ES72" s="648">
        <f t="shared" si="193"/>
        <v>0</v>
      </c>
      <c r="ET72" s="649">
        <f t="shared" si="194"/>
        <v>0</v>
      </c>
      <c r="EU72" s="649">
        <f t="shared" si="23"/>
        <v>0.9369824556895705</v>
      </c>
      <c r="EV72" s="650">
        <f t="shared" si="24"/>
        <v>1</v>
      </c>
      <c r="EW72" s="1047"/>
      <c r="EX72" s="1048"/>
      <c r="EY72" s="1048"/>
      <c r="EZ72" s="1048"/>
      <c r="FA72" s="1048"/>
      <c r="FB72" s="778"/>
      <c r="FC72" s="86"/>
      <c r="FD72" s="86"/>
    </row>
    <row r="73" spans="1:160" ht="30" customHeight="1" x14ac:dyDescent="0.25">
      <c r="A73" s="710"/>
      <c r="B73" s="759">
        <v>10</v>
      </c>
      <c r="C73" s="758" t="s">
        <v>370</v>
      </c>
      <c r="D73" s="758" t="s">
        <v>177</v>
      </c>
      <c r="E73" s="758">
        <v>198</v>
      </c>
      <c r="F73" s="73" t="s">
        <v>340</v>
      </c>
      <c r="G73" s="651">
        <f>AA73+BE73+CI73+DM73+EP73</f>
        <v>100</v>
      </c>
      <c r="H73" s="1116">
        <v>12.5</v>
      </c>
      <c r="I73" s="995"/>
      <c r="J73" s="995"/>
      <c r="K73" s="996">
        <v>12.5</v>
      </c>
      <c r="L73" s="997">
        <v>2</v>
      </c>
      <c r="M73" s="996">
        <v>12.5</v>
      </c>
      <c r="N73" s="996">
        <v>4.0999999999999996</v>
      </c>
      <c r="O73" s="996">
        <v>12.5</v>
      </c>
      <c r="P73" s="996">
        <v>6.2</v>
      </c>
      <c r="Q73" s="996">
        <v>12.5</v>
      </c>
      <c r="R73" s="996">
        <v>8.3000000000000007</v>
      </c>
      <c r="S73" s="996">
        <v>12.5</v>
      </c>
      <c r="T73" s="997">
        <v>10.4</v>
      </c>
      <c r="U73" s="996">
        <v>12.5</v>
      </c>
      <c r="V73" s="996">
        <v>12.5</v>
      </c>
      <c r="W73" s="1001">
        <f t="shared" ref="W73:W78" si="197">+H73</f>
        <v>12.5</v>
      </c>
      <c r="X73" s="1001">
        <f t="shared" ref="X73:X78" si="198">+H73</f>
        <v>12.5</v>
      </c>
      <c r="Y73" s="1001">
        <f t="shared" ref="Y73:Y78" si="199">+V73</f>
        <v>12.5</v>
      </c>
      <c r="Z73" s="1001">
        <f t="shared" ref="Z73:AA78" si="200">+U73</f>
        <v>12.5</v>
      </c>
      <c r="AA73" s="1001">
        <f t="shared" si="200"/>
        <v>12.5</v>
      </c>
      <c r="AB73" s="996">
        <v>15</v>
      </c>
      <c r="AC73" s="1002">
        <v>1.25</v>
      </c>
      <c r="AD73" s="1002">
        <v>1.25</v>
      </c>
      <c r="AE73" s="1002">
        <v>1.25</v>
      </c>
      <c r="AF73" s="1002">
        <v>1.25</v>
      </c>
      <c r="AG73" s="1002">
        <v>1.25</v>
      </c>
      <c r="AH73" s="1002">
        <v>1.25</v>
      </c>
      <c r="AI73" s="1002">
        <v>1.25</v>
      </c>
      <c r="AJ73" s="1002">
        <v>1.25</v>
      </c>
      <c r="AK73" s="1002">
        <v>1.25</v>
      </c>
      <c r="AL73" s="1002">
        <v>1.25</v>
      </c>
      <c r="AM73" s="1002">
        <v>1.25</v>
      </c>
      <c r="AN73" s="1002">
        <v>1.25</v>
      </c>
      <c r="AO73" s="1002">
        <v>1.25</v>
      </c>
      <c r="AP73" s="1002">
        <v>1.25</v>
      </c>
      <c r="AQ73" s="1002">
        <v>1.25</v>
      </c>
      <c r="AR73" s="1002">
        <v>1.25</v>
      </c>
      <c r="AS73" s="1002">
        <v>1.25</v>
      </c>
      <c r="AT73" s="1002">
        <v>1.25</v>
      </c>
      <c r="AU73" s="1002">
        <v>1.25</v>
      </c>
      <c r="AV73" s="1002">
        <v>1.25</v>
      </c>
      <c r="AW73" s="1002">
        <v>1.25</v>
      </c>
      <c r="AX73" s="1002">
        <v>1.25</v>
      </c>
      <c r="AY73" s="1002">
        <v>1.25</v>
      </c>
      <c r="AZ73" s="1002">
        <v>1.25</v>
      </c>
      <c r="BA73" s="1001">
        <f>AY73+AW73+AU73+AS73+AO73+AM73+AK73+AI73+AG73+AE73+AC73+AQ73</f>
        <v>15</v>
      </c>
      <c r="BB73" s="1001">
        <f t="shared" ref="BB73:BB78" si="201">AC73+AE73+AG73+AI73+AK73+AM73+AO73+AQ73+AS73+AU73+AW73+AY73</f>
        <v>15</v>
      </c>
      <c r="BC73" s="998">
        <f t="shared" ref="BC73:BC78" si="202">+AN73+AD73+AF73+AH73+AJ73+AL73+AP73+AR73+AT73+AV73+AX73+AZ73</f>
        <v>15</v>
      </c>
      <c r="BD73" s="1001">
        <f>BA73</f>
        <v>15</v>
      </c>
      <c r="BE73" s="998">
        <f>AF73+AH73+AJ73+AL73+AD73+AN73+AP73+AR73+AT73+AV73+AX73+AZ73</f>
        <v>15</v>
      </c>
      <c r="BF73" s="995">
        <v>25</v>
      </c>
      <c r="BG73" s="996">
        <v>2.0699999999999998</v>
      </c>
      <c r="BH73" s="996">
        <v>2.0699999999999998</v>
      </c>
      <c r="BI73" s="996">
        <v>2.0699999999999998</v>
      </c>
      <c r="BJ73" s="996">
        <v>2.0699999999999998</v>
      </c>
      <c r="BK73" s="996">
        <v>2.08</v>
      </c>
      <c r="BL73" s="996">
        <v>2.08</v>
      </c>
      <c r="BM73" s="996">
        <v>2.08</v>
      </c>
      <c r="BN73" s="996">
        <v>2.08</v>
      </c>
      <c r="BO73" s="996">
        <v>2.08</v>
      </c>
      <c r="BP73" s="996">
        <v>2.08</v>
      </c>
      <c r="BQ73" s="996">
        <v>2.09</v>
      </c>
      <c r="BR73" s="996">
        <v>2.09</v>
      </c>
      <c r="BS73" s="996">
        <v>2.09</v>
      </c>
      <c r="BT73" s="996">
        <v>2.09</v>
      </c>
      <c r="BU73" s="996">
        <v>2.1</v>
      </c>
      <c r="BV73" s="996">
        <v>2.1</v>
      </c>
      <c r="BW73" s="996">
        <v>2.09</v>
      </c>
      <c r="BX73" s="996">
        <v>2.09</v>
      </c>
      <c r="BY73" s="996">
        <v>2.1</v>
      </c>
      <c r="BZ73" s="1070">
        <v>2.1</v>
      </c>
      <c r="CA73" s="996">
        <v>2.08</v>
      </c>
      <c r="CB73" s="996">
        <v>2.08</v>
      </c>
      <c r="CC73" s="996">
        <v>2.0699999999999998</v>
      </c>
      <c r="CD73" s="996">
        <v>2.0699999999999998</v>
      </c>
      <c r="CE73" s="1001">
        <f>CC73+CA73+BY73+BW73+BS73+BQ73+BO73+BM73+BK73+BI73+BG73+BU73</f>
        <v>25</v>
      </c>
      <c r="CF73" s="1001">
        <f t="shared" ref="CF73:CF78" si="203">+BG73+BI73+BK73+BM73+BO73+BQ73+BS73+BU73+BW73+BY73+CA73+CC73</f>
        <v>25</v>
      </c>
      <c r="CG73" s="998">
        <f t="shared" ref="CG73:CG78" si="204">+BR73+BH73+BJ73+BL73+BN73+BP73+BT73+BV73+BX73+BZ73+CB73+CD73</f>
        <v>25</v>
      </c>
      <c r="CH73" s="1001">
        <f>CE73</f>
        <v>25</v>
      </c>
      <c r="CI73" s="998">
        <f>BJ73+BL73+BN73+BP73+BH73+BR73+BT73+BV73+BX73+BZ73+CB73+CD73</f>
        <v>25</v>
      </c>
      <c r="CJ73" s="995">
        <v>35</v>
      </c>
      <c r="CK73" s="996">
        <v>2.2000000000000002</v>
      </c>
      <c r="CL73" s="996">
        <v>2.2000000000000002</v>
      </c>
      <c r="CM73" s="1117">
        <v>3</v>
      </c>
      <c r="CN73" s="1117">
        <v>3</v>
      </c>
      <c r="CO73" s="1117">
        <v>3</v>
      </c>
      <c r="CP73" s="1117">
        <v>3</v>
      </c>
      <c r="CQ73" s="1117">
        <v>3</v>
      </c>
      <c r="CR73" s="1117">
        <v>3</v>
      </c>
      <c r="CS73" s="1117">
        <v>3</v>
      </c>
      <c r="CT73" s="1117">
        <v>3</v>
      </c>
      <c r="CU73" s="1117">
        <v>3</v>
      </c>
      <c r="CV73" s="1117">
        <v>3</v>
      </c>
      <c r="CW73" s="1117">
        <v>3</v>
      </c>
      <c r="CX73" s="1117">
        <v>3</v>
      </c>
      <c r="CY73" s="1117">
        <v>3</v>
      </c>
      <c r="CZ73" s="1117">
        <v>3</v>
      </c>
      <c r="DA73" s="1117">
        <v>3</v>
      </c>
      <c r="DB73" s="1117">
        <v>3</v>
      </c>
      <c r="DC73" s="1117">
        <v>3</v>
      </c>
      <c r="DD73" s="1117">
        <v>3</v>
      </c>
      <c r="DE73" s="1117">
        <v>3</v>
      </c>
      <c r="DF73" s="1117">
        <v>3</v>
      </c>
      <c r="DG73" s="1117">
        <v>2.8</v>
      </c>
      <c r="DH73" s="1117">
        <v>2.8</v>
      </c>
      <c r="DI73" s="998">
        <f>DG73+DE73+DC73+DA73+CY73+CW73+CU73+CS73+CQ73+CO73+CM73+CK73</f>
        <v>35</v>
      </c>
      <c r="DJ73" s="998">
        <f t="shared" ref="DJ73:DK78" si="205">CK73+CM73+CO73+CQ73+CS73+CU73+CW73+CY73+DA73+DC73+DE73+DG73</f>
        <v>35</v>
      </c>
      <c r="DK73" s="998">
        <f t="shared" si="205"/>
        <v>35</v>
      </c>
      <c r="DL73" s="1001">
        <f t="shared" ref="DL73:DL78" si="206">DI73</f>
        <v>35</v>
      </c>
      <c r="DM73" s="998">
        <f t="shared" ref="DM73:DM78" si="207">CN73+CP73+CR73+CT73+CL73+CV73+CX73+CZ73+DB73+DD73+DF73+DH73</f>
        <v>35</v>
      </c>
      <c r="DN73" s="1070">
        <v>12.5</v>
      </c>
      <c r="DO73" s="1118">
        <v>2.08</v>
      </c>
      <c r="DP73" s="1118">
        <v>2.08</v>
      </c>
      <c r="DQ73" s="1118">
        <v>2.08</v>
      </c>
      <c r="DR73" s="1118">
        <v>2.08</v>
      </c>
      <c r="DS73" s="1118">
        <v>2.09</v>
      </c>
      <c r="DT73" s="996">
        <v>2.09</v>
      </c>
      <c r="DU73" s="1118">
        <v>2.09</v>
      </c>
      <c r="DV73" s="1118"/>
      <c r="DW73" s="1118">
        <v>2.08</v>
      </c>
      <c r="DX73" s="1118"/>
      <c r="DY73" s="1118">
        <v>2.08</v>
      </c>
      <c r="DZ73" s="995"/>
      <c r="EA73" s="995"/>
      <c r="EB73" s="995"/>
      <c r="EC73" s="995"/>
      <c r="ED73" s="995"/>
      <c r="EE73" s="995"/>
      <c r="EF73" s="995"/>
      <c r="EG73" s="995"/>
      <c r="EH73" s="995"/>
      <c r="EI73" s="995"/>
      <c r="EJ73" s="995"/>
      <c r="EK73" s="995"/>
      <c r="EL73" s="995"/>
      <c r="EM73" s="998">
        <f>EK73+EI73+EG73+EE73+EC73+EA73+DY73+DW73+DU73+DS73+DQ73+DO73</f>
        <v>12.5</v>
      </c>
      <c r="EN73" s="998">
        <f>DO73+DQ73+DS73</f>
        <v>6.25</v>
      </c>
      <c r="EO73" s="998">
        <f t="shared" ref="EO73:EO78" si="208">DP73+DR73+DT73+DV73</f>
        <v>6.25</v>
      </c>
      <c r="EP73" s="1119">
        <f>DQ73+DS73+DU73+DW73+DY73+EA73+EC73+EE73+EG73+EI73+EK73+DO73</f>
        <v>12.5</v>
      </c>
      <c r="EQ73" s="998">
        <f t="shared" si="51"/>
        <v>6.25</v>
      </c>
      <c r="ER73" s="1008">
        <f t="shared" si="26"/>
        <v>1</v>
      </c>
      <c r="ES73" s="1008">
        <f t="shared" si="21"/>
        <v>1</v>
      </c>
      <c r="ET73" s="1009">
        <f t="shared" si="22"/>
        <v>0.5</v>
      </c>
      <c r="EU73" s="1009">
        <f t="shared" si="23"/>
        <v>1</v>
      </c>
      <c r="EV73" s="1009">
        <f>(AA73+BE73+CI73+DM73+EQ73)/G73</f>
        <v>0.9375</v>
      </c>
      <c r="EW73" s="1082" t="s">
        <v>1578</v>
      </c>
      <c r="EX73" s="1120" t="s">
        <v>178</v>
      </c>
      <c r="EY73" s="1120" t="s">
        <v>178</v>
      </c>
      <c r="EZ73" s="1121" t="s">
        <v>371</v>
      </c>
      <c r="FA73" s="1121" t="s">
        <v>372</v>
      </c>
      <c r="FB73" s="776"/>
      <c r="FC73" s="83"/>
      <c r="FD73" s="83"/>
    </row>
    <row r="74" spans="1:160" ht="30" customHeight="1" x14ac:dyDescent="0.25">
      <c r="A74" s="710"/>
      <c r="B74" s="710"/>
      <c r="C74" s="710"/>
      <c r="D74" s="710"/>
      <c r="E74" s="710"/>
      <c r="F74" s="76" t="s">
        <v>343</v>
      </c>
      <c r="G74" s="643">
        <f>AA74+BE74+CI74+DM74+EP74</f>
        <v>3336748292</v>
      </c>
      <c r="H74" s="1012">
        <v>381900000</v>
      </c>
      <c r="I74" s="1012"/>
      <c r="J74" s="1012"/>
      <c r="K74" s="1012">
        <v>381900000</v>
      </c>
      <c r="L74" s="1012">
        <v>27401143</v>
      </c>
      <c r="M74" s="1012">
        <v>381900000</v>
      </c>
      <c r="N74" s="1012">
        <v>102981143</v>
      </c>
      <c r="O74" s="1012">
        <v>303900000</v>
      </c>
      <c r="P74" s="1012">
        <v>119147442</v>
      </c>
      <c r="Q74" s="1012">
        <v>225075000</v>
      </c>
      <c r="R74" s="1012">
        <v>121576922</v>
      </c>
      <c r="S74" s="1012">
        <v>225075000</v>
      </c>
      <c r="T74" s="1012">
        <v>168075108</v>
      </c>
      <c r="U74" s="1012">
        <v>225075000</v>
      </c>
      <c r="V74" s="1012">
        <v>219942147</v>
      </c>
      <c r="W74" s="1012">
        <f t="shared" si="197"/>
        <v>381900000</v>
      </c>
      <c r="X74" s="1012">
        <f t="shared" si="198"/>
        <v>381900000</v>
      </c>
      <c r="Y74" s="1012">
        <f t="shared" si="199"/>
        <v>219942147</v>
      </c>
      <c r="Z74" s="1012">
        <f t="shared" si="200"/>
        <v>225075000</v>
      </c>
      <c r="AA74" s="1012">
        <f t="shared" si="200"/>
        <v>219942147</v>
      </c>
      <c r="AB74" s="1012">
        <v>801561000</v>
      </c>
      <c r="AC74" s="1012">
        <v>0</v>
      </c>
      <c r="AD74" s="1012">
        <v>0</v>
      </c>
      <c r="AE74" s="1012">
        <v>101350694</v>
      </c>
      <c r="AF74" s="1012">
        <v>101350694</v>
      </c>
      <c r="AG74" s="1012">
        <f>426196694-AF74</f>
        <v>324846000</v>
      </c>
      <c r="AH74" s="1012">
        <v>324846000</v>
      </c>
      <c r="AI74" s="1012">
        <f>619322694-AF74-AH74</f>
        <v>193126000</v>
      </c>
      <c r="AJ74" s="1012">
        <v>193126000</v>
      </c>
      <c r="AK74" s="1012">
        <v>0</v>
      </c>
      <c r="AL74" s="1012">
        <v>0</v>
      </c>
      <c r="AM74" s="1012">
        <v>89679200</v>
      </c>
      <c r="AN74" s="1012">
        <v>68271200</v>
      </c>
      <c r="AO74" s="1012">
        <v>0</v>
      </c>
      <c r="AP74" s="1012">
        <v>778910</v>
      </c>
      <c r="AQ74" s="1012">
        <v>0</v>
      </c>
      <c r="AR74" s="1012">
        <v>0</v>
      </c>
      <c r="AS74" s="1012">
        <v>15000167</v>
      </c>
      <c r="AT74" s="1012">
        <v>20000000</v>
      </c>
      <c r="AU74" s="1012">
        <v>9525000</v>
      </c>
      <c r="AV74" s="1012">
        <f>9930600+11034000</f>
        <v>20964600</v>
      </c>
      <c r="AW74" s="1012">
        <v>474833</v>
      </c>
      <c r="AX74" s="1012">
        <v>35001627</v>
      </c>
      <c r="AY74" s="1012">
        <f>45639733+20990000</f>
        <v>66629733</v>
      </c>
      <c r="AZ74" s="1012">
        <v>14668333</v>
      </c>
      <c r="BA74" s="1012">
        <f>AY74+AW74+AU74+AS74+AQ74+AO74+AM74+AK74+AI74+AG74+AE74+AC74</f>
        <v>800631627</v>
      </c>
      <c r="BB74" s="1012">
        <f t="shared" si="201"/>
        <v>800631627</v>
      </c>
      <c r="BC74" s="1012">
        <f t="shared" si="202"/>
        <v>779007364</v>
      </c>
      <c r="BD74" s="1012">
        <f>BA74</f>
        <v>800631627</v>
      </c>
      <c r="BE74" s="1012">
        <f>AF74+AH74+AJ74+AL74+AD74+AN74+AP74+AR74+AT74+AV74+AX74+AZ74</f>
        <v>779007364</v>
      </c>
      <c r="BF74" s="1012">
        <v>783556000</v>
      </c>
      <c r="BG74" s="1012">
        <v>635898000</v>
      </c>
      <c r="BH74" s="1012">
        <v>635898000</v>
      </c>
      <c r="BI74" s="1012">
        <f>84230000+22684000</f>
        <v>106914000</v>
      </c>
      <c r="BJ74" s="1012">
        <v>0</v>
      </c>
      <c r="BK74" s="1012">
        <v>21594000</v>
      </c>
      <c r="BL74" s="1012">
        <v>2457000</v>
      </c>
      <c r="BM74" s="1012">
        <v>425000</v>
      </c>
      <c r="BN74" s="1012">
        <v>1540000</v>
      </c>
      <c r="BO74" s="1012">
        <v>0</v>
      </c>
      <c r="BP74" s="1012">
        <v>0</v>
      </c>
      <c r="BQ74" s="1012">
        <v>0</v>
      </c>
      <c r="BR74" s="1012">
        <v>8000000</v>
      </c>
      <c r="BS74" s="1012">
        <v>0</v>
      </c>
      <c r="BT74" s="1012">
        <v>6580573</v>
      </c>
      <c r="BU74" s="1012">
        <v>850000</v>
      </c>
      <c r="BV74" s="1012">
        <v>0</v>
      </c>
      <c r="BW74" s="1012">
        <v>17875000</v>
      </c>
      <c r="BX74" s="1012">
        <v>55810023</v>
      </c>
      <c r="BY74" s="1012">
        <v>-7826000</v>
      </c>
      <c r="BZ74" s="1012">
        <v>3513429</v>
      </c>
      <c r="CA74" s="1012">
        <v>0</v>
      </c>
      <c r="CB74" s="1012">
        <v>19502500</v>
      </c>
      <c r="CC74" s="1012">
        <v>0</v>
      </c>
      <c r="CD74" s="1012">
        <v>27062256</v>
      </c>
      <c r="CE74" s="1012">
        <f>CC74+CA74+BY74+BW74+BU74+BS74+BQ74+BO74+BM74+BK74+BI74+BG74</f>
        <v>775730000</v>
      </c>
      <c r="CF74" s="1012">
        <f t="shared" si="203"/>
        <v>775730000</v>
      </c>
      <c r="CG74" s="1012">
        <f t="shared" si="204"/>
        <v>760363781</v>
      </c>
      <c r="CH74" s="1012">
        <f>CE74</f>
        <v>775730000</v>
      </c>
      <c r="CI74" s="1012">
        <f>BJ74+BL74+BN74+BP74+BH74+BR74+BT74+BV74+BX74+BZ74+CB74+CD74</f>
        <v>760363781</v>
      </c>
      <c r="CJ74" s="1012">
        <v>783421000</v>
      </c>
      <c r="CK74" s="1012">
        <v>345440000</v>
      </c>
      <c r="CL74" s="1012">
        <v>345440000</v>
      </c>
      <c r="CM74" s="1012">
        <v>154286000</v>
      </c>
      <c r="CN74" s="1012">
        <v>154286000</v>
      </c>
      <c r="CO74" s="1012">
        <v>108682526</v>
      </c>
      <c r="CP74" s="1012">
        <v>108682526</v>
      </c>
      <c r="CQ74" s="1012">
        <f>28056000+14958000</f>
        <v>43014000</v>
      </c>
      <c r="CR74" s="1012">
        <v>16274610</v>
      </c>
      <c r="CS74" s="1012">
        <v>9000000</v>
      </c>
      <c r="CT74" s="1012">
        <v>25865610</v>
      </c>
      <c r="CU74" s="1012"/>
      <c r="CV74" s="1012">
        <v>1316466</v>
      </c>
      <c r="CW74" s="1012">
        <f>15000000+2244000</f>
        <v>17244000</v>
      </c>
      <c r="CX74" s="1012">
        <v>1316088</v>
      </c>
      <c r="CY74" s="1012"/>
      <c r="CZ74" s="1012">
        <v>1451088</v>
      </c>
      <c r="DA74" s="1012"/>
      <c r="DB74" s="1012">
        <v>10316088</v>
      </c>
      <c r="DC74" s="1012">
        <v>-3380233</v>
      </c>
      <c r="DD74" s="1012">
        <v>734524</v>
      </c>
      <c r="DE74" s="1012">
        <v>-79800000</v>
      </c>
      <c r="DF74" s="1012"/>
      <c r="DG74" s="1012">
        <v>105754474</v>
      </c>
      <c r="DH74" s="1012">
        <v>34544000</v>
      </c>
      <c r="DI74" s="1012">
        <f>DG74+DE74+DC74+DA74+CY74+CW74+CU74+CS74+CQ74+CO74+CM74+CK74</f>
        <v>700240767</v>
      </c>
      <c r="DJ74" s="1012">
        <f t="shared" si="205"/>
        <v>700240767</v>
      </c>
      <c r="DK74" s="1012">
        <f t="shared" si="205"/>
        <v>700227000</v>
      </c>
      <c r="DL74" s="1012">
        <f t="shared" si="206"/>
        <v>700240767</v>
      </c>
      <c r="DM74" s="1012">
        <f t="shared" si="207"/>
        <v>700227000</v>
      </c>
      <c r="DN74" s="1012">
        <v>877208000</v>
      </c>
      <c r="DO74" s="1014">
        <v>43935000</v>
      </c>
      <c r="DP74" s="1014">
        <v>43935000</v>
      </c>
      <c r="DQ74" s="1014">
        <v>243334267</v>
      </c>
      <c r="DR74" s="1014">
        <v>79119760</v>
      </c>
      <c r="DS74" s="1014"/>
      <c r="DT74" s="1014">
        <v>233464880</v>
      </c>
      <c r="DU74" s="1014">
        <v>34731000</v>
      </c>
      <c r="DV74" s="1014"/>
      <c r="DW74" s="1014"/>
      <c r="DX74" s="1014"/>
      <c r="DY74" s="1014">
        <f>DN74-DQ74-DP74-DU74</f>
        <v>555207733</v>
      </c>
      <c r="DZ74" s="1015"/>
      <c r="EA74" s="1015"/>
      <c r="EB74" s="1015"/>
      <c r="EC74" s="1015"/>
      <c r="ED74" s="1015"/>
      <c r="EE74" s="1015"/>
      <c r="EF74" s="1015"/>
      <c r="EG74" s="1015"/>
      <c r="EH74" s="1015"/>
      <c r="EI74" s="1015"/>
      <c r="EJ74" s="1015"/>
      <c r="EK74" s="1015"/>
      <c r="EL74" s="1015"/>
      <c r="EM74" s="643">
        <f>EK74+EI74+EG74+EE74+EC74+EA74+DY74+DW74+DU74+DS74+DQ74+DO74</f>
        <v>877208000</v>
      </c>
      <c r="EN74" s="643">
        <f>DO74+DQ74+DS74</f>
        <v>287269267</v>
      </c>
      <c r="EO74" s="643">
        <f t="shared" si="208"/>
        <v>356519640</v>
      </c>
      <c r="EP74" s="641">
        <f>DQ74+DS74+DU74+DW74+DY74+EA74+EC74+EE74+EG74+EI74+EK74+DO74</f>
        <v>877208000</v>
      </c>
      <c r="EQ74" s="641">
        <f t="shared" si="51"/>
        <v>356519640</v>
      </c>
      <c r="ER74" s="1007">
        <f t="shared" si="26"/>
        <v>0</v>
      </c>
      <c r="ES74" s="1007">
        <f t="shared" si="21"/>
        <v>1.2410643286808678</v>
      </c>
      <c r="ET74" s="1016">
        <f t="shared" si="22"/>
        <v>0.40642543159661104</v>
      </c>
      <c r="EU74" s="1016">
        <f t="shared" si="23"/>
        <v>1.0097216886142522</v>
      </c>
      <c r="EV74" s="1016">
        <f t="shared" si="24"/>
        <v>0.84395335984785758</v>
      </c>
      <c r="EW74" s="1057"/>
      <c r="EX74" s="1073"/>
      <c r="EY74" s="1073"/>
      <c r="EZ74" s="1018"/>
      <c r="FA74" s="1018"/>
      <c r="FB74" s="777"/>
      <c r="FC74" s="77"/>
      <c r="FD74" s="77"/>
    </row>
    <row r="75" spans="1:160" ht="30" customHeight="1" x14ac:dyDescent="0.25">
      <c r="A75" s="710"/>
      <c r="B75" s="710"/>
      <c r="C75" s="710"/>
      <c r="D75" s="710"/>
      <c r="E75" s="710"/>
      <c r="F75" s="78" t="s">
        <v>344</v>
      </c>
      <c r="G75" s="1012"/>
      <c r="H75" s="1012"/>
      <c r="I75" s="1012"/>
      <c r="J75" s="1012"/>
      <c r="K75" s="1012"/>
      <c r="L75" s="1012"/>
      <c r="M75" s="1012"/>
      <c r="N75" s="1012"/>
      <c r="O75" s="1012"/>
      <c r="P75" s="1012"/>
      <c r="Q75" s="1012"/>
      <c r="R75" s="1012"/>
      <c r="S75" s="1012"/>
      <c r="T75" s="1012"/>
      <c r="U75" s="1012"/>
      <c r="V75" s="1012"/>
      <c r="W75" s="1012">
        <f t="shared" si="197"/>
        <v>0</v>
      </c>
      <c r="X75" s="1012">
        <f t="shared" si="198"/>
        <v>0</v>
      </c>
      <c r="Y75" s="1012">
        <f t="shared" si="199"/>
        <v>0</v>
      </c>
      <c r="Z75" s="1012">
        <f t="shared" si="200"/>
        <v>0</v>
      </c>
      <c r="AA75" s="1012">
        <f t="shared" si="200"/>
        <v>0</v>
      </c>
      <c r="AB75" s="1012"/>
      <c r="AC75" s="1012"/>
      <c r="AD75" s="1012"/>
      <c r="AE75" s="1012">
        <v>5482052</v>
      </c>
      <c r="AF75" s="1012">
        <v>5482052</v>
      </c>
      <c r="AG75" s="1012">
        <f>19474701-AF75</f>
        <v>13992649</v>
      </c>
      <c r="AH75" s="1012">
        <v>13992649</v>
      </c>
      <c r="AI75" s="1012">
        <f>37130834-AF75-AH75</f>
        <v>17656133</v>
      </c>
      <c r="AJ75" s="1012">
        <v>17656133</v>
      </c>
      <c r="AK75" s="1012">
        <v>64834987</v>
      </c>
      <c r="AL75" s="1012">
        <v>64834987</v>
      </c>
      <c r="AM75" s="1012">
        <v>92099105</v>
      </c>
      <c r="AN75" s="1012">
        <v>90036040</v>
      </c>
      <c r="AO75" s="1012">
        <v>92099105</v>
      </c>
      <c r="AP75" s="1012">
        <v>99257443</v>
      </c>
      <c r="AQ75" s="1012">
        <v>92099105</v>
      </c>
      <c r="AR75" s="1012">
        <v>91189860</v>
      </c>
      <c r="AS75" s="1012">
        <v>81324105</v>
      </c>
      <c r="AT75" s="1012">
        <v>71767600</v>
      </c>
      <c r="AU75" s="1012">
        <v>81324105</v>
      </c>
      <c r="AV75" s="1012">
        <f>65907163</f>
        <v>65907163</v>
      </c>
      <c r="AW75" s="1012">
        <v>81324105</v>
      </c>
      <c r="AX75" s="1012">
        <v>69231628</v>
      </c>
      <c r="AY75" s="1012">
        <v>81324105</v>
      </c>
      <c r="AZ75" s="1012">
        <v>120544274</v>
      </c>
      <c r="BA75" s="1012">
        <f>AW75+AU75+AS75+AQ75+AO75+AM75+AK75+AI75+AG75+AE75+AC75+AY75</f>
        <v>703559556</v>
      </c>
      <c r="BB75" s="1012">
        <f t="shared" si="201"/>
        <v>703559556</v>
      </c>
      <c r="BC75" s="1012">
        <f t="shared" si="202"/>
        <v>709899829</v>
      </c>
      <c r="BD75" s="1012">
        <f>BA75</f>
        <v>703559556</v>
      </c>
      <c r="BE75" s="1012">
        <f>AF75+AH75+AJ75+AL75+AD75+AN75+AP75+AR75+AT75+AV75+AX75+AZ75</f>
        <v>709899829</v>
      </c>
      <c r="BF75" s="1012"/>
      <c r="BG75" s="1012">
        <v>0</v>
      </c>
      <c r="BH75" s="1012">
        <v>0</v>
      </c>
      <c r="BI75" s="1012">
        <v>52963000</v>
      </c>
      <c r="BJ75" s="1012">
        <v>0</v>
      </c>
      <c r="BK75" s="1012">
        <v>77209000</v>
      </c>
      <c r="BL75" s="1012">
        <v>38922800</v>
      </c>
      <c r="BM75" s="1012">
        <v>77567000</v>
      </c>
      <c r="BN75" s="1012">
        <v>39097000</v>
      </c>
      <c r="BO75" s="1012">
        <v>87447000</v>
      </c>
      <c r="BP75" s="1012">
        <v>46201000</v>
      </c>
      <c r="BQ75" s="1012">
        <v>82567000</v>
      </c>
      <c r="BR75" s="1012">
        <v>43178005</v>
      </c>
      <c r="BS75" s="1012">
        <v>77567000</v>
      </c>
      <c r="BT75" s="1012">
        <v>73570027.006819606</v>
      </c>
      <c r="BU75" s="1012">
        <v>82600000</v>
      </c>
      <c r="BV75" s="1012">
        <v>46686102</v>
      </c>
      <c r="BW75" s="1012">
        <v>64785667</v>
      </c>
      <c r="BX75" s="1012">
        <v>45436984.108054757</v>
      </c>
      <c r="BY75" s="1012">
        <v>53875000</v>
      </c>
      <c r="BZ75" s="1012">
        <v>39102002.891945243</v>
      </c>
      <c r="CA75" s="1012">
        <v>51875000</v>
      </c>
      <c r="CB75" s="1012">
        <v>56364907</v>
      </c>
      <c r="CC75" s="1012">
        <f>75100333-7826000</f>
        <v>67274333</v>
      </c>
      <c r="CD75" s="1012">
        <v>67009089</v>
      </c>
      <c r="CE75" s="1012">
        <f>CA75+BY75+BW75+BU75+BS75+BQ75+BO75+BM75+BK75+BI75+BG75+CC75</f>
        <v>775730000</v>
      </c>
      <c r="CF75" s="1012">
        <f t="shared" si="203"/>
        <v>775730000</v>
      </c>
      <c r="CG75" s="1012">
        <f t="shared" si="204"/>
        <v>495567917.00681961</v>
      </c>
      <c r="CH75" s="1012">
        <f>CE75</f>
        <v>775730000</v>
      </c>
      <c r="CI75" s="1012">
        <f>BJ75+BL75+BN75+BP75+BH75+BR75+BT75+BV75+BX75+BZ75+CB75+CD75</f>
        <v>495567917.00681961</v>
      </c>
      <c r="CJ75" s="1012"/>
      <c r="CK75" s="1012"/>
      <c r="CL75" s="1012"/>
      <c r="CM75" s="1012">
        <v>0</v>
      </c>
      <c r="CN75" s="1012">
        <v>0</v>
      </c>
      <c r="CO75" s="1012">
        <v>5684626</v>
      </c>
      <c r="CP75" s="1012">
        <v>5684626</v>
      </c>
      <c r="CQ75" s="1012">
        <v>44106000</v>
      </c>
      <c r="CR75" s="1012">
        <v>49848476</v>
      </c>
      <c r="CS75" s="1012">
        <f>44106000+29800</f>
        <v>44135800</v>
      </c>
      <c r="CT75" s="1012">
        <v>41250810</v>
      </c>
      <c r="CU75" s="1012">
        <v>44135800</v>
      </c>
      <c r="CV75" s="1012">
        <v>109506761.69597262</v>
      </c>
      <c r="CW75" s="1012">
        <v>44135800</v>
      </c>
      <c r="CX75" s="1012">
        <v>75673705</v>
      </c>
      <c r="CY75" s="1012">
        <v>44135800</v>
      </c>
      <c r="CZ75" s="1012">
        <v>78644856.322699666</v>
      </c>
      <c r="DA75" s="1012">
        <v>44135800</v>
      </c>
      <c r="DB75" s="1012">
        <v>75047416</v>
      </c>
      <c r="DC75" s="1012">
        <v>44135800</v>
      </c>
      <c r="DD75" s="1012">
        <v>51888590</v>
      </c>
      <c r="DE75" s="1012">
        <f>44106000</f>
        <v>44106000</v>
      </c>
      <c r="DF75" s="1012">
        <v>54841691</v>
      </c>
      <c r="DG75" s="1012">
        <f>424709574-83180233</f>
        <v>341529341</v>
      </c>
      <c r="DH75" s="1012">
        <v>75192866</v>
      </c>
      <c r="DI75" s="1012">
        <f>DE75+DC75+DA75+CY75+CW75+CU75+CS75+CQ75+CO75+CM75+CK75+DG75</f>
        <v>700240767</v>
      </c>
      <c r="DJ75" s="1012">
        <f t="shared" si="205"/>
        <v>700240767</v>
      </c>
      <c r="DK75" s="1012">
        <f t="shared" si="205"/>
        <v>617579798.01867223</v>
      </c>
      <c r="DL75" s="1012">
        <f t="shared" si="206"/>
        <v>700240767</v>
      </c>
      <c r="DM75" s="1012">
        <f t="shared" si="207"/>
        <v>617579798.01867223</v>
      </c>
      <c r="DN75" s="1012">
        <v>877208000</v>
      </c>
      <c r="DO75" s="1014"/>
      <c r="DP75" s="1014"/>
      <c r="DQ75" s="1014">
        <v>14068000</v>
      </c>
      <c r="DR75" s="1014">
        <v>4184626</v>
      </c>
      <c r="DS75" s="1014">
        <v>48087000</v>
      </c>
      <c r="DT75" s="1014">
        <v>20222813</v>
      </c>
      <c r="DU75" s="1014">
        <v>48087000</v>
      </c>
      <c r="DV75" s="1014"/>
      <c r="DW75" s="1014">
        <f>48087000+11577000</f>
        <v>59664000</v>
      </c>
      <c r="DX75" s="1014"/>
      <c r="DY75" s="1014">
        <f>+EM74-169906000</f>
        <v>707302000</v>
      </c>
      <c r="DZ75" s="1015"/>
      <c r="EA75" s="1015"/>
      <c r="EB75" s="1015"/>
      <c r="EC75" s="1015"/>
      <c r="ED75" s="1015"/>
      <c r="EE75" s="1015"/>
      <c r="EF75" s="1015"/>
      <c r="EG75" s="1015"/>
      <c r="EH75" s="1015"/>
      <c r="EI75" s="1015"/>
      <c r="EJ75" s="1015"/>
      <c r="EK75" s="1015"/>
      <c r="EL75" s="1015"/>
      <c r="EM75" s="643">
        <f>EI75+EG75+EE75+EC75+EA75+DY75+DW75+DU75+DS75+DQ75+DO75+EK75</f>
        <v>877208000</v>
      </c>
      <c r="EN75" s="643">
        <f t="shared" ref="EN75:EN78" si="209">DO75+DQ75+DS75</f>
        <v>62155000</v>
      </c>
      <c r="EO75" s="643">
        <f t="shared" si="208"/>
        <v>24407439</v>
      </c>
      <c r="EP75" s="641">
        <f>DQ75+DS75+DU75+DW75+DY75+EA75+EC75+EE75+EG75+EI75+EK75</f>
        <v>877208000</v>
      </c>
      <c r="EQ75" s="641">
        <f t="shared" si="51"/>
        <v>24407439</v>
      </c>
      <c r="ER75" s="1007">
        <f t="shared" si="26"/>
        <v>0.42054636388213029</v>
      </c>
      <c r="ES75" s="1007">
        <f t="shared" ref="ES75:ES78" si="210">EO75/EN75</f>
        <v>0.39268665433191213</v>
      </c>
      <c r="ET75" s="1016">
        <f t="shared" ref="ET75:ET78" si="211">EQ75/EP75</f>
        <v>2.7824004113049583E-2</v>
      </c>
      <c r="EU75" s="1016">
        <f t="shared" ref="EU75:EU78" si="212">(AA75+BE75+CI75+DM75+EO75)/(Z75+BD75+CH75+DL75+EN75)</f>
        <v>0.8241366279514567</v>
      </c>
      <c r="EV75" s="1016">
        <f>IFERROR((AA75+BE75+CI75+DM75+EQ75)/G75,0)</f>
        <v>0</v>
      </c>
      <c r="EW75" s="1057"/>
      <c r="EX75" s="1073"/>
      <c r="EY75" s="1073"/>
      <c r="EZ75" s="1018"/>
      <c r="FA75" s="1018"/>
      <c r="FB75" s="777"/>
      <c r="FC75" s="77"/>
      <c r="FD75" s="77"/>
    </row>
    <row r="76" spans="1:160" ht="30" customHeight="1" x14ac:dyDescent="0.25">
      <c r="A76" s="710"/>
      <c r="B76" s="710"/>
      <c r="C76" s="710"/>
      <c r="D76" s="710"/>
      <c r="E76" s="710"/>
      <c r="F76" s="79" t="s">
        <v>345</v>
      </c>
      <c r="G76" s="645">
        <f>AA76+BE76+CI76+DM76+EP76</f>
        <v>0</v>
      </c>
      <c r="H76" s="1106"/>
      <c r="I76" s="1025"/>
      <c r="J76" s="1025"/>
      <c r="K76" s="1025"/>
      <c r="L76" s="1025"/>
      <c r="M76" s="1025"/>
      <c r="N76" s="1025"/>
      <c r="O76" s="1025"/>
      <c r="P76" s="1025"/>
      <c r="Q76" s="1025"/>
      <c r="R76" s="1025"/>
      <c r="S76" s="1025"/>
      <c r="T76" s="1025"/>
      <c r="U76" s="1025"/>
      <c r="V76" s="1025"/>
      <c r="W76" s="1024">
        <f t="shared" si="197"/>
        <v>0</v>
      </c>
      <c r="X76" s="1024">
        <f t="shared" si="198"/>
        <v>0</v>
      </c>
      <c r="Y76" s="1024">
        <f t="shared" si="199"/>
        <v>0</v>
      </c>
      <c r="Z76" s="1024">
        <f t="shared" si="200"/>
        <v>0</v>
      </c>
      <c r="AA76" s="1024">
        <f t="shared" si="200"/>
        <v>0</v>
      </c>
      <c r="AB76" s="1025"/>
      <c r="AC76" s="1025"/>
      <c r="AD76" s="1025"/>
      <c r="AE76" s="1025"/>
      <c r="AF76" s="1025"/>
      <c r="AG76" s="1025"/>
      <c r="AH76" s="1025"/>
      <c r="AI76" s="1025"/>
      <c r="AJ76" s="1025"/>
      <c r="AK76" s="1022"/>
      <c r="AL76" s="1022"/>
      <c r="AM76" s="1022"/>
      <c r="AN76" s="1022"/>
      <c r="AO76" s="1022"/>
      <c r="AP76" s="1022"/>
      <c r="AQ76" s="1022"/>
      <c r="AR76" s="1022"/>
      <c r="AS76" s="1022"/>
      <c r="AT76" s="1022"/>
      <c r="AU76" s="1022"/>
      <c r="AV76" s="1022"/>
      <c r="AW76" s="1022"/>
      <c r="AX76" s="1022"/>
      <c r="AY76" s="1022"/>
      <c r="AZ76" s="1022"/>
      <c r="BA76" s="1020">
        <v>0</v>
      </c>
      <c r="BB76" s="1024">
        <f t="shared" si="201"/>
        <v>0</v>
      </c>
      <c r="BC76" s="1024">
        <f t="shared" si="202"/>
        <v>0</v>
      </c>
      <c r="BD76" s="1024">
        <f>AC76+AE76+AG76+AI76+AK76+AM76+AO76+AQ76+AS76+AU76+AW76+AY76</f>
        <v>0</v>
      </c>
      <c r="BE76" s="1024">
        <f>AF76+AH76+AJ76+AL76+AD76+AN76+AP76+AR76+AT76+AV76+AX76+AZ76</f>
        <v>0</v>
      </c>
      <c r="BF76" s="1022"/>
      <c r="BG76" s="1022"/>
      <c r="BH76" s="1022"/>
      <c r="BI76" s="1022"/>
      <c r="BJ76" s="1022"/>
      <c r="BK76" s="1022"/>
      <c r="BL76" s="1022"/>
      <c r="BM76" s="1022"/>
      <c r="BN76" s="1022"/>
      <c r="BO76" s="1022"/>
      <c r="BP76" s="1022"/>
      <c r="BQ76" s="1022"/>
      <c r="BR76" s="1022"/>
      <c r="BS76" s="1022"/>
      <c r="BT76" s="1022"/>
      <c r="BU76" s="1022"/>
      <c r="BV76" s="1022"/>
      <c r="BW76" s="1022"/>
      <c r="BX76" s="1022"/>
      <c r="BY76" s="1022"/>
      <c r="BZ76" s="1022"/>
      <c r="CA76" s="1022"/>
      <c r="CB76" s="1022"/>
      <c r="CC76" s="1022"/>
      <c r="CD76" s="1022"/>
      <c r="CE76" s="1020">
        <v>0</v>
      </c>
      <c r="CF76" s="1024">
        <f t="shared" si="203"/>
        <v>0</v>
      </c>
      <c r="CG76" s="1024">
        <f t="shared" si="204"/>
        <v>0</v>
      </c>
      <c r="CH76" s="1024">
        <f>BG76+BI76+BK76+BM76+BO76+BQ76+BS76+BU76+BW76+BY76+CA76+CC76</f>
        <v>0</v>
      </c>
      <c r="CI76" s="1024">
        <f>BJ76+BL76+BN76+BP76+BH76+BR76+BT76+BV76+BX76+BZ76+CB76+CD76</f>
        <v>0</v>
      </c>
      <c r="CJ76" s="1022"/>
      <c r="CK76" s="1022"/>
      <c r="CL76" s="1022"/>
      <c r="CM76" s="1022"/>
      <c r="CN76" s="1022"/>
      <c r="CO76" s="1022"/>
      <c r="CP76" s="1022"/>
      <c r="CQ76" s="1022"/>
      <c r="CR76" s="1022"/>
      <c r="CS76" s="1022"/>
      <c r="CT76" s="1022"/>
      <c r="CU76" s="1022"/>
      <c r="CV76" s="1022"/>
      <c r="CW76" s="1022"/>
      <c r="CX76" s="1022"/>
      <c r="CY76" s="1022"/>
      <c r="CZ76" s="1022"/>
      <c r="DA76" s="1022"/>
      <c r="DB76" s="1022"/>
      <c r="DC76" s="1022"/>
      <c r="DD76" s="1022"/>
      <c r="DE76" s="1022"/>
      <c r="DF76" s="1022"/>
      <c r="DG76" s="1022"/>
      <c r="DH76" s="1022"/>
      <c r="DI76" s="1020">
        <f>DE76+DC76+DA76+CY76+CW76+CU76+CS76+CQ76+CO76+CM76+CK76+DG76</f>
        <v>0</v>
      </c>
      <c r="DJ76" s="1006">
        <f t="shared" si="205"/>
        <v>0</v>
      </c>
      <c r="DK76" s="1006">
        <f t="shared" si="205"/>
        <v>0</v>
      </c>
      <c r="DL76" s="1020">
        <f t="shared" si="206"/>
        <v>0</v>
      </c>
      <c r="DM76" s="1020">
        <f t="shared" si="207"/>
        <v>0</v>
      </c>
      <c r="DN76" s="1022"/>
      <c r="DO76" s="1029"/>
      <c r="DP76" s="1029"/>
      <c r="DQ76" s="1029"/>
      <c r="DR76" s="1029"/>
      <c r="DS76" s="1029"/>
      <c r="DT76" s="1029"/>
      <c r="DU76" s="1029"/>
      <c r="DV76" s="1029"/>
      <c r="DW76" s="1029"/>
      <c r="DX76" s="1029"/>
      <c r="DY76" s="1029"/>
      <c r="DZ76" s="1022"/>
      <c r="EA76" s="1022"/>
      <c r="EB76" s="1022"/>
      <c r="EC76" s="1022"/>
      <c r="ED76" s="1022"/>
      <c r="EE76" s="1022"/>
      <c r="EF76" s="1022"/>
      <c r="EG76" s="1022"/>
      <c r="EH76" s="1022"/>
      <c r="EI76" s="1022"/>
      <c r="EJ76" s="1022"/>
      <c r="EK76" s="1022"/>
      <c r="EL76" s="1022"/>
      <c r="EM76" s="1006">
        <f>EI76+EG76+EE76+EC76+EA76+DY76+DW76+DU76+DS76+DQ76+DO76+EK76</f>
        <v>0</v>
      </c>
      <c r="EN76" s="1020">
        <f t="shared" si="209"/>
        <v>0</v>
      </c>
      <c r="EO76" s="1030">
        <f t="shared" si="208"/>
        <v>0</v>
      </c>
      <c r="EP76" s="1031">
        <f>DQ76+DS76+DU76+DW76+DY76+EA76+EC76+EE76+EG76+EI76+EK76</f>
        <v>0</v>
      </c>
      <c r="EQ76" s="1006">
        <f t="shared" si="51"/>
        <v>0</v>
      </c>
      <c r="ER76" s="1007">
        <f t="shared" ref="ER76:ER79" si="213">IFERROR(DT76/DS76,0)</f>
        <v>0</v>
      </c>
      <c r="ES76" s="1007">
        <f t="shared" ref="ES76" si="214">IFERROR(EO76/EN76,0)</f>
        <v>0</v>
      </c>
      <c r="ET76" s="1016">
        <f t="shared" ref="ET76" si="215">IFERROR(EQ76/EP76,0)</f>
        <v>0</v>
      </c>
      <c r="EU76" s="1016">
        <f>IFERROR((AA76+BE76+CI76+DM76+EO76)/(Z76+BD76+CH76+DL76+EN76),0)</f>
        <v>0</v>
      </c>
      <c r="EV76" s="1016">
        <f>IFERROR((AA76+BE76+CI76+DM76+EQ76)/G76,0)</f>
        <v>0</v>
      </c>
      <c r="EW76" s="1057"/>
      <c r="EX76" s="1073"/>
      <c r="EY76" s="1073"/>
      <c r="EZ76" s="1018"/>
      <c r="FA76" s="1018"/>
      <c r="FB76" s="777"/>
      <c r="FC76" s="75"/>
      <c r="FD76" s="75"/>
    </row>
    <row r="77" spans="1:160" ht="30" customHeight="1" x14ac:dyDescent="0.25">
      <c r="A77" s="710"/>
      <c r="B77" s="710"/>
      <c r="C77" s="710"/>
      <c r="D77" s="710"/>
      <c r="E77" s="710"/>
      <c r="F77" s="80" t="s">
        <v>346</v>
      </c>
      <c r="G77" s="643">
        <f>AA77+BE77+CI77+DM77+EP77</f>
        <v>494922138.24000001</v>
      </c>
      <c r="H77" s="1012"/>
      <c r="I77" s="1012"/>
      <c r="J77" s="1012"/>
      <c r="K77" s="1012"/>
      <c r="L77" s="1012"/>
      <c r="M77" s="1012"/>
      <c r="N77" s="1012"/>
      <c r="O77" s="1012"/>
      <c r="P77" s="1012"/>
      <c r="Q77" s="1012"/>
      <c r="R77" s="1012"/>
      <c r="S77" s="1012"/>
      <c r="T77" s="1012"/>
      <c r="U77" s="1012"/>
      <c r="V77" s="1012"/>
      <c r="W77" s="1012">
        <f t="shared" si="197"/>
        <v>0</v>
      </c>
      <c r="X77" s="1012">
        <f t="shared" si="198"/>
        <v>0</v>
      </c>
      <c r="Y77" s="1012">
        <f t="shared" si="199"/>
        <v>0</v>
      </c>
      <c r="Z77" s="1012">
        <f t="shared" si="200"/>
        <v>0</v>
      </c>
      <c r="AA77" s="1012">
        <f t="shared" si="200"/>
        <v>0</v>
      </c>
      <c r="AB77" s="1012">
        <v>81973233</v>
      </c>
      <c r="AC77" s="1012">
        <v>11357200</v>
      </c>
      <c r="AD77" s="1012">
        <v>11357200</v>
      </c>
      <c r="AE77" s="1012">
        <f>38726571-AD77</f>
        <v>27369371</v>
      </c>
      <c r="AF77" s="1012">
        <v>27369371</v>
      </c>
      <c r="AG77" s="1012">
        <f>78539901-AD77-AF77</f>
        <v>39813330</v>
      </c>
      <c r="AH77" s="1012">
        <v>39813330</v>
      </c>
      <c r="AI77" s="1012">
        <f>80858628-AD77-AF77-AH77</f>
        <v>2318727</v>
      </c>
      <c r="AJ77" s="1012">
        <v>2318727</v>
      </c>
      <c r="AK77" s="1012">
        <v>0</v>
      </c>
      <c r="AL77" s="1012">
        <v>0</v>
      </c>
      <c r="AM77" s="1012">
        <v>205640</v>
      </c>
      <c r="AN77" s="1012">
        <v>205640</v>
      </c>
      <c r="AO77" s="1012">
        <v>908965</v>
      </c>
      <c r="AP77" s="1012">
        <v>908965</v>
      </c>
      <c r="AQ77" s="1012">
        <v>-490600</v>
      </c>
      <c r="AR77" s="1012">
        <v>-490600</v>
      </c>
      <c r="AS77" s="1012"/>
      <c r="AT77" s="1012">
        <v>0</v>
      </c>
      <c r="AU77" s="1012"/>
      <c r="AV77" s="1012">
        <v>0</v>
      </c>
      <c r="AW77" s="1012"/>
      <c r="AX77" s="1012"/>
      <c r="AY77" s="1012"/>
      <c r="AZ77" s="1012"/>
      <c r="BA77" s="1012">
        <f>AW77+AU77+AS77+AQ77+AO77+AM77+AK77+AI77+AG77+AE77+AC77+AY77</f>
        <v>81482633</v>
      </c>
      <c r="BB77" s="1012">
        <f t="shared" si="201"/>
        <v>81482633</v>
      </c>
      <c r="BC77" s="1012">
        <f t="shared" si="202"/>
        <v>81482633</v>
      </c>
      <c r="BD77" s="1012">
        <f>BA77</f>
        <v>81482633</v>
      </c>
      <c r="BE77" s="1012">
        <v>81482633</v>
      </c>
      <c r="BF77" s="1012">
        <v>69107535</v>
      </c>
      <c r="BG77" s="1012">
        <v>41700399</v>
      </c>
      <c r="BH77" s="1012">
        <v>41700399</v>
      </c>
      <c r="BI77" s="1012">
        <f>11966201-331833</f>
        <v>11634368</v>
      </c>
      <c r="BJ77" s="1012">
        <v>10950500</v>
      </c>
      <c r="BK77" s="1012">
        <v>0</v>
      </c>
      <c r="BL77" s="1012">
        <v>8648250</v>
      </c>
      <c r="BM77" s="1012">
        <v>15440935</v>
      </c>
      <c r="BN77" s="1012">
        <v>0</v>
      </c>
      <c r="BO77" s="1012">
        <v>0</v>
      </c>
      <c r="BP77" s="1012">
        <v>6460852</v>
      </c>
      <c r="BQ77" s="1012">
        <v>0</v>
      </c>
      <c r="BR77" s="1012">
        <v>0</v>
      </c>
      <c r="BS77" s="1012">
        <v>-1014900</v>
      </c>
      <c r="BT77" s="1012">
        <v>0</v>
      </c>
      <c r="BU77" s="1012">
        <v>0</v>
      </c>
      <c r="BV77" s="1012">
        <v>0</v>
      </c>
      <c r="BW77" s="1012">
        <v>-800</v>
      </c>
      <c r="BX77" s="1012">
        <v>0</v>
      </c>
      <c r="BY77" s="1012">
        <v>-1</v>
      </c>
      <c r="BZ77" s="1012">
        <v>0</v>
      </c>
      <c r="CA77" s="1012">
        <v>0</v>
      </c>
      <c r="CB77" s="1012">
        <v>0</v>
      </c>
      <c r="CC77" s="1012">
        <v>0</v>
      </c>
      <c r="CD77" s="1012"/>
      <c r="CE77" s="1012">
        <f>CA77+BY77+BW77+BU77+BS77+BQ77+BO77+BM77+BK77+BI77+BG77+CC77</f>
        <v>67760001</v>
      </c>
      <c r="CF77" s="1012">
        <f t="shared" si="203"/>
        <v>67760001</v>
      </c>
      <c r="CG77" s="1012">
        <f t="shared" si="204"/>
        <v>67760001</v>
      </c>
      <c r="CH77" s="1012">
        <f>CE77</f>
        <v>67760001</v>
      </c>
      <c r="CI77" s="1012">
        <f>BJ77+BL77+BN77+BP77+BH77+BR77+BT77+BV77+BX77+BZ77+CB77+CD77</f>
        <v>67760001</v>
      </c>
      <c r="CJ77" s="1012">
        <v>264795864</v>
      </c>
      <c r="CK77" s="1012">
        <v>15209900</v>
      </c>
      <c r="CL77" s="1012">
        <v>15209900</v>
      </c>
      <c r="CM77" s="1012">
        <v>32819778</v>
      </c>
      <c r="CN77" s="1012">
        <v>32819778</v>
      </c>
      <c r="CO77" s="1012">
        <v>22012594</v>
      </c>
      <c r="CP77" s="1012">
        <v>22012594</v>
      </c>
      <c r="CQ77" s="1012">
        <v>80000000</v>
      </c>
      <c r="CR77" s="1103">
        <v>40727335.24000001</v>
      </c>
      <c r="CS77" s="1012">
        <v>87820593</v>
      </c>
      <c r="CT77" s="1012">
        <v>89693233</v>
      </c>
      <c r="CU77" s="1012">
        <f>26933000-1746500</f>
        <v>25186500</v>
      </c>
      <c r="CV77" s="1012">
        <v>59331737</v>
      </c>
      <c r="CW77" s="1012"/>
      <c r="CX77" s="1012"/>
      <c r="CY77" s="1012"/>
      <c r="CZ77" s="1012">
        <v>3152304</v>
      </c>
      <c r="DA77" s="1012"/>
      <c r="DB77" s="1012"/>
      <c r="DC77" s="1012"/>
      <c r="DD77" s="1012">
        <v>85421</v>
      </c>
      <c r="DE77" s="1012"/>
      <c r="DF77" s="1012"/>
      <c r="DG77" s="1012">
        <v>-17062</v>
      </c>
      <c r="DH77" s="1012"/>
      <c r="DI77" s="1122">
        <f>DE77+DC77+DA77+CY77+CW77+CU77+CS77+CQ77+CO77+CM77+CK77+DG77-1</f>
        <v>263032302</v>
      </c>
      <c r="DJ77" s="1122">
        <f t="shared" si="205"/>
        <v>263032303</v>
      </c>
      <c r="DK77" s="1012">
        <f t="shared" si="205"/>
        <v>263032302.24000001</v>
      </c>
      <c r="DL77" s="1012">
        <f t="shared" si="206"/>
        <v>263032302</v>
      </c>
      <c r="DM77" s="1012">
        <f>CN77+CP77+CR77+CT77+CL77+CV77+CX77+CZ77+DB77+DD77+DF77+DH77</f>
        <v>263032302.24000001</v>
      </c>
      <c r="DN77" s="1012">
        <v>82647202</v>
      </c>
      <c r="DO77" s="1014">
        <v>32727321</v>
      </c>
      <c r="DP77" s="1014">
        <v>32727321</v>
      </c>
      <c r="DQ77" s="1014">
        <v>28475313</v>
      </c>
      <c r="DR77" s="1014">
        <v>37545943</v>
      </c>
      <c r="DS77" s="1014"/>
      <c r="DT77" s="1014">
        <v>7681581</v>
      </c>
      <c r="DU77" s="1014"/>
      <c r="DV77" s="1014"/>
      <c r="DW77" s="1014">
        <v>21444568</v>
      </c>
      <c r="DX77" s="1014"/>
      <c r="DY77" s="1014"/>
      <c r="DZ77" s="1015"/>
      <c r="EA77" s="1015"/>
      <c r="EB77" s="1015"/>
      <c r="EC77" s="1015"/>
      <c r="ED77" s="1015"/>
      <c r="EE77" s="1015"/>
      <c r="EF77" s="1015"/>
      <c r="EG77" s="1015"/>
      <c r="EH77" s="1015"/>
      <c r="EI77" s="1015"/>
      <c r="EJ77" s="1015"/>
      <c r="EK77" s="1015"/>
      <c r="EL77" s="1015"/>
      <c r="EM77" s="643">
        <f>EI77+EG77+EE77+EC77+EA77+DY77+DW77+DU77+DS77+DQ77+DO77+EK77</f>
        <v>82647202</v>
      </c>
      <c r="EN77" s="643">
        <f t="shared" si="209"/>
        <v>61202634</v>
      </c>
      <c r="EO77" s="643">
        <f t="shared" si="208"/>
        <v>77954845</v>
      </c>
      <c r="EP77" s="641">
        <f>DQ77+DS77+DU77+DW77+DY77+EA77+EC77+EE77+EG77+EI77+EK77+DO77</f>
        <v>82647202</v>
      </c>
      <c r="EQ77" s="641">
        <f t="shared" si="51"/>
        <v>77954845</v>
      </c>
      <c r="ER77" s="1007">
        <f t="shared" si="213"/>
        <v>0</v>
      </c>
      <c r="ES77" s="1007">
        <f t="shared" si="210"/>
        <v>1.2737171573367252</v>
      </c>
      <c r="ET77" s="1016">
        <f t="shared" si="211"/>
        <v>0.9432242485353588</v>
      </c>
      <c r="EU77" s="1016">
        <f t="shared" si="212"/>
        <v>1.0353812140245631</v>
      </c>
      <c r="EV77" s="1016">
        <f t="shared" ref="EV77:EV78" si="216">(AA77+BE77+CI77+DM77+EQ77)/G77</f>
        <v>0.99051899958105216</v>
      </c>
      <c r="EW77" s="1057"/>
      <c r="EX77" s="1073"/>
      <c r="EY77" s="1073"/>
      <c r="EZ77" s="1018"/>
      <c r="FA77" s="1018"/>
      <c r="FB77" s="777"/>
      <c r="FC77" s="77"/>
      <c r="FD77" s="77"/>
    </row>
    <row r="78" spans="1:160" ht="30" customHeight="1" thickBot="1" x14ac:dyDescent="0.3">
      <c r="A78" s="710"/>
      <c r="B78" s="710"/>
      <c r="C78" s="710"/>
      <c r="D78" s="710"/>
      <c r="E78" s="710"/>
      <c r="F78" s="79" t="s">
        <v>347</v>
      </c>
      <c r="G78" s="1033">
        <f>G73+G76</f>
        <v>100</v>
      </c>
      <c r="H78" s="1062">
        <v>12.5</v>
      </c>
      <c r="I78" s="1063"/>
      <c r="J78" s="1063"/>
      <c r="K78" s="1111">
        <v>12.5</v>
      </c>
      <c r="L78" s="1111">
        <v>2</v>
      </c>
      <c r="M78" s="1111">
        <v>12.5</v>
      </c>
      <c r="N78" s="1111">
        <v>4.0999999999999996</v>
      </c>
      <c r="O78" s="1111">
        <v>12.5</v>
      </c>
      <c r="P78" s="1111">
        <v>6.2</v>
      </c>
      <c r="Q78" s="1111">
        <v>12.5</v>
      </c>
      <c r="R78" s="1111">
        <v>8.3000000000000007</v>
      </c>
      <c r="S78" s="1111">
        <v>12.5</v>
      </c>
      <c r="T78" s="1112">
        <v>10.4</v>
      </c>
      <c r="U78" s="1112">
        <v>12.5</v>
      </c>
      <c r="V78" s="1112">
        <v>12.5</v>
      </c>
      <c r="W78" s="1038">
        <f t="shared" si="197"/>
        <v>12.5</v>
      </c>
      <c r="X78" s="1038">
        <f t="shared" si="198"/>
        <v>12.5</v>
      </c>
      <c r="Y78" s="1038">
        <f t="shared" si="199"/>
        <v>12.5</v>
      </c>
      <c r="Z78" s="1038">
        <f t="shared" si="200"/>
        <v>12.5</v>
      </c>
      <c r="AA78" s="1038">
        <f t="shared" si="200"/>
        <v>12.5</v>
      </c>
      <c r="AB78" s="1039">
        <v>15</v>
      </c>
      <c r="AC78" s="1042">
        <v>1.25</v>
      </c>
      <c r="AD78" s="1042">
        <v>1.25</v>
      </c>
      <c r="AE78" s="1042">
        <v>1.25</v>
      </c>
      <c r="AF78" s="1042">
        <v>1.25</v>
      </c>
      <c r="AG78" s="1042">
        <v>1.25</v>
      </c>
      <c r="AH78" s="1042">
        <v>1.25</v>
      </c>
      <c r="AI78" s="1042">
        <v>1.25</v>
      </c>
      <c r="AJ78" s="1042">
        <v>1.25</v>
      </c>
      <c r="AK78" s="1040">
        <v>1.25</v>
      </c>
      <c r="AL78" s="1040">
        <v>1.25</v>
      </c>
      <c r="AM78" s="1040">
        <v>1.25</v>
      </c>
      <c r="AN78" s="1040"/>
      <c r="AO78" s="1040">
        <v>1.25</v>
      </c>
      <c r="AP78" s="1040">
        <v>1.25</v>
      </c>
      <c r="AQ78" s="1040">
        <v>1.25</v>
      </c>
      <c r="AR78" s="1040">
        <v>1.25</v>
      </c>
      <c r="AS78" s="1040">
        <v>1.25</v>
      </c>
      <c r="AT78" s="1040">
        <v>1.25</v>
      </c>
      <c r="AU78" s="1040">
        <v>1.25</v>
      </c>
      <c r="AV78" s="1040">
        <v>1.25</v>
      </c>
      <c r="AW78" s="1040">
        <v>1.25</v>
      </c>
      <c r="AX78" s="1040">
        <v>1.25</v>
      </c>
      <c r="AY78" s="1040">
        <v>1.25</v>
      </c>
      <c r="AZ78" s="1040"/>
      <c r="BA78" s="1039">
        <f>BA73+BA76</f>
        <v>15</v>
      </c>
      <c r="BB78" s="1038">
        <f t="shared" si="201"/>
        <v>15</v>
      </c>
      <c r="BC78" s="1038">
        <f t="shared" si="202"/>
        <v>12.5</v>
      </c>
      <c r="BD78" s="1038">
        <f>BD73+BD76</f>
        <v>15</v>
      </c>
      <c r="BE78" s="1039">
        <f>BE73</f>
        <v>15</v>
      </c>
      <c r="BF78" s="1040">
        <v>25</v>
      </c>
      <c r="BG78" s="1040">
        <f t="shared" ref="BG78:CD78" si="217">+BG73</f>
        <v>2.0699999999999998</v>
      </c>
      <c r="BH78" s="1040">
        <f t="shared" si="217"/>
        <v>2.0699999999999998</v>
      </c>
      <c r="BI78" s="1040">
        <f t="shared" si="217"/>
        <v>2.0699999999999998</v>
      </c>
      <c r="BJ78" s="1040">
        <f t="shared" si="217"/>
        <v>2.0699999999999998</v>
      </c>
      <c r="BK78" s="1040">
        <f t="shared" si="217"/>
        <v>2.08</v>
      </c>
      <c r="BL78" s="1040">
        <f t="shared" si="217"/>
        <v>2.08</v>
      </c>
      <c r="BM78" s="1040">
        <f t="shared" si="217"/>
        <v>2.08</v>
      </c>
      <c r="BN78" s="1040">
        <f t="shared" si="217"/>
        <v>2.08</v>
      </c>
      <c r="BO78" s="1040">
        <f t="shared" si="217"/>
        <v>2.08</v>
      </c>
      <c r="BP78" s="1040">
        <f t="shared" si="217"/>
        <v>2.08</v>
      </c>
      <c r="BQ78" s="1040">
        <f t="shared" si="217"/>
        <v>2.09</v>
      </c>
      <c r="BR78" s="1040">
        <f t="shared" si="217"/>
        <v>2.09</v>
      </c>
      <c r="BS78" s="1040">
        <f t="shared" si="217"/>
        <v>2.09</v>
      </c>
      <c r="BT78" s="1040">
        <f t="shared" si="217"/>
        <v>2.09</v>
      </c>
      <c r="BU78" s="1040">
        <f t="shared" si="217"/>
        <v>2.1</v>
      </c>
      <c r="BV78" s="1040">
        <f t="shared" si="217"/>
        <v>2.1</v>
      </c>
      <c r="BW78" s="1040">
        <f t="shared" si="217"/>
        <v>2.09</v>
      </c>
      <c r="BX78" s="1040">
        <f t="shared" si="217"/>
        <v>2.09</v>
      </c>
      <c r="BY78" s="1040">
        <f t="shared" si="217"/>
        <v>2.1</v>
      </c>
      <c r="BZ78" s="1040">
        <f t="shared" si="217"/>
        <v>2.1</v>
      </c>
      <c r="CA78" s="1040">
        <f t="shared" si="217"/>
        <v>2.08</v>
      </c>
      <c r="CB78" s="1040">
        <f t="shared" si="217"/>
        <v>2.08</v>
      </c>
      <c r="CC78" s="1040">
        <f t="shared" si="217"/>
        <v>2.0699999999999998</v>
      </c>
      <c r="CD78" s="1040">
        <f t="shared" si="217"/>
        <v>2.0699999999999998</v>
      </c>
      <c r="CE78" s="1039">
        <f>CE73+CE76</f>
        <v>25</v>
      </c>
      <c r="CF78" s="1038">
        <f t="shared" si="203"/>
        <v>25</v>
      </c>
      <c r="CG78" s="1038">
        <f t="shared" si="204"/>
        <v>25</v>
      </c>
      <c r="CH78" s="1038">
        <f>CH73+CH76</f>
        <v>25</v>
      </c>
      <c r="CI78" s="1039">
        <f>CI73</f>
        <v>25</v>
      </c>
      <c r="CJ78" s="1040">
        <v>35</v>
      </c>
      <c r="CK78" s="1040">
        <f t="shared" ref="CK78:DH78" si="218">+CK73</f>
        <v>2.2000000000000002</v>
      </c>
      <c r="CL78" s="1040">
        <f t="shared" si="218"/>
        <v>2.2000000000000002</v>
      </c>
      <c r="CM78" s="1040">
        <f t="shared" si="218"/>
        <v>3</v>
      </c>
      <c r="CN78" s="1040">
        <f t="shared" si="218"/>
        <v>3</v>
      </c>
      <c r="CO78" s="1040">
        <f t="shared" si="218"/>
        <v>3</v>
      </c>
      <c r="CP78" s="1040">
        <f t="shared" si="218"/>
        <v>3</v>
      </c>
      <c r="CQ78" s="1040">
        <f t="shared" si="218"/>
        <v>3</v>
      </c>
      <c r="CR78" s="1040">
        <f t="shared" si="218"/>
        <v>3</v>
      </c>
      <c r="CS78" s="1040">
        <f t="shared" si="218"/>
        <v>3</v>
      </c>
      <c r="CT78" s="1040">
        <f t="shared" si="218"/>
        <v>3</v>
      </c>
      <c r="CU78" s="1040">
        <f t="shared" si="218"/>
        <v>3</v>
      </c>
      <c r="CV78" s="1040">
        <f t="shared" si="218"/>
        <v>3</v>
      </c>
      <c r="CW78" s="1040">
        <f t="shared" si="218"/>
        <v>3</v>
      </c>
      <c r="CX78" s="1040">
        <f t="shared" si="218"/>
        <v>3</v>
      </c>
      <c r="CY78" s="1040">
        <f t="shared" si="218"/>
        <v>3</v>
      </c>
      <c r="CZ78" s="1040">
        <f t="shared" si="218"/>
        <v>3</v>
      </c>
      <c r="DA78" s="1040">
        <f t="shared" si="218"/>
        <v>3</v>
      </c>
      <c r="DB78" s="1040">
        <f t="shared" si="218"/>
        <v>3</v>
      </c>
      <c r="DC78" s="1040">
        <f t="shared" si="218"/>
        <v>3</v>
      </c>
      <c r="DD78" s="1040">
        <f t="shared" si="218"/>
        <v>3</v>
      </c>
      <c r="DE78" s="1040">
        <f t="shared" si="218"/>
        <v>3</v>
      </c>
      <c r="DF78" s="1040">
        <f t="shared" si="218"/>
        <v>3</v>
      </c>
      <c r="DG78" s="1040">
        <f t="shared" si="218"/>
        <v>2.8</v>
      </c>
      <c r="DH78" s="1040">
        <f t="shared" si="218"/>
        <v>2.8</v>
      </c>
      <c r="DI78" s="1039">
        <f>DE78+DC78+DA78+CY78+CW78+CU78+CS78+CQ78+CO78+CM78+CK78+DG78</f>
        <v>35</v>
      </c>
      <c r="DJ78" s="1039">
        <f t="shared" si="205"/>
        <v>35</v>
      </c>
      <c r="DK78" s="1039">
        <f t="shared" si="205"/>
        <v>35</v>
      </c>
      <c r="DL78" s="1038">
        <f t="shared" si="206"/>
        <v>35</v>
      </c>
      <c r="DM78" s="1039">
        <f t="shared" si="207"/>
        <v>35</v>
      </c>
      <c r="DN78" s="1040">
        <f>+DN73+DN76</f>
        <v>12.5</v>
      </c>
      <c r="DO78" s="1040">
        <f t="shared" ref="DO78:DZ78" si="219">+DO73+DO76</f>
        <v>2.08</v>
      </c>
      <c r="DP78" s="1040">
        <f t="shared" si="219"/>
        <v>2.08</v>
      </c>
      <c r="DQ78" s="1040">
        <f t="shared" si="219"/>
        <v>2.08</v>
      </c>
      <c r="DR78" s="1040">
        <f t="shared" si="219"/>
        <v>2.08</v>
      </c>
      <c r="DS78" s="1040">
        <f t="shared" si="219"/>
        <v>2.09</v>
      </c>
      <c r="DT78" s="1040">
        <f t="shared" si="219"/>
        <v>2.09</v>
      </c>
      <c r="DU78" s="1040">
        <f t="shared" si="219"/>
        <v>2.09</v>
      </c>
      <c r="DV78" s="1040">
        <f t="shared" si="219"/>
        <v>0</v>
      </c>
      <c r="DW78" s="1040">
        <f t="shared" si="219"/>
        <v>2.08</v>
      </c>
      <c r="DX78" s="1040">
        <f t="shared" si="219"/>
        <v>0</v>
      </c>
      <c r="DY78" s="1040">
        <f t="shared" si="219"/>
        <v>2.08</v>
      </c>
      <c r="DZ78" s="1040">
        <f t="shared" si="219"/>
        <v>0</v>
      </c>
      <c r="EA78" s="1040"/>
      <c r="EB78" s="1040"/>
      <c r="EC78" s="1040"/>
      <c r="ED78" s="1040"/>
      <c r="EE78" s="1040"/>
      <c r="EF78" s="1040"/>
      <c r="EG78" s="1040"/>
      <c r="EH78" s="1040"/>
      <c r="EI78" s="1040"/>
      <c r="EJ78" s="1040"/>
      <c r="EK78" s="1040"/>
      <c r="EL78" s="1040"/>
      <c r="EM78" s="1039">
        <f>EI78+EG78+EE78+EC78+EA78+DY78+DW78+DU78+DS78+DQ78+DO78+EK78</f>
        <v>12.5</v>
      </c>
      <c r="EN78" s="1039">
        <f t="shared" si="209"/>
        <v>6.25</v>
      </c>
      <c r="EO78" s="1044">
        <f t="shared" si="208"/>
        <v>6.25</v>
      </c>
      <c r="EP78" s="1123">
        <f>DQ78+DS78+DU78+DW78+DY78+EA78+EC78+EE78+EG78+EI78+EK78+DO78</f>
        <v>12.5</v>
      </c>
      <c r="EQ78" s="1039">
        <f t="shared" si="51"/>
        <v>6.25</v>
      </c>
      <c r="ER78" s="1045">
        <f t="shared" si="213"/>
        <v>1</v>
      </c>
      <c r="ES78" s="1045">
        <f>EO78/EN78</f>
        <v>1</v>
      </c>
      <c r="ET78" s="1046">
        <f t="shared" si="211"/>
        <v>0.5</v>
      </c>
      <c r="EU78" s="1046">
        <f>(AA78+BE78+CI78+DM78+EO78)/(Z78+BD78+CH78+DL78+EN78)</f>
        <v>1</v>
      </c>
      <c r="EV78" s="1046">
        <f>(AA78+BE78+CI78+DM78+EQ78)/G78</f>
        <v>0.9375</v>
      </c>
      <c r="EW78" s="1057"/>
      <c r="EX78" s="1073"/>
      <c r="EY78" s="1073"/>
      <c r="EZ78" s="1018"/>
      <c r="FA78" s="1018"/>
      <c r="FB78" s="777"/>
      <c r="FC78" s="83"/>
      <c r="FD78" s="83"/>
    </row>
    <row r="79" spans="1:160" ht="36" customHeight="1" thickBot="1" x14ac:dyDescent="0.3">
      <c r="A79" s="731"/>
      <c r="B79" s="731"/>
      <c r="C79" s="731"/>
      <c r="D79" s="731"/>
      <c r="E79" s="731"/>
      <c r="F79" s="81" t="s">
        <v>348</v>
      </c>
      <c r="G79" s="646">
        <f>G74+G77</f>
        <v>3831670430.2399998</v>
      </c>
      <c r="H79" s="647">
        <f t="shared" ref="H79:DK79" si="220">H74+H77</f>
        <v>381900000</v>
      </c>
      <c r="I79" s="647">
        <f t="shared" si="220"/>
        <v>0</v>
      </c>
      <c r="J79" s="647">
        <f t="shared" si="220"/>
        <v>0</v>
      </c>
      <c r="K79" s="647">
        <f t="shared" si="220"/>
        <v>381900000</v>
      </c>
      <c r="L79" s="647">
        <f t="shared" si="220"/>
        <v>27401143</v>
      </c>
      <c r="M79" s="647">
        <f t="shared" si="220"/>
        <v>381900000</v>
      </c>
      <c r="N79" s="647">
        <f t="shared" si="220"/>
        <v>102981143</v>
      </c>
      <c r="O79" s="647">
        <f t="shared" si="220"/>
        <v>303900000</v>
      </c>
      <c r="P79" s="647">
        <f t="shared" si="220"/>
        <v>119147442</v>
      </c>
      <c r="Q79" s="647">
        <f t="shared" si="220"/>
        <v>225075000</v>
      </c>
      <c r="R79" s="647">
        <f t="shared" si="220"/>
        <v>121576922</v>
      </c>
      <c r="S79" s="647">
        <f t="shared" si="220"/>
        <v>225075000</v>
      </c>
      <c r="T79" s="647">
        <f t="shared" si="220"/>
        <v>168075108</v>
      </c>
      <c r="U79" s="647">
        <f t="shared" si="220"/>
        <v>225075000</v>
      </c>
      <c r="V79" s="647">
        <f t="shared" si="220"/>
        <v>219942147</v>
      </c>
      <c r="W79" s="647">
        <f t="shared" si="220"/>
        <v>381900000</v>
      </c>
      <c r="X79" s="647">
        <f t="shared" si="220"/>
        <v>381900000</v>
      </c>
      <c r="Y79" s="647">
        <f t="shared" si="220"/>
        <v>219942147</v>
      </c>
      <c r="Z79" s="647">
        <f t="shared" si="220"/>
        <v>225075000</v>
      </c>
      <c r="AA79" s="647">
        <f t="shared" si="220"/>
        <v>219942147</v>
      </c>
      <c r="AB79" s="647">
        <f t="shared" si="220"/>
        <v>883534233</v>
      </c>
      <c r="AC79" s="647">
        <f t="shared" si="220"/>
        <v>11357200</v>
      </c>
      <c r="AD79" s="647">
        <f t="shared" si="220"/>
        <v>11357200</v>
      </c>
      <c r="AE79" s="647">
        <f t="shared" si="220"/>
        <v>128720065</v>
      </c>
      <c r="AF79" s="647">
        <f t="shared" si="220"/>
        <v>128720065</v>
      </c>
      <c r="AG79" s="647">
        <f t="shared" si="220"/>
        <v>364659330</v>
      </c>
      <c r="AH79" s="647">
        <f t="shared" si="220"/>
        <v>364659330</v>
      </c>
      <c r="AI79" s="647">
        <f t="shared" si="220"/>
        <v>195444727</v>
      </c>
      <c r="AJ79" s="647">
        <f t="shared" si="220"/>
        <v>195444727</v>
      </c>
      <c r="AK79" s="647">
        <f t="shared" si="220"/>
        <v>0</v>
      </c>
      <c r="AL79" s="647">
        <f t="shared" si="220"/>
        <v>0</v>
      </c>
      <c r="AM79" s="647">
        <f t="shared" si="220"/>
        <v>89884840</v>
      </c>
      <c r="AN79" s="647">
        <f t="shared" si="220"/>
        <v>68476840</v>
      </c>
      <c r="AO79" s="647">
        <f t="shared" si="220"/>
        <v>908965</v>
      </c>
      <c r="AP79" s="647">
        <f t="shared" si="220"/>
        <v>1687875</v>
      </c>
      <c r="AQ79" s="647">
        <f t="shared" si="220"/>
        <v>-490600</v>
      </c>
      <c r="AR79" s="647">
        <f t="shared" si="220"/>
        <v>-490600</v>
      </c>
      <c r="AS79" s="647">
        <f t="shared" si="220"/>
        <v>15000167</v>
      </c>
      <c r="AT79" s="647">
        <f t="shared" si="220"/>
        <v>20000000</v>
      </c>
      <c r="AU79" s="647">
        <f t="shared" si="220"/>
        <v>9525000</v>
      </c>
      <c r="AV79" s="647">
        <f t="shared" si="220"/>
        <v>20964600</v>
      </c>
      <c r="AW79" s="647">
        <f t="shared" si="220"/>
        <v>474833</v>
      </c>
      <c r="AX79" s="647">
        <f t="shared" si="220"/>
        <v>35001627</v>
      </c>
      <c r="AY79" s="647">
        <f t="shared" si="220"/>
        <v>66629733</v>
      </c>
      <c r="AZ79" s="647">
        <f t="shared" si="220"/>
        <v>14668333</v>
      </c>
      <c r="BA79" s="647">
        <f t="shared" si="220"/>
        <v>882114260</v>
      </c>
      <c r="BB79" s="647">
        <f t="shared" si="220"/>
        <v>882114260</v>
      </c>
      <c r="BC79" s="647">
        <f t="shared" si="220"/>
        <v>860489997</v>
      </c>
      <c r="BD79" s="647">
        <f t="shared" si="220"/>
        <v>882114260</v>
      </c>
      <c r="BE79" s="647">
        <f t="shared" si="220"/>
        <v>860489997</v>
      </c>
      <c r="BF79" s="647">
        <f t="shared" si="220"/>
        <v>852663535</v>
      </c>
      <c r="BG79" s="647">
        <f t="shared" si="220"/>
        <v>677598399</v>
      </c>
      <c r="BH79" s="647">
        <f t="shared" si="220"/>
        <v>677598399</v>
      </c>
      <c r="BI79" s="647">
        <f t="shared" si="220"/>
        <v>118548368</v>
      </c>
      <c r="BJ79" s="647">
        <f t="shared" si="220"/>
        <v>10950500</v>
      </c>
      <c r="BK79" s="647">
        <f t="shared" si="220"/>
        <v>21594000</v>
      </c>
      <c r="BL79" s="647">
        <f t="shared" si="220"/>
        <v>11105250</v>
      </c>
      <c r="BM79" s="647">
        <f t="shared" si="220"/>
        <v>15865935</v>
      </c>
      <c r="BN79" s="647">
        <f t="shared" si="220"/>
        <v>1540000</v>
      </c>
      <c r="BO79" s="647">
        <f t="shared" si="220"/>
        <v>0</v>
      </c>
      <c r="BP79" s="647">
        <f t="shared" si="220"/>
        <v>6460852</v>
      </c>
      <c r="BQ79" s="647">
        <f t="shared" si="220"/>
        <v>0</v>
      </c>
      <c r="BR79" s="647">
        <f t="shared" si="220"/>
        <v>8000000</v>
      </c>
      <c r="BS79" s="647">
        <f t="shared" si="220"/>
        <v>-1014900</v>
      </c>
      <c r="BT79" s="647">
        <f t="shared" si="220"/>
        <v>6580573</v>
      </c>
      <c r="BU79" s="647">
        <f t="shared" si="220"/>
        <v>850000</v>
      </c>
      <c r="BV79" s="647">
        <f t="shared" si="220"/>
        <v>0</v>
      </c>
      <c r="BW79" s="647">
        <f t="shared" si="220"/>
        <v>17874200</v>
      </c>
      <c r="BX79" s="647">
        <f t="shared" si="220"/>
        <v>55810023</v>
      </c>
      <c r="BY79" s="647">
        <f t="shared" si="220"/>
        <v>-7826001</v>
      </c>
      <c r="BZ79" s="647">
        <f t="shared" si="220"/>
        <v>3513429</v>
      </c>
      <c r="CA79" s="647">
        <f t="shared" si="220"/>
        <v>0</v>
      </c>
      <c r="CB79" s="647">
        <f t="shared" si="220"/>
        <v>19502500</v>
      </c>
      <c r="CC79" s="647">
        <f t="shared" si="220"/>
        <v>0</v>
      </c>
      <c r="CD79" s="647">
        <f t="shared" si="220"/>
        <v>27062256</v>
      </c>
      <c r="CE79" s="647">
        <f t="shared" si="220"/>
        <v>843490001</v>
      </c>
      <c r="CF79" s="647">
        <f t="shared" si="220"/>
        <v>843490001</v>
      </c>
      <c r="CG79" s="647">
        <f t="shared" si="220"/>
        <v>828123782</v>
      </c>
      <c r="CH79" s="647">
        <f t="shared" si="220"/>
        <v>843490001</v>
      </c>
      <c r="CI79" s="647">
        <f t="shared" si="220"/>
        <v>828123782</v>
      </c>
      <c r="CJ79" s="647">
        <f t="shared" si="220"/>
        <v>1048216864</v>
      </c>
      <c r="CK79" s="647">
        <f t="shared" si="220"/>
        <v>360649900</v>
      </c>
      <c r="CL79" s="647">
        <f t="shared" si="220"/>
        <v>360649900</v>
      </c>
      <c r="CM79" s="647">
        <f t="shared" si="220"/>
        <v>187105778</v>
      </c>
      <c r="CN79" s="647">
        <f t="shared" si="220"/>
        <v>187105778</v>
      </c>
      <c r="CO79" s="647">
        <f t="shared" si="220"/>
        <v>130695120</v>
      </c>
      <c r="CP79" s="647">
        <f t="shared" si="220"/>
        <v>130695120</v>
      </c>
      <c r="CQ79" s="647">
        <f t="shared" si="220"/>
        <v>123014000</v>
      </c>
      <c r="CR79" s="647">
        <f t="shared" si="220"/>
        <v>57001945.24000001</v>
      </c>
      <c r="CS79" s="647">
        <f t="shared" si="220"/>
        <v>96820593</v>
      </c>
      <c r="CT79" s="647">
        <f t="shared" si="220"/>
        <v>115558843</v>
      </c>
      <c r="CU79" s="647">
        <f t="shared" si="220"/>
        <v>25186500</v>
      </c>
      <c r="CV79" s="647">
        <f t="shared" si="220"/>
        <v>60648203</v>
      </c>
      <c r="CW79" s="647">
        <f t="shared" si="220"/>
        <v>17244000</v>
      </c>
      <c r="CX79" s="647">
        <f t="shared" si="220"/>
        <v>1316088</v>
      </c>
      <c r="CY79" s="647">
        <f t="shared" si="220"/>
        <v>0</v>
      </c>
      <c r="CZ79" s="647">
        <f t="shared" si="220"/>
        <v>4603392</v>
      </c>
      <c r="DA79" s="647">
        <f t="shared" si="220"/>
        <v>0</v>
      </c>
      <c r="DB79" s="647">
        <f t="shared" si="220"/>
        <v>10316088</v>
      </c>
      <c r="DC79" s="647">
        <f t="shared" si="220"/>
        <v>-3380233</v>
      </c>
      <c r="DD79" s="647">
        <f t="shared" si="220"/>
        <v>819945</v>
      </c>
      <c r="DE79" s="647">
        <f t="shared" si="220"/>
        <v>-79800000</v>
      </c>
      <c r="DF79" s="647">
        <f t="shared" si="220"/>
        <v>0</v>
      </c>
      <c r="DG79" s="647">
        <f t="shared" si="220"/>
        <v>105737412</v>
      </c>
      <c r="DH79" s="647">
        <f t="shared" si="220"/>
        <v>34544000</v>
      </c>
      <c r="DI79" s="647">
        <f t="shared" si="220"/>
        <v>963273069</v>
      </c>
      <c r="DJ79" s="647">
        <f t="shared" si="220"/>
        <v>963273070</v>
      </c>
      <c r="DK79" s="647">
        <f t="shared" si="220"/>
        <v>963259302.24000001</v>
      </c>
      <c r="DL79" s="647">
        <f>DL74+DL77</f>
        <v>963273069</v>
      </c>
      <c r="DM79" s="647">
        <f t="shared" ref="DM79:EQ79" si="221">DM74+DM77</f>
        <v>963259302.24000001</v>
      </c>
      <c r="DN79" s="647">
        <f t="shared" si="221"/>
        <v>959855202</v>
      </c>
      <c r="DO79" s="647">
        <f t="shared" si="221"/>
        <v>76662321</v>
      </c>
      <c r="DP79" s="647">
        <f t="shared" si="221"/>
        <v>76662321</v>
      </c>
      <c r="DQ79" s="647">
        <f t="shared" si="221"/>
        <v>271809580</v>
      </c>
      <c r="DR79" s="647">
        <f t="shared" si="221"/>
        <v>116665703</v>
      </c>
      <c r="DS79" s="647">
        <f t="shared" si="221"/>
        <v>0</v>
      </c>
      <c r="DT79" s="647">
        <f t="shared" si="221"/>
        <v>241146461</v>
      </c>
      <c r="DU79" s="647">
        <f t="shared" si="221"/>
        <v>34731000</v>
      </c>
      <c r="DV79" s="647">
        <f t="shared" si="221"/>
        <v>0</v>
      </c>
      <c r="DW79" s="647">
        <f t="shared" si="221"/>
        <v>21444568</v>
      </c>
      <c r="DX79" s="647">
        <f t="shared" si="221"/>
        <v>0</v>
      </c>
      <c r="DY79" s="647">
        <f t="shared" si="221"/>
        <v>555207733</v>
      </c>
      <c r="DZ79" s="647">
        <f t="shared" si="221"/>
        <v>0</v>
      </c>
      <c r="EA79" s="647">
        <f t="shared" si="221"/>
        <v>0</v>
      </c>
      <c r="EB79" s="647">
        <f t="shared" si="221"/>
        <v>0</v>
      </c>
      <c r="EC79" s="647">
        <f t="shared" si="221"/>
        <v>0</v>
      </c>
      <c r="ED79" s="647">
        <f t="shared" si="221"/>
        <v>0</v>
      </c>
      <c r="EE79" s="647">
        <f t="shared" si="221"/>
        <v>0</v>
      </c>
      <c r="EF79" s="647">
        <f t="shared" si="221"/>
        <v>0</v>
      </c>
      <c r="EG79" s="647">
        <f t="shared" si="221"/>
        <v>0</v>
      </c>
      <c r="EH79" s="647">
        <f t="shared" si="221"/>
        <v>0</v>
      </c>
      <c r="EI79" s="647">
        <f t="shared" si="221"/>
        <v>0</v>
      </c>
      <c r="EJ79" s="647">
        <f t="shared" si="221"/>
        <v>0</v>
      </c>
      <c r="EK79" s="647">
        <f t="shared" si="221"/>
        <v>0</v>
      </c>
      <c r="EL79" s="647">
        <f t="shared" si="221"/>
        <v>0</v>
      </c>
      <c r="EM79" s="647">
        <f t="shared" si="221"/>
        <v>959855202</v>
      </c>
      <c r="EN79" s="647">
        <f t="shared" si="221"/>
        <v>348471901</v>
      </c>
      <c r="EO79" s="647">
        <f t="shared" si="221"/>
        <v>434474485</v>
      </c>
      <c r="EP79" s="647">
        <f t="shared" si="221"/>
        <v>959855202</v>
      </c>
      <c r="EQ79" s="647">
        <f t="shared" si="221"/>
        <v>434474485</v>
      </c>
      <c r="ER79" s="648">
        <f t="shared" si="213"/>
        <v>0</v>
      </c>
      <c r="ES79" s="648">
        <f>EO79/EN79</f>
        <v>1.2467991931435527</v>
      </c>
      <c r="ET79" s="649">
        <f>EQ79/EP79</f>
        <v>0.45264586168279158</v>
      </c>
      <c r="EU79" s="649">
        <f>(AA79+BE79+CI79+DM79+EO79)/(Z79+BD79+CH79+DL79+EN79)</f>
        <v>1.0134456708061399</v>
      </c>
      <c r="EV79" s="650">
        <f>(AA79+BE79+CI79+DM79+EQ79)/G79</f>
        <v>0.86288468004616659</v>
      </c>
      <c r="EW79" s="1068"/>
      <c r="EX79" s="1076"/>
      <c r="EY79" s="1076"/>
      <c r="EZ79" s="1048"/>
      <c r="FA79" s="1048"/>
      <c r="FB79" s="778"/>
      <c r="FC79" s="90"/>
      <c r="FD79" s="90"/>
    </row>
    <row r="80" spans="1:160" ht="39.75" customHeight="1" x14ac:dyDescent="0.25">
      <c r="A80" s="760" t="s">
        <v>373</v>
      </c>
      <c r="B80" s="761"/>
      <c r="C80" s="761"/>
      <c r="D80" s="761"/>
      <c r="E80" s="762"/>
      <c r="F80" s="92" t="s">
        <v>374</v>
      </c>
      <c r="G80" s="655">
        <f>G11+G18+G25+G32+G39+G46+G53+G60+G67+G74</f>
        <v>20059303453</v>
      </c>
      <c r="H80" s="656">
        <f t="shared" ref="H80:Z80" si="222">+H11+H18+H25+H39+H46+H53+H60+H67+H74</f>
        <v>2430913490</v>
      </c>
      <c r="I80" s="656">
        <f t="shared" si="222"/>
        <v>0</v>
      </c>
      <c r="J80" s="656">
        <f t="shared" si="222"/>
        <v>0</v>
      </c>
      <c r="K80" s="656">
        <f t="shared" si="222"/>
        <v>2430913490</v>
      </c>
      <c r="L80" s="656">
        <f t="shared" si="222"/>
        <v>536091143</v>
      </c>
      <c r="M80" s="656">
        <f t="shared" si="222"/>
        <v>2430913490</v>
      </c>
      <c r="N80" s="656">
        <f t="shared" si="222"/>
        <v>1639621143</v>
      </c>
      <c r="O80" s="656">
        <f t="shared" si="222"/>
        <v>2430913490</v>
      </c>
      <c r="P80" s="656">
        <f t="shared" si="222"/>
        <v>1683036442</v>
      </c>
      <c r="Q80" s="656">
        <f t="shared" si="222"/>
        <v>2430913490</v>
      </c>
      <c r="R80" s="656">
        <f t="shared" si="222"/>
        <v>1685465922</v>
      </c>
      <c r="S80" s="656">
        <f t="shared" si="222"/>
        <v>2425566490</v>
      </c>
      <c r="T80" s="656">
        <f t="shared" si="222"/>
        <v>1856914271</v>
      </c>
      <c r="U80" s="656">
        <f t="shared" si="222"/>
        <v>2425566490</v>
      </c>
      <c r="V80" s="656">
        <f t="shared" si="222"/>
        <v>2349308440</v>
      </c>
      <c r="W80" s="656">
        <f t="shared" si="222"/>
        <v>2430913490</v>
      </c>
      <c r="X80" s="656">
        <f t="shared" si="222"/>
        <v>2430913490</v>
      </c>
      <c r="Y80" s="656">
        <f t="shared" si="222"/>
        <v>2349308440</v>
      </c>
      <c r="Z80" s="656">
        <f t="shared" si="222"/>
        <v>2425566490</v>
      </c>
      <c r="AA80" s="656">
        <f>+AA11+AA18+AA25+AA39+AA46+AA53+AA60+AA67+AA74+AA32</f>
        <v>2444467440</v>
      </c>
      <c r="AB80" s="656">
        <f>+AB11+AB18+AB25+AB32+AB39+AB46+AB53+AB60+AB67+AB74</f>
        <v>3459505000</v>
      </c>
      <c r="AC80" s="656">
        <f t="shared" ref="AC80:AP80" si="223">+AC11+AC18+AC25+AC39+AC46+AC53+AC60+AC67+AC74</f>
        <v>0</v>
      </c>
      <c r="AD80" s="656">
        <f t="shared" si="223"/>
        <v>0</v>
      </c>
      <c r="AE80" s="656">
        <f t="shared" si="223"/>
        <v>1382696694</v>
      </c>
      <c r="AF80" s="656">
        <f t="shared" si="223"/>
        <v>1382696694</v>
      </c>
      <c r="AG80" s="656">
        <f t="shared" si="223"/>
        <v>1038223000</v>
      </c>
      <c r="AH80" s="656">
        <f t="shared" si="223"/>
        <v>1038223000</v>
      </c>
      <c r="AI80" s="656">
        <f t="shared" si="223"/>
        <v>207881000</v>
      </c>
      <c r="AJ80" s="656">
        <f t="shared" si="223"/>
        <v>207881000</v>
      </c>
      <c r="AK80" s="656">
        <f t="shared" si="223"/>
        <v>0</v>
      </c>
      <c r="AL80" s="656">
        <f t="shared" si="223"/>
        <v>0</v>
      </c>
      <c r="AM80" s="656">
        <f t="shared" si="223"/>
        <v>141921772</v>
      </c>
      <c r="AN80" s="656">
        <f t="shared" si="223"/>
        <v>128629200</v>
      </c>
      <c r="AO80" s="656">
        <f t="shared" si="223"/>
        <v>8622572</v>
      </c>
      <c r="AP80" s="656">
        <f t="shared" si="223"/>
        <v>778910</v>
      </c>
      <c r="AQ80" s="656">
        <f>+AS11+AQ18+AQ25+AQ39+AQ46+AQ53+AQ60+AQ67+AQ74</f>
        <v>97297856</v>
      </c>
      <c r="AR80" s="656">
        <f>+AR11+AR18+AR25+AR39+AR46+AR53+AR60+AR67+AR74</f>
        <v>43542000</v>
      </c>
      <c r="AS80" s="656">
        <f>+AU11+AS18+AS25+AS39+AS46+AS53+AS60+AS67+AS74</f>
        <v>335789389</v>
      </c>
      <c r="AT80" s="656">
        <f t="shared" ref="AT80:AZ80" si="224">+AT11+AT18+AT25+AT39+AT46+AT53+AT60+AT67+AT74</f>
        <v>265821000</v>
      </c>
      <c r="AU80" s="656">
        <f t="shared" si="224"/>
        <v>105505000</v>
      </c>
      <c r="AV80" s="656">
        <f t="shared" si="224"/>
        <v>37714900</v>
      </c>
      <c r="AW80" s="656">
        <f t="shared" si="224"/>
        <v>4528833</v>
      </c>
      <c r="AX80" s="656">
        <f t="shared" si="224"/>
        <v>104244727</v>
      </c>
      <c r="AY80" s="656">
        <f t="shared" si="224"/>
        <v>71252200</v>
      </c>
      <c r="AZ80" s="656">
        <f t="shared" si="224"/>
        <v>56021733</v>
      </c>
      <c r="BA80" s="656">
        <f t="shared" ref="BA80:CE80" si="225">+BA11+BA18+BA25+BA32+BA39+BA46+BA53+BA60+BA67+BA74</f>
        <v>3454840816</v>
      </c>
      <c r="BB80" s="656">
        <f t="shared" si="225"/>
        <v>3454840816</v>
      </c>
      <c r="BC80" s="656">
        <f t="shared" si="225"/>
        <v>3342341664</v>
      </c>
      <c r="BD80" s="656">
        <f t="shared" si="225"/>
        <v>3454840816</v>
      </c>
      <c r="BE80" s="656">
        <f t="shared" si="225"/>
        <v>3342341664</v>
      </c>
      <c r="BF80" s="656">
        <f t="shared" si="225"/>
        <v>3695776000</v>
      </c>
      <c r="BG80" s="656">
        <f t="shared" si="225"/>
        <v>3356030000</v>
      </c>
      <c r="BH80" s="656">
        <f t="shared" si="225"/>
        <v>3356030000</v>
      </c>
      <c r="BI80" s="656">
        <f t="shared" si="225"/>
        <v>148188000</v>
      </c>
      <c r="BJ80" s="656">
        <f t="shared" si="225"/>
        <v>0</v>
      </c>
      <c r="BK80" s="656">
        <f t="shared" si="225"/>
        <v>25148334</v>
      </c>
      <c r="BL80" s="656">
        <f t="shared" si="225"/>
        <v>2457000</v>
      </c>
      <c r="BM80" s="656">
        <f t="shared" si="225"/>
        <v>425000</v>
      </c>
      <c r="BN80" s="656">
        <f t="shared" si="225"/>
        <v>1540000</v>
      </c>
      <c r="BO80" s="656">
        <f t="shared" si="225"/>
        <v>0</v>
      </c>
      <c r="BP80" s="656">
        <f t="shared" si="225"/>
        <v>0</v>
      </c>
      <c r="BQ80" s="656">
        <f t="shared" si="225"/>
        <v>835200</v>
      </c>
      <c r="BR80" s="656">
        <f t="shared" si="225"/>
        <v>56398000</v>
      </c>
      <c r="BS80" s="656">
        <f t="shared" si="225"/>
        <v>140000000</v>
      </c>
      <c r="BT80" s="656">
        <f t="shared" si="225"/>
        <v>148160573</v>
      </c>
      <c r="BU80" s="656">
        <f t="shared" si="225"/>
        <v>850000</v>
      </c>
      <c r="BV80" s="656">
        <f t="shared" si="225"/>
        <v>0</v>
      </c>
      <c r="BW80" s="656">
        <f t="shared" si="225"/>
        <v>114927800</v>
      </c>
      <c r="BX80" s="656">
        <f t="shared" si="225"/>
        <v>166431357</v>
      </c>
      <c r="BY80" s="656">
        <f t="shared" si="225"/>
        <v>64058934</v>
      </c>
      <c r="BZ80" s="656">
        <f t="shared" si="225"/>
        <v>43877829</v>
      </c>
      <c r="CA80" s="656">
        <f t="shared" si="225"/>
        <v>384169466</v>
      </c>
      <c r="CB80" s="656">
        <f t="shared" si="225"/>
        <v>112758499</v>
      </c>
      <c r="CC80" s="656">
        <f t="shared" si="225"/>
        <v>17399028</v>
      </c>
      <c r="CD80" s="656">
        <f t="shared" si="225"/>
        <v>85445655</v>
      </c>
      <c r="CE80" s="656">
        <f t="shared" si="225"/>
        <v>4252031762</v>
      </c>
      <c r="CF80" s="656">
        <f>+BG80+BI80+BK80+BM80+BO80+BQ80+BS80+BU80+BW80+BY80+CA80+CC80</f>
        <v>4252031762</v>
      </c>
      <c r="CG80" s="656">
        <f t="shared" ref="CG80:DH80" si="226">+CG11+CG18+CG25+CG32+CG39+CG46+CG53+CG60+CG67+CG74</f>
        <v>3973098913</v>
      </c>
      <c r="CH80" s="656">
        <f t="shared" si="226"/>
        <v>4252031762</v>
      </c>
      <c r="CI80" s="656">
        <f t="shared" si="226"/>
        <v>3973098913</v>
      </c>
      <c r="CJ80" s="656">
        <f t="shared" si="226"/>
        <v>4845293000</v>
      </c>
      <c r="CK80" s="656">
        <f>+CK11+CK18+CK25+CK32+CK39+CK46+CK53+CK60+CK67+CK74</f>
        <v>727612000</v>
      </c>
      <c r="CL80" s="656">
        <f t="shared" si="226"/>
        <v>727612000</v>
      </c>
      <c r="CM80" s="656">
        <f t="shared" si="226"/>
        <v>2224574000</v>
      </c>
      <c r="CN80" s="656">
        <f t="shared" si="226"/>
        <v>2224574000</v>
      </c>
      <c r="CO80" s="656">
        <f t="shared" si="226"/>
        <v>271209526</v>
      </c>
      <c r="CP80" s="656">
        <f t="shared" si="226"/>
        <v>271209526</v>
      </c>
      <c r="CQ80" s="656">
        <f t="shared" si="226"/>
        <v>109794000</v>
      </c>
      <c r="CR80" s="656">
        <f t="shared" si="226"/>
        <v>83054610</v>
      </c>
      <c r="CS80" s="656">
        <f t="shared" si="226"/>
        <v>825325000</v>
      </c>
      <c r="CT80" s="656">
        <f t="shared" si="226"/>
        <v>25865610</v>
      </c>
      <c r="CU80" s="656">
        <f t="shared" si="226"/>
        <v>162817000</v>
      </c>
      <c r="CV80" s="656">
        <f t="shared" si="226"/>
        <v>17050466</v>
      </c>
      <c r="CW80" s="656">
        <f t="shared" si="226"/>
        <v>18744000</v>
      </c>
      <c r="CX80" s="656">
        <f t="shared" si="226"/>
        <v>545898088</v>
      </c>
      <c r="CY80" s="656">
        <f t="shared" si="226"/>
        <v>0</v>
      </c>
      <c r="CZ80" s="656">
        <f t="shared" si="226"/>
        <v>164268088</v>
      </c>
      <c r="DA80" s="656">
        <f t="shared" si="226"/>
        <v>-10146501</v>
      </c>
      <c r="DB80" s="656">
        <f t="shared" si="226"/>
        <v>103907088</v>
      </c>
      <c r="DC80" s="656">
        <f t="shared" si="226"/>
        <v>50000000</v>
      </c>
      <c r="DD80" s="656">
        <f t="shared" si="226"/>
        <v>734524</v>
      </c>
      <c r="DE80" s="656">
        <f t="shared" si="226"/>
        <v>19938000</v>
      </c>
      <c r="DF80" s="656">
        <f t="shared" si="226"/>
        <v>35395000</v>
      </c>
      <c r="DG80" s="656">
        <f t="shared" si="226"/>
        <v>322920975</v>
      </c>
      <c r="DH80" s="656">
        <f t="shared" si="226"/>
        <v>288014436</v>
      </c>
      <c r="DI80" s="657">
        <f>+DI11+DI18+DI25+DI32+DI39+DI46+DI53+DI60+DI67+DI74</f>
        <v>4722788000</v>
      </c>
      <c r="DJ80" s="657">
        <f>CK80+CM80+CO80+CQ80+CS80+CU80+CW80</f>
        <v>4340075526</v>
      </c>
      <c r="DK80" s="657">
        <f t="shared" ref="DK80:EQ80" si="227">+DK11+DK18+DK25+DK32+DK39+DK46+DK53+DK60+DK67+DK74</f>
        <v>4487583436</v>
      </c>
      <c r="DL80" s="656">
        <f t="shared" si="227"/>
        <v>4722788000</v>
      </c>
      <c r="DM80" s="656">
        <f t="shared" si="227"/>
        <v>4487583436</v>
      </c>
      <c r="DN80" s="656">
        <f t="shared" si="227"/>
        <v>5811812000</v>
      </c>
      <c r="DO80" s="656">
        <f t="shared" si="227"/>
        <v>219470000</v>
      </c>
      <c r="DP80" s="656">
        <f t="shared" si="227"/>
        <v>219470000</v>
      </c>
      <c r="DQ80" s="656">
        <f t="shared" si="227"/>
        <v>1398487267</v>
      </c>
      <c r="DR80" s="656">
        <f t="shared" si="227"/>
        <v>546125760</v>
      </c>
      <c r="DS80" s="656">
        <f t="shared" si="227"/>
        <v>0</v>
      </c>
      <c r="DT80" s="656">
        <f t="shared" si="227"/>
        <v>487592880</v>
      </c>
      <c r="DU80" s="656">
        <f t="shared" si="227"/>
        <v>245446000</v>
      </c>
      <c r="DV80" s="656">
        <f t="shared" si="227"/>
        <v>0</v>
      </c>
      <c r="DW80" s="656">
        <f t="shared" si="227"/>
        <v>10622000</v>
      </c>
      <c r="DX80" s="656">
        <f t="shared" si="227"/>
        <v>0</v>
      </c>
      <c r="DY80" s="656">
        <f t="shared" si="227"/>
        <v>3937786733</v>
      </c>
      <c r="DZ80" s="656">
        <f t="shared" si="227"/>
        <v>0</v>
      </c>
      <c r="EA80" s="656">
        <f t="shared" si="227"/>
        <v>0</v>
      </c>
      <c r="EB80" s="656">
        <f t="shared" si="227"/>
        <v>0</v>
      </c>
      <c r="EC80" s="656">
        <f t="shared" si="227"/>
        <v>0</v>
      </c>
      <c r="ED80" s="656">
        <f t="shared" si="227"/>
        <v>0</v>
      </c>
      <c r="EE80" s="656">
        <f t="shared" si="227"/>
        <v>0</v>
      </c>
      <c r="EF80" s="656">
        <f t="shared" si="227"/>
        <v>0</v>
      </c>
      <c r="EG80" s="656">
        <f t="shared" si="227"/>
        <v>0</v>
      </c>
      <c r="EH80" s="656">
        <f t="shared" si="227"/>
        <v>0</v>
      </c>
      <c r="EI80" s="656">
        <f t="shared" si="227"/>
        <v>0</v>
      </c>
      <c r="EJ80" s="656">
        <f t="shared" si="227"/>
        <v>0</v>
      </c>
      <c r="EK80" s="656">
        <f t="shared" si="227"/>
        <v>0</v>
      </c>
      <c r="EL80" s="656">
        <f t="shared" si="227"/>
        <v>0</v>
      </c>
      <c r="EM80" s="656">
        <f t="shared" si="227"/>
        <v>5811812000</v>
      </c>
      <c r="EN80" s="656">
        <f t="shared" si="227"/>
        <v>1617957267</v>
      </c>
      <c r="EO80" s="656">
        <f t="shared" si="227"/>
        <v>1253188640</v>
      </c>
      <c r="EP80" s="656">
        <f t="shared" si="227"/>
        <v>5811812000</v>
      </c>
      <c r="EQ80" s="1125">
        <f t="shared" si="227"/>
        <v>1253188640</v>
      </c>
      <c r="ER80" s="767"/>
      <c r="ES80" s="768"/>
      <c r="ET80" s="768"/>
      <c r="EU80" s="768"/>
      <c r="EV80" s="768"/>
      <c r="EW80" s="769"/>
      <c r="EX80" s="769"/>
      <c r="EY80" s="769"/>
      <c r="EZ80" s="769"/>
      <c r="FA80" s="770"/>
      <c r="FB80" s="93"/>
      <c r="FC80" s="94"/>
      <c r="FD80" s="94"/>
    </row>
    <row r="81" spans="1:160" ht="38.25" customHeight="1" x14ac:dyDescent="0.25">
      <c r="A81" s="688"/>
      <c r="B81" s="689"/>
      <c r="C81" s="689"/>
      <c r="D81" s="689"/>
      <c r="E81" s="763"/>
      <c r="F81" s="95" t="s">
        <v>375</v>
      </c>
      <c r="G81" s="658">
        <f>G14+G23+G28+G35+G42+G49+G56+G63+G70+G77</f>
        <v>3826875760.2399998</v>
      </c>
      <c r="H81" s="659">
        <f t="shared" ref="H81:BA81" si="228">+H14+H21+H28+H35+H42+H49+H56+H63+H70+H77</f>
        <v>0</v>
      </c>
      <c r="I81" s="659">
        <f t="shared" si="228"/>
        <v>0</v>
      </c>
      <c r="J81" s="659">
        <f t="shared" si="228"/>
        <v>0</v>
      </c>
      <c r="K81" s="659">
        <f t="shared" si="228"/>
        <v>0</v>
      </c>
      <c r="L81" s="659">
        <f t="shared" si="228"/>
        <v>0</v>
      </c>
      <c r="M81" s="659">
        <f t="shared" si="228"/>
        <v>0</v>
      </c>
      <c r="N81" s="659">
        <f t="shared" si="228"/>
        <v>0</v>
      </c>
      <c r="O81" s="659">
        <f t="shared" si="228"/>
        <v>0</v>
      </c>
      <c r="P81" s="659">
        <f t="shared" si="228"/>
        <v>0</v>
      </c>
      <c r="Q81" s="659">
        <f t="shared" si="228"/>
        <v>0</v>
      </c>
      <c r="R81" s="659">
        <f t="shared" si="228"/>
        <v>0</v>
      </c>
      <c r="S81" s="659">
        <f t="shared" si="228"/>
        <v>0</v>
      </c>
      <c r="T81" s="659">
        <f t="shared" si="228"/>
        <v>0</v>
      </c>
      <c r="U81" s="659">
        <f t="shared" si="228"/>
        <v>0</v>
      </c>
      <c r="V81" s="659">
        <f t="shared" si="228"/>
        <v>0</v>
      </c>
      <c r="W81" s="659">
        <f t="shared" si="228"/>
        <v>0</v>
      </c>
      <c r="X81" s="659">
        <f t="shared" si="228"/>
        <v>0</v>
      </c>
      <c r="Y81" s="659">
        <f t="shared" si="228"/>
        <v>0</v>
      </c>
      <c r="Z81" s="659">
        <f t="shared" si="228"/>
        <v>0</v>
      </c>
      <c r="AA81" s="659">
        <f t="shared" si="228"/>
        <v>0</v>
      </c>
      <c r="AB81" s="659">
        <f t="shared" si="228"/>
        <v>793552573</v>
      </c>
      <c r="AC81" s="659">
        <f t="shared" si="228"/>
        <v>135468608</v>
      </c>
      <c r="AD81" s="659">
        <f t="shared" si="228"/>
        <v>135468608</v>
      </c>
      <c r="AE81" s="659">
        <f t="shared" si="228"/>
        <v>298385908</v>
      </c>
      <c r="AF81" s="659">
        <f t="shared" si="228"/>
        <v>298385908</v>
      </c>
      <c r="AG81" s="659">
        <f t="shared" si="228"/>
        <v>199080222</v>
      </c>
      <c r="AH81" s="659">
        <f t="shared" si="228"/>
        <v>199080222</v>
      </c>
      <c r="AI81" s="659">
        <f t="shared" si="228"/>
        <v>69428367</v>
      </c>
      <c r="AJ81" s="659">
        <f t="shared" si="228"/>
        <v>69428367</v>
      </c>
      <c r="AK81" s="659">
        <f t="shared" si="228"/>
        <v>33882400</v>
      </c>
      <c r="AL81" s="659">
        <f t="shared" si="228"/>
        <v>33882400</v>
      </c>
      <c r="AM81" s="659">
        <f t="shared" si="228"/>
        <v>24326236</v>
      </c>
      <c r="AN81" s="659">
        <f t="shared" si="228"/>
        <v>24326236</v>
      </c>
      <c r="AO81" s="659">
        <f t="shared" si="228"/>
        <v>32919965</v>
      </c>
      <c r="AP81" s="659">
        <f t="shared" si="228"/>
        <v>32919965</v>
      </c>
      <c r="AQ81" s="659">
        <f t="shared" si="228"/>
        <v>-429733</v>
      </c>
      <c r="AR81" s="659">
        <f t="shared" si="228"/>
        <v>-490600</v>
      </c>
      <c r="AS81" s="659">
        <f t="shared" si="228"/>
        <v>0</v>
      </c>
      <c r="AT81" s="659">
        <f t="shared" si="228"/>
        <v>0</v>
      </c>
      <c r="AU81" s="659">
        <f t="shared" si="228"/>
        <v>-60867</v>
      </c>
      <c r="AV81" s="659">
        <f t="shared" si="228"/>
        <v>0</v>
      </c>
      <c r="AW81" s="659">
        <f t="shared" si="228"/>
        <v>0</v>
      </c>
      <c r="AX81" s="659">
        <f t="shared" si="228"/>
        <v>0</v>
      </c>
      <c r="AY81" s="659">
        <f t="shared" si="228"/>
        <v>0</v>
      </c>
      <c r="AZ81" s="659">
        <f t="shared" si="228"/>
        <v>0</v>
      </c>
      <c r="BA81" s="659">
        <f t="shared" si="228"/>
        <v>793001106</v>
      </c>
      <c r="BB81" s="659">
        <f>AC81+AE81+AG81+AI81+AK81+AM81+AO81+AQ81+AS81+AU81+AW81</f>
        <v>793001106</v>
      </c>
      <c r="BC81" s="659">
        <f t="shared" ref="BC81:CE81" si="229">+BC14+BC21+BC28+BC35+BC42+BC49+BC56+BC63+BC70+BC77</f>
        <v>793001106</v>
      </c>
      <c r="BD81" s="659">
        <f t="shared" si="229"/>
        <v>793001106</v>
      </c>
      <c r="BE81" s="659">
        <f t="shared" si="229"/>
        <v>793001106</v>
      </c>
      <c r="BF81" s="659">
        <f t="shared" si="229"/>
        <v>368710400</v>
      </c>
      <c r="BG81" s="659">
        <f t="shared" si="229"/>
        <v>220075799</v>
      </c>
      <c r="BH81" s="659">
        <f t="shared" si="229"/>
        <v>220075799</v>
      </c>
      <c r="BI81" s="659">
        <f t="shared" si="229"/>
        <v>107918101</v>
      </c>
      <c r="BJ81" s="659">
        <f t="shared" si="229"/>
        <v>84479433</v>
      </c>
      <c r="BK81" s="659">
        <f t="shared" si="229"/>
        <v>0</v>
      </c>
      <c r="BL81" s="659">
        <f t="shared" si="229"/>
        <v>29562034</v>
      </c>
      <c r="BM81" s="659">
        <f t="shared" si="229"/>
        <v>32099868</v>
      </c>
      <c r="BN81" s="659">
        <f t="shared" si="229"/>
        <v>6940000</v>
      </c>
      <c r="BO81" s="659">
        <f t="shared" si="229"/>
        <v>0</v>
      </c>
      <c r="BP81" s="659">
        <f t="shared" si="229"/>
        <v>18020801</v>
      </c>
      <c r="BQ81" s="659">
        <f t="shared" si="229"/>
        <v>0</v>
      </c>
      <c r="BR81" s="659">
        <f t="shared" si="229"/>
        <v>0</v>
      </c>
      <c r="BS81" s="659">
        <f t="shared" si="229"/>
        <v>-1014900</v>
      </c>
      <c r="BT81" s="659">
        <f t="shared" si="229"/>
        <v>0</v>
      </c>
      <c r="BU81" s="659">
        <f t="shared" si="229"/>
        <v>0</v>
      </c>
      <c r="BV81" s="659">
        <f t="shared" si="229"/>
        <v>0</v>
      </c>
      <c r="BW81" s="659">
        <f t="shared" si="229"/>
        <v>-800</v>
      </c>
      <c r="BX81" s="659">
        <f t="shared" si="229"/>
        <v>0</v>
      </c>
      <c r="BY81" s="659">
        <f t="shared" si="229"/>
        <v>-1</v>
      </c>
      <c r="BZ81" s="659">
        <f t="shared" si="229"/>
        <v>0</v>
      </c>
      <c r="CA81" s="659">
        <f t="shared" si="229"/>
        <v>0</v>
      </c>
      <c r="CB81" s="659">
        <f t="shared" si="229"/>
        <v>0</v>
      </c>
      <c r="CC81" s="659">
        <f t="shared" si="229"/>
        <v>0</v>
      </c>
      <c r="CD81" s="659">
        <f t="shared" si="229"/>
        <v>0</v>
      </c>
      <c r="CE81" s="659">
        <f t="shared" si="229"/>
        <v>359078067</v>
      </c>
      <c r="CF81" s="659">
        <f>+BG81+BI81+BK81+BM81+BO81+BQ81+BS81+BU81+BW81+BY81+CA81+CC81</f>
        <v>359078067</v>
      </c>
      <c r="CG81" s="659">
        <f t="shared" ref="CG81:DI81" si="230">+CG14+CG21+CG28+CG35+CG42+CG49+CG56+CG63+CG70+CG77</f>
        <v>359078067</v>
      </c>
      <c r="CH81" s="659">
        <f t="shared" si="230"/>
        <v>359078067</v>
      </c>
      <c r="CI81" s="659">
        <f t="shared" si="230"/>
        <v>359078067</v>
      </c>
      <c r="CJ81" s="660">
        <f t="shared" si="230"/>
        <v>650636963</v>
      </c>
      <c r="CK81" s="659">
        <f t="shared" si="230"/>
        <v>160245065</v>
      </c>
      <c r="CL81" s="659">
        <f t="shared" si="230"/>
        <v>160245065</v>
      </c>
      <c r="CM81" s="659">
        <f t="shared" si="230"/>
        <v>92781241</v>
      </c>
      <c r="CN81" s="659">
        <f t="shared" si="230"/>
        <v>92781241</v>
      </c>
      <c r="CO81" s="659">
        <f t="shared" si="230"/>
        <v>47873985</v>
      </c>
      <c r="CP81" s="659">
        <f t="shared" si="230"/>
        <v>47873985</v>
      </c>
      <c r="CQ81" s="659">
        <f t="shared" si="230"/>
        <v>160325900</v>
      </c>
      <c r="CR81" s="659">
        <f t="shared" si="230"/>
        <v>78049321.24000001</v>
      </c>
      <c r="CS81" s="659">
        <f t="shared" si="230"/>
        <v>137535868</v>
      </c>
      <c r="CT81" s="659">
        <f t="shared" si="230"/>
        <v>132160850</v>
      </c>
      <c r="CU81" s="659">
        <f t="shared" si="230"/>
        <v>49835696</v>
      </c>
      <c r="CV81" s="659">
        <f t="shared" si="230"/>
        <v>116663469</v>
      </c>
      <c r="CW81" s="659">
        <f t="shared" si="230"/>
        <v>0</v>
      </c>
      <c r="CX81" s="659">
        <f t="shared" si="230"/>
        <v>335460</v>
      </c>
      <c r="CY81" s="659">
        <f t="shared" si="230"/>
        <v>0</v>
      </c>
      <c r="CZ81" s="659">
        <f t="shared" si="230"/>
        <v>3152304</v>
      </c>
      <c r="DA81" s="659">
        <f t="shared" si="230"/>
        <v>0</v>
      </c>
      <c r="DB81" s="659">
        <f t="shared" si="230"/>
        <v>0</v>
      </c>
      <c r="DC81" s="659">
        <f t="shared" si="230"/>
        <v>0</v>
      </c>
      <c r="DD81" s="659">
        <f t="shared" si="230"/>
        <v>17273802</v>
      </c>
      <c r="DE81" s="659">
        <f t="shared" si="230"/>
        <v>0</v>
      </c>
      <c r="DF81" s="659">
        <f t="shared" si="230"/>
        <v>0</v>
      </c>
      <c r="DG81" s="659">
        <f t="shared" si="230"/>
        <v>-62257</v>
      </c>
      <c r="DH81" s="659">
        <f t="shared" si="230"/>
        <v>0</v>
      </c>
      <c r="DI81" s="661">
        <f t="shared" si="230"/>
        <v>648535497</v>
      </c>
      <c r="DJ81" s="662">
        <f>CK81+CM81+CO81+CQ81+CS81+CU81+CW81</f>
        <v>648597755</v>
      </c>
      <c r="DK81" s="661">
        <f>+DK14+DK21+DK28+DK35+DK42+DK49+DK56+DK63+DK70+DK77</f>
        <v>648535497.24000001</v>
      </c>
      <c r="DL81" s="659">
        <f>+DL14+DL21+DL28+DL35+DL42+DL49+DL56+DL63+DL70+DL77</f>
        <v>648535497</v>
      </c>
      <c r="DM81" s="659">
        <f>+DM14+DM21+DM28+DM35+DM42+DM49+DM56+DM63+DM70+DM77</f>
        <v>648535497.24000001</v>
      </c>
      <c r="DN81" s="659">
        <f>+DN14+DN21+DN28+DN35+DN42+DN49+DN56+DN63+DN70+DN77</f>
        <v>1034116590</v>
      </c>
      <c r="DO81" s="659">
        <f t="shared" ref="DO81:EQ81" si="231">+DO14+DO21+DO28+DO35+DO42+DO49+DO56+DO63+DO70+DO77</f>
        <v>206199167</v>
      </c>
      <c r="DP81" s="659">
        <f t="shared" si="231"/>
        <v>206199167</v>
      </c>
      <c r="DQ81" s="659">
        <f t="shared" si="231"/>
        <v>167003418</v>
      </c>
      <c r="DR81" s="659">
        <f t="shared" si="231"/>
        <v>222519697</v>
      </c>
      <c r="DS81" s="659">
        <f t="shared" si="231"/>
        <v>31972614</v>
      </c>
      <c r="DT81" s="659">
        <f t="shared" si="231"/>
        <v>119603239</v>
      </c>
      <c r="DU81" s="659">
        <f t="shared" si="231"/>
        <v>6211882</v>
      </c>
      <c r="DV81" s="659">
        <f t="shared" si="231"/>
        <v>0</v>
      </c>
      <c r="DW81" s="659">
        <f t="shared" si="231"/>
        <v>92256103</v>
      </c>
      <c r="DX81" s="659">
        <f t="shared" si="231"/>
        <v>0</v>
      </c>
      <c r="DY81" s="659">
        <f t="shared" si="231"/>
        <v>530473406</v>
      </c>
      <c r="DZ81" s="659">
        <f t="shared" si="231"/>
        <v>0</v>
      </c>
      <c r="EA81" s="659">
        <f t="shared" si="231"/>
        <v>0</v>
      </c>
      <c r="EB81" s="659">
        <f t="shared" si="231"/>
        <v>0</v>
      </c>
      <c r="EC81" s="659">
        <f t="shared" si="231"/>
        <v>0</v>
      </c>
      <c r="ED81" s="659">
        <f t="shared" si="231"/>
        <v>0</v>
      </c>
      <c r="EE81" s="659">
        <f t="shared" si="231"/>
        <v>0</v>
      </c>
      <c r="EF81" s="659">
        <f t="shared" si="231"/>
        <v>0</v>
      </c>
      <c r="EG81" s="659">
        <f t="shared" si="231"/>
        <v>0</v>
      </c>
      <c r="EH81" s="659">
        <f t="shared" si="231"/>
        <v>0</v>
      </c>
      <c r="EI81" s="659">
        <f t="shared" si="231"/>
        <v>0</v>
      </c>
      <c r="EJ81" s="659">
        <f t="shared" si="231"/>
        <v>0</v>
      </c>
      <c r="EK81" s="659">
        <f t="shared" si="231"/>
        <v>0</v>
      </c>
      <c r="EL81" s="659">
        <f t="shared" si="231"/>
        <v>0</v>
      </c>
      <c r="EM81" s="659">
        <f t="shared" si="231"/>
        <v>1034116590</v>
      </c>
      <c r="EN81" s="659">
        <f t="shared" si="231"/>
        <v>405175199</v>
      </c>
      <c r="EO81" s="659">
        <f t="shared" si="231"/>
        <v>548322103</v>
      </c>
      <c r="EP81" s="659">
        <f t="shared" si="231"/>
        <v>1034116590</v>
      </c>
      <c r="EQ81" s="1126">
        <f t="shared" si="231"/>
        <v>548322103</v>
      </c>
      <c r="ER81" s="768"/>
      <c r="ES81" s="771"/>
      <c r="ET81" s="771"/>
      <c r="EU81" s="771"/>
      <c r="EV81" s="771"/>
      <c r="EW81" s="771"/>
      <c r="EX81" s="771"/>
      <c r="EY81" s="771"/>
      <c r="EZ81" s="771"/>
      <c r="FA81" s="772"/>
      <c r="FB81" s="93"/>
      <c r="FC81" s="94"/>
      <c r="FD81" s="94"/>
    </row>
    <row r="82" spans="1:160" ht="42" customHeight="1" thickBot="1" x14ac:dyDescent="0.3">
      <c r="A82" s="691"/>
      <c r="B82" s="692"/>
      <c r="C82" s="692"/>
      <c r="D82" s="692"/>
      <c r="E82" s="764"/>
      <c r="F82" s="96" t="s">
        <v>376</v>
      </c>
      <c r="G82" s="663">
        <f t="shared" ref="G82:DI82" si="232">G80+G81</f>
        <v>23886179213.239998</v>
      </c>
      <c r="H82" s="664">
        <f t="shared" si="232"/>
        <v>2430913490</v>
      </c>
      <c r="I82" s="664">
        <f t="shared" si="232"/>
        <v>0</v>
      </c>
      <c r="J82" s="664">
        <f t="shared" si="232"/>
        <v>0</v>
      </c>
      <c r="K82" s="664">
        <f t="shared" si="232"/>
        <v>2430913490</v>
      </c>
      <c r="L82" s="664">
        <f t="shared" si="232"/>
        <v>536091143</v>
      </c>
      <c r="M82" s="664">
        <f t="shared" si="232"/>
        <v>2430913490</v>
      </c>
      <c r="N82" s="664">
        <f t="shared" si="232"/>
        <v>1639621143</v>
      </c>
      <c r="O82" s="664">
        <f t="shared" si="232"/>
        <v>2430913490</v>
      </c>
      <c r="P82" s="664">
        <f t="shared" si="232"/>
        <v>1683036442</v>
      </c>
      <c r="Q82" s="664">
        <f t="shared" si="232"/>
        <v>2430913490</v>
      </c>
      <c r="R82" s="664">
        <f t="shared" si="232"/>
        <v>1685465922</v>
      </c>
      <c r="S82" s="664">
        <f t="shared" si="232"/>
        <v>2425566490</v>
      </c>
      <c r="T82" s="664">
        <f t="shared" si="232"/>
        <v>1856914271</v>
      </c>
      <c r="U82" s="664">
        <f t="shared" si="232"/>
        <v>2425566490</v>
      </c>
      <c r="V82" s="664">
        <f t="shared" si="232"/>
        <v>2349308440</v>
      </c>
      <c r="W82" s="664">
        <f t="shared" si="232"/>
        <v>2430913490</v>
      </c>
      <c r="X82" s="664">
        <f t="shared" si="232"/>
        <v>2430913490</v>
      </c>
      <c r="Y82" s="664">
        <f t="shared" si="232"/>
        <v>2349308440</v>
      </c>
      <c r="Z82" s="664">
        <f t="shared" si="232"/>
        <v>2425566490</v>
      </c>
      <c r="AA82" s="664">
        <f t="shared" si="232"/>
        <v>2444467440</v>
      </c>
      <c r="AB82" s="664">
        <f t="shared" si="232"/>
        <v>4253057573</v>
      </c>
      <c r="AC82" s="664">
        <f t="shared" si="232"/>
        <v>135468608</v>
      </c>
      <c r="AD82" s="664">
        <f t="shared" si="232"/>
        <v>135468608</v>
      </c>
      <c r="AE82" s="664">
        <f t="shared" si="232"/>
        <v>1681082602</v>
      </c>
      <c r="AF82" s="664">
        <f t="shared" si="232"/>
        <v>1681082602</v>
      </c>
      <c r="AG82" s="664">
        <f t="shared" si="232"/>
        <v>1237303222</v>
      </c>
      <c r="AH82" s="664">
        <f t="shared" si="232"/>
        <v>1237303222</v>
      </c>
      <c r="AI82" s="664">
        <f t="shared" si="232"/>
        <v>277309367</v>
      </c>
      <c r="AJ82" s="664">
        <f t="shared" si="232"/>
        <v>277309367</v>
      </c>
      <c r="AK82" s="664">
        <f t="shared" si="232"/>
        <v>33882400</v>
      </c>
      <c r="AL82" s="664">
        <f t="shared" si="232"/>
        <v>33882400</v>
      </c>
      <c r="AM82" s="664">
        <f t="shared" si="232"/>
        <v>166248008</v>
      </c>
      <c r="AN82" s="664">
        <f t="shared" si="232"/>
        <v>152955436</v>
      </c>
      <c r="AO82" s="664">
        <f t="shared" si="232"/>
        <v>41542537</v>
      </c>
      <c r="AP82" s="664">
        <f t="shared" si="232"/>
        <v>33698875</v>
      </c>
      <c r="AQ82" s="664">
        <f t="shared" si="232"/>
        <v>96868123</v>
      </c>
      <c r="AR82" s="664">
        <f t="shared" si="232"/>
        <v>43051400</v>
      </c>
      <c r="AS82" s="664">
        <f t="shared" si="232"/>
        <v>335789389</v>
      </c>
      <c r="AT82" s="664">
        <f t="shared" si="232"/>
        <v>265821000</v>
      </c>
      <c r="AU82" s="664">
        <f t="shared" si="232"/>
        <v>105444133</v>
      </c>
      <c r="AV82" s="664">
        <f t="shared" si="232"/>
        <v>37714900</v>
      </c>
      <c r="AW82" s="664">
        <f t="shared" si="232"/>
        <v>4528833</v>
      </c>
      <c r="AX82" s="664">
        <f t="shared" si="232"/>
        <v>104244727</v>
      </c>
      <c r="AY82" s="664">
        <f t="shared" si="232"/>
        <v>71252200</v>
      </c>
      <c r="AZ82" s="664">
        <f t="shared" si="232"/>
        <v>56021733</v>
      </c>
      <c r="BA82" s="664">
        <f t="shared" si="232"/>
        <v>4247841922</v>
      </c>
      <c r="BB82" s="664">
        <f t="shared" si="232"/>
        <v>4247841922</v>
      </c>
      <c r="BC82" s="664">
        <f t="shared" si="232"/>
        <v>4135342770</v>
      </c>
      <c r="BD82" s="664">
        <f t="shared" si="232"/>
        <v>4247841922</v>
      </c>
      <c r="BE82" s="664">
        <f t="shared" si="232"/>
        <v>4135342770</v>
      </c>
      <c r="BF82" s="664">
        <f t="shared" si="232"/>
        <v>4064486400</v>
      </c>
      <c r="BG82" s="664">
        <f t="shared" si="232"/>
        <v>3576105799</v>
      </c>
      <c r="BH82" s="664">
        <f t="shared" si="232"/>
        <v>3576105799</v>
      </c>
      <c r="BI82" s="664">
        <f t="shared" si="232"/>
        <v>256106101</v>
      </c>
      <c r="BJ82" s="664">
        <f t="shared" si="232"/>
        <v>84479433</v>
      </c>
      <c r="BK82" s="664">
        <f t="shared" si="232"/>
        <v>25148334</v>
      </c>
      <c r="BL82" s="664">
        <f t="shared" si="232"/>
        <v>32019034</v>
      </c>
      <c r="BM82" s="664">
        <f t="shared" si="232"/>
        <v>32524868</v>
      </c>
      <c r="BN82" s="664">
        <f t="shared" si="232"/>
        <v>8480000</v>
      </c>
      <c r="BO82" s="664">
        <f t="shared" si="232"/>
        <v>0</v>
      </c>
      <c r="BP82" s="664">
        <f t="shared" si="232"/>
        <v>18020801</v>
      </c>
      <c r="BQ82" s="664">
        <f t="shared" si="232"/>
        <v>835200</v>
      </c>
      <c r="BR82" s="664">
        <f t="shared" si="232"/>
        <v>56398000</v>
      </c>
      <c r="BS82" s="664">
        <f t="shared" si="232"/>
        <v>138985100</v>
      </c>
      <c r="BT82" s="664">
        <f t="shared" si="232"/>
        <v>148160573</v>
      </c>
      <c r="BU82" s="664">
        <f t="shared" si="232"/>
        <v>850000</v>
      </c>
      <c r="BV82" s="664">
        <f t="shared" si="232"/>
        <v>0</v>
      </c>
      <c r="BW82" s="664">
        <f t="shared" si="232"/>
        <v>114927000</v>
      </c>
      <c r="BX82" s="664">
        <f t="shared" si="232"/>
        <v>166431357</v>
      </c>
      <c r="BY82" s="664">
        <f t="shared" si="232"/>
        <v>64058933</v>
      </c>
      <c r="BZ82" s="664">
        <f t="shared" si="232"/>
        <v>43877829</v>
      </c>
      <c r="CA82" s="664">
        <f t="shared" si="232"/>
        <v>384169466</v>
      </c>
      <c r="CB82" s="664">
        <f t="shared" si="232"/>
        <v>112758499</v>
      </c>
      <c r="CC82" s="664">
        <f t="shared" si="232"/>
        <v>17399028</v>
      </c>
      <c r="CD82" s="664">
        <f t="shared" si="232"/>
        <v>85445655</v>
      </c>
      <c r="CE82" s="664">
        <f t="shared" si="232"/>
        <v>4611109829</v>
      </c>
      <c r="CF82" s="664">
        <f t="shared" si="232"/>
        <v>4611109829</v>
      </c>
      <c r="CG82" s="664">
        <f t="shared" si="232"/>
        <v>4332176980</v>
      </c>
      <c r="CH82" s="664">
        <f t="shared" si="232"/>
        <v>4611109829</v>
      </c>
      <c r="CI82" s="664">
        <f t="shared" si="232"/>
        <v>4332176980</v>
      </c>
      <c r="CJ82" s="664">
        <f t="shared" si="232"/>
        <v>5495929963</v>
      </c>
      <c r="CK82" s="664">
        <f t="shared" si="232"/>
        <v>887857065</v>
      </c>
      <c r="CL82" s="664">
        <f t="shared" si="232"/>
        <v>887857065</v>
      </c>
      <c r="CM82" s="664">
        <f t="shared" si="232"/>
        <v>2317355241</v>
      </c>
      <c r="CN82" s="664">
        <f t="shared" si="232"/>
        <v>2317355241</v>
      </c>
      <c r="CO82" s="664">
        <f t="shared" si="232"/>
        <v>319083511</v>
      </c>
      <c r="CP82" s="664">
        <f t="shared" si="232"/>
        <v>319083511</v>
      </c>
      <c r="CQ82" s="664">
        <f t="shared" si="232"/>
        <v>270119900</v>
      </c>
      <c r="CR82" s="664">
        <f t="shared" si="232"/>
        <v>161103931.24000001</v>
      </c>
      <c r="CS82" s="664">
        <f t="shared" si="232"/>
        <v>962860868</v>
      </c>
      <c r="CT82" s="664">
        <f t="shared" si="232"/>
        <v>158026460</v>
      </c>
      <c r="CU82" s="664">
        <f t="shared" si="232"/>
        <v>212652696</v>
      </c>
      <c r="CV82" s="664">
        <f t="shared" si="232"/>
        <v>133713935</v>
      </c>
      <c r="CW82" s="664">
        <f t="shared" si="232"/>
        <v>18744000</v>
      </c>
      <c r="CX82" s="664">
        <f t="shared" si="232"/>
        <v>546233548</v>
      </c>
      <c r="CY82" s="664">
        <f t="shared" si="232"/>
        <v>0</v>
      </c>
      <c r="CZ82" s="664">
        <f t="shared" si="232"/>
        <v>167420392</v>
      </c>
      <c r="DA82" s="664">
        <f t="shared" si="232"/>
        <v>-10146501</v>
      </c>
      <c r="DB82" s="664">
        <f t="shared" si="232"/>
        <v>103907088</v>
      </c>
      <c r="DC82" s="664">
        <f t="shared" si="232"/>
        <v>50000000</v>
      </c>
      <c r="DD82" s="664">
        <f t="shared" si="232"/>
        <v>18008326</v>
      </c>
      <c r="DE82" s="664">
        <f t="shared" si="232"/>
        <v>19938000</v>
      </c>
      <c r="DF82" s="664">
        <f t="shared" si="232"/>
        <v>35395000</v>
      </c>
      <c r="DG82" s="664">
        <f t="shared" si="232"/>
        <v>322858718</v>
      </c>
      <c r="DH82" s="664">
        <f t="shared" si="232"/>
        <v>288014436</v>
      </c>
      <c r="DI82" s="664">
        <f t="shared" si="232"/>
        <v>5371323497</v>
      </c>
      <c r="DJ82" s="665">
        <f>CK82+CM82+CO82+CQ82+CS82+CU82+CW82</f>
        <v>4988673281</v>
      </c>
      <c r="DK82" s="664">
        <f>DK80+DK81</f>
        <v>5136118933.2399998</v>
      </c>
      <c r="DL82" s="664">
        <f>DL80+DL81</f>
        <v>5371323497</v>
      </c>
      <c r="DM82" s="664">
        <f>DM80+DM81</f>
        <v>5136118933.2399998</v>
      </c>
      <c r="DN82" s="666">
        <f>DN80+DN81</f>
        <v>6845928590</v>
      </c>
      <c r="DO82" s="664">
        <f>DO80+DO81</f>
        <v>425669167</v>
      </c>
      <c r="DP82" s="664">
        <f t="shared" ref="DP82:DZ82" si="233">DP80+DP81</f>
        <v>425669167</v>
      </c>
      <c r="DQ82" s="664">
        <f t="shared" si="233"/>
        <v>1565490685</v>
      </c>
      <c r="DR82" s="664">
        <f t="shared" si="233"/>
        <v>768645457</v>
      </c>
      <c r="DS82" s="664">
        <f t="shared" si="233"/>
        <v>31972614</v>
      </c>
      <c r="DT82" s="664">
        <f t="shared" si="233"/>
        <v>607196119</v>
      </c>
      <c r="DU82" s="664">
        <f t="shared" si="233"/>
        <v>251657882</v>
      </c>
      <c r="DV82" s="664">
        <f t="shared" si="233"/>
        <v>0</v>
      </c>
      <c r="DW82" s="664">
        <f t="shared" si="233"/>
        <v>102878103</v>
      </c>
      <c r="DX82" s="664">
        <f t="shared" si="233"/>
        <v>0</v>
      </c>
      <c r="DY82" s="664">
        <f t="shared" si="233"/>
        <v>4468260139</v>
      </c>
      <c r="DZ82" s="664">
        <f t="shared" si="233"/>
        <v>0</v>
      </c>
      <c r="EA82" s="664">
        <f t="shared" ref="EA82:EQ82" si="234">EA80+EA81</f>
        <v>0</v>
      </c>
      <c r="EB82" s="664">
        <f t="shared" si="234"/>
        <v>0</v>
      </c>
      <c r="EC82" s="664">
        <f t="shared" si="234"/>
        <v>0</v>
      </c>
      <c r="ED82" s="664">
        <f t="shared" si="234"/>
        <v>0</v>
      </c>
      <c r="EE82" s="664">
        <f t="shared" si="234"/>
        <v>0</v>
      </c>
      <c r="EF82" s="664">
        <f t="shared" si="234"/>
        <v>0</v>
      </c>
      <c r="EG82" s="664">
        <f t="shared" si="234"/>
        <v>0</v>
      </c>
      <c r="EH82" s="664">
        <f t="shared" si="234"/>
        <v>0</v>
      </c>
      <c r="EI82" s="664">
        <f t="shared" si="234"/>
        <v>0</v>
      </c>
      <c r="EJ82" s="664">
        <f t="shared" si="234"/>
        <v>0</v>
      </c>
      <c r="EK82" s="664">
        <f t="shared" si="234"/>
        <v>0</v>
      </c>
      <c r="EL82" s="664">
        <f t="shared" si="234"/>
        <v>0</v>
      </c>
      <c r="EM82" s="664">
        <f t="shared" si="234"/>
        <v>6845928590</v>
      </c>
      <c r="EN82" s="664">
        <f t="shared" si="234"/>
        <v>2023132466</v>
      </c>
      <c r="EO82" s="664">
        <f t="shared" si="234"/>
        <v>1801510743</v>
      </c>
      <c r="EP82" s="664">
        <f t="shared" si="234"/>
        <v>6845928590</v>
      </c>
      <c r="EQ82" s="667">
        <f t="shared" si="234"/>
        <v>1801510743</v>
      </c>
      <c r="ER82" s="773"/>
      <c r="ES82" s="774"/>
      <c r="ET82" s="774"/>
      <c r="EU82" s="774"/>
      <c r="EV82" s="774"/>
      <c r="EW82" s="774"/>
      <c r="EX82" s="774"/>
      <c r="EY82" s="774"/>
      <c r="EZ82" s="774"/>
      <c r="FA82" s="775"/>
      <c r="FB82" s="93"/>
      <c r="FC82" s="94"/>
      <c r="FD82" s="94"/>
    </row>
    <row r="83" spans="1:160" ht="20.25" customHeight="1" x14ac:dyDescent="0.25">
      <c r="C83" s="1"/>
      <c r="D83" s="97"/>
      <c r="E83" s="97"/>
      <c r="F83" s="98"/>
      <c r="G83" s="68"/>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100"/>
      <c r="AO83" s="99"/>
      <c r="AP83" s="99"/>
      <c r="AQ83" s="101"/>
      <c r="AR83" s="99"/>
      <c r="AS83" s="99"/>
      <c r="AT83" s="102"/>
      <c r="AU83" s="99"/>
      <c r="AV83" s="99"/>
      <c r="AW83" s="99"/>
      <c r="AX83" s="102"/>
      <c r="AY83" s="99"/>
      <c r="AZ83" s="102"/>
      <c r="BA83" s="99"/>
      <c r="BB83" s="103"/>
      <c r="BC83" s="99"/>
      <c r="BD83" s="99"/>
      <c r="BE83" s="99"/>
      <c r="BF83" s="102"/>
      <c r="BG83" s="102"/>
      <c r="BH83" s="102"/>
      <c r="BI83" s="102"/>
      <c r="BJ83" s="102"/>
      <c r="BK83" s="102"/>
      <c r="BL83" s="102"/>
      <c r="BM83" s="102"/>
      <c r="BN83" s="102"/>
      <c r="BO83" s="102"/>
      <c r="BP83" s="102"/>
      <c r="BQ83" s="102"/>
      <c r="BR83" s="102"/>
      <c r="BS83" s="102"/>
      <c r="BT83" s="102"/>
      <c r="BU83" s="102"/>
      <c r="BV83" s="102"/>
      <c r="BW83" s="102"/>
      <c r="BX83" s="102"/>
      <c r="BY83" s="102"/>
      <c r="BZ83" s="102"/>
      <c r="CA83" s="102"/>
      <c r="CB83" s="102"/>
      <c r="CC83" s="102"/>
      <c r="CD83" s="102"/>
      <c r="CE83" s="102"/>
      <c r="CF83" s="99"/>
      <c r="CG83" s="99"/>
      <c r="CH83" s="102"/>
      <c r="CI83" s="102"/>
      <c r="CJ83" s="99"/>
      <c r="CK83" s="99"/>
      <c r="CL83" s="99"/>
      <c r="CM83" s="99"/>
      <c r="CN83" s="102"/>
      <c r="CO83" s="99"/>
      <c r="CP83" s="102"/>
      <c r="CQ83" s="99"/>
      <c r="CR83" s="99"/>
      <c r="CS83" s="99"/>
      <c r="CT83" s="99"/>
      <c r="CU83" s="99"/>
      <c r="CV83" s="99"/>
      <c r="CW83" s="99"/>
      <c r="CX83" s="99"/>
      <c r="CY83" s="99"/>
      <c r="CZ83" s="99"/>
      <c r="DA83" s="99"/>
      <c r="DB83" s="99"/>
      <c r="DC83" s="99"/>
      <c r="DD83" s="99"/>
      <c r="DE83" s="99"/>
      <c r="DF83" s="99"/>
      <c r="DG83" s="99"/>
      <c r="DH83" s="99"/>
      <c r="DI83" s="99"/>
      <c r="DJ83" s="99"/>
      <c r="DK83" s="99"/>
      <c r="DL83" s="99"/>
      <c r="DM83" s="99"/>
      <c r="DN83" s="99"/>
      <c r="DO83" s="99"/>
      <c r="DP83" s="99"/>
      <c r="DQ83" s="99"/>
      <c r="DR83" s="99"/>
      <c r="DS83" s="99"/>
      <c r="DT83" s="99"/>
      <c r="DU83" s="99"/>
      <c r="DV83" s="99"/>
      <c r="DW83" s="99"/>
      <c r="DX83" s="99"/>
      <c r="DY83" s="99"/>
      <c r="DZ83" s="99"/>
      <c r="EA83" s="99"/>
      <c r="EB83" s="99"/>
      <c r="EC83" s="99"/>
      <c r="ED83" s="99"/>
      <c r="EE83" s="99"/>
      <c r="EF83" s="99"/>
      <c r="EG83" s="68"/>
      <c r="EH83" s="68"/>
      <c r="EI83" s="68"/>
      <c r="EJ83" s="68"/>
      <c r="EK83" s="68"/>
      <c r="EL83" s="68"/>
      <c r="EM83" s="68"/>
      <c r="EN83" s="68"/>
      <c r="EO83" s="68"/>
      <c r="EP83" s="68"/>
      <c r="EQ83" s="68"/>
      <c r="ER83" s="3"/>
      <c r="ES83" s="3"/>
      <c r="EW83"/>
      <c r="EX83"/>
      <c r="EY83"/>
      <c r="FB83" s="1"/>
    </row>
    <row r="84" spans="1:160" ht="20.25" customHeight="1" x14ac:dyDescent="0.25">
      <c r="C84" s="1"/>
      <c r="D84" s="97"/>
      <c r="E84" s="97"/>
      <c r="F84" s="98"/>
      <c r="G84" s="68"/>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101"/>
      <c r="AN84" s="101"/>
      <c r="AO84" s="99"/>
      <c r="AP84" s="99"/>
      <c r="AQ84" s="101"/>
      <c r="AR84" s="104"/>
      <c r="AS84" s="99"/>
      <c r="AT84" s="102"/>
      <c r="AU84" s="99"/>
      <c r="AV84" s="99"/>
      <c r="AW84" s="99"/>
      <c r="AX84" s="102"/>
      <c r="AY84" s="99"/>
      <c r="AZ84" s="102"/>
      <c r="BA84" s="99"/>
      <c r="BB84" s="103"/>
      <c r="BC84" s="99"/>
      <c r="BD84" s="103"/>
      <c r="BE84" s="99"/>
      <c r="BF84" s="102"/>
      <c r="BG84" s="102"/>
      <c r="BH84" s="102"/>
      <c r="BI84" s="102"/>
      <c r="BJ84" s="102"/>
      <c r="BK84" s="102"/>
      <c r="BL84" s="105" t="s">
        <v>206</v>
      </c>
      <c r="BM84" s="102"/>
      <c r="BN84" s="102"/>
      <c r="BO84" s="102"/>
      <c r="BP84" s="102"/>
      <c r="BQ84" s="102"/>
      <c r="BR84" s="102"/>
      <c r="BS84" s="102"/>
      <c r="BT84" s="102"/>
      <c r="BU84" s="102"/>
      <c r="BV84" s="102"/>
      <c r="BW84" s="102"/>
      <c r="BX84" s="102"/>
      <c r="BY84" s="102"/>
      <c r="BZ84" s="102"/>
      <c r="CA84" s="102"/>
      <c r="CB84" s="102"/>
      <c r="CC84" s="102"/>
      <c r="CD84" s="102"/>
      <c r="CE84" s="102"/>
      <c r="CF84" s="99"/>
      <c r="CG84" s="99"/>
      <c r="CH84" s="102"/>
      <c r="CI84" s="102"/>
      <c r="CJ84" s="99"/>
      <c r="CK84" s="99"/>
      <c r="CL84" s="99"/>
      <c r="CM84" s="99"/>
      <c r="CN84" s="102"/>
      <c r="CO84" s="99"/>
      <c r="CP84" s="102"/>
      <c r="CQ84" s="99"/>
      <c r="CR84" s="99"/>
      <c r="CS84" s="99"/>
      <c r="CT84" s="99"/>
      <c r="CU84" s="99"/>
      <c r="CV84" s="99"/>
      <c r="CW84" s="99"/>
      <c r="CX84" s="99"/>
      <c r="CY84" s="99"/>
      <c r="CZ84" s="99"/>
      <c r="DA84" s="99"/>
      <c r="DB84" s="99"/>
      <c r="DC84" s="99"/>
      <c r="DD84" s="99"/>
      <c r="DE84" s="99"/>
      <c r="DF84" s="99"/>
      <c r="DG84" s="99"/>
      <c r="DH84" s="99"/>
      <c r="DI84" s="99"/>
      <c r="DJ84" s="99"/>
      <c r="DK84" s="99"/>
      <c r="DL84" s="99"/>
      <c r="DM84" s="99"/>
      <c r="DN84" s="99"/>
      <c r="DO84" s="99"/>
      <c r="DP84" s="99"/>
      <c r="DQ84" s="99"/>
      <c r="DR84" s="99"/>
      <c r="DS84" s="99"/>
      <c r="DT84" s="99"/>
      <c r="DU84" s="99"/>
      <c r="DV84" s="99"/>
      <c r="DW84" s="99"/>
      <c r="DX84" s="99"/>
      <c r="DY84" s="99"/>
      <c r="DZ84" s="99"/>
      <c r="EA84" s="99"/>
      <c r="EB84" s="99"/>
      <c r="EC84" s="99"/>
      <c r="ED84" s="99"/>
      <c r="EE84" s="99"/>
      <c r="EF84" s="99"/>
      <c r="EG84" s="68"/>
      <c r="EH84" s="68"/>
      <c r="EI84" s="68"/>
      <c r="EJ84" s="68"/>
      <c r="EK84" s="68"/>
      <c r="EL84" s="68"/>
      <c r="EM84" s="68"/>
      <c r="EN84" s="68"/>
      <c r="EO84" s="68"/>
      <c r="EP84" s="68"/>
      <c r="EQ84" s="68"/>
      <c r="ER84" s="3"/>
      <c r="ES84" s="3"/>
      <c r="EW84"/>
      <c r="EX84"/>
      <c r="EY84"/>
      <c r="FB84" s="1"/>
    </row>
    <row r="85" spans="1:160" ht="20.25" customHeight="1" x14ac:dyDescent="0.4">
      <c r="C85" s="1"/>
      <c r="D85" s="97"/>
      <c r="E85" s="97"/>
      <c r="F85" s="52" t="s">
        <v>195</v>
      </c>
      <c r="K85" s="3"/>
      <c r="L85" s="3"/>
      <c r="M85" s="3"/>
      <c r="N85" s="3"/>
      <c r="O85" s="3"/>
      <c r="P85" s="3"/>
      <c r="Q85" s="3"/>
      <c r="R85" s="3"/>
      <c r="S85" s="3"/>
      <c r="T85" s="3"/>
      <c r="U85" s="3"/>
      <c r="V85" s="3"/>
      <c r="W85" s="3"/>
      <c r="X85" s="3"/>
      <c r="Y85" s="3"/>
      <c r="Z85" s="3"/>
      <c r="AA85" s="53"/>
      <c r="AB85" s="54"/>
      <c r="AC85" s="55"/>
      <c r="AD85" s="3"/>
      <c r="AE85" s="54"/>
      <c r="AF85" s="3"/>
      <c r="AG85" s="3"/>
      <c r="AH85" s="3"/>
      <c r="AI85" s="3"/>
      <c r="AJ85" s="3"/>
      <c r="AK85" s="3"/>
      <c r="AL85" s="3"/>
      <c r="AM85" s="3"/>
      <c r="AN85" s="3"/>
      <c r="AO85" s="3"/>
      <c r="AP85" s="3"/>
      <c r="AQ85" s="3"/>
      <c r="AR85" s="3"/>
      <c r="AS85" s="3"/>
      <c r="AT85" s="2"/>
      <c r="AU85" s="3"/>
      <c r="AV85" s="3"/>
      <c r="AW85" s="3"/>
      <c r="AX85" s="56"/>
      <c r="AY85" s="57"/>
      <c r="AZ85" s="56"/>
      <c r="BA85" s="57"/>
      <c r="BB85" s="57"/>
      <c r="BC85" s="57"/>
      <c r="BD85" s="57"/>
      <c r="BE85" s="57"/>
      <c r="BF85" s="56"/>
      <c r="BG85" s="56"/>
      <c r="BH85" s="56"/>
      <c r="BI85" s="56"/>
      <c r="BJ85" s="66"/>
      <c r="BK85" s="66"/>
      <c r="BL85" s="66"/>
      <c r="BM85" s="66"/>
      <c r="BN85" s="66"/>
      <c r="BO85" s="66"/>
      <c r="BP85" s="66"/>
      <c r="BQ85" s="66"/>
      <c r="BR85" s="66"/>
      <c r="BS85" s="66"/>
      <c r="BT85" s="66"/>
      <c r="BU85" s="66"/>
      <c r="BV85" s="66"/>
      <c r="BW85" s="1"/>
      <c r="BX85" s="1"/>
      <c r="BY85" s="1"/>
      <c r="BZ85" s="1"/>
      <c r="CA85" s="1"/>
      <c r="CB85" s="1"/>
      <c r="CC85" s="1"/>
      <c r="CD85" s="1"/>
      <c r="CE85" s="106"/>
      <c r="CF85" s="107"/>
      <c r="CH85" s="1"/>
      <c r="CI85" s="1"/>
      <c r="CJ85" s="68"/>
      <c r="CK85" s="68"/>
      <c r="CL85" s="68"/>
      <c r="CM85" s="68"/>
      <c r="CN85" s="66"/>
      <c r="CO85" s="68"/>
      <c r="CP85" s="66"/>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99"/>
      <c r="DR85" s="99"/>
      <c r="DS85" s="68"/>
      <c r="DT85" s="68"/>
      <c r="DU85" s="68"/>
      <c r="DV85" s="68"/>
      <c r="DW85" s="68"/>
      <c r="DX85" s="68"/>
      <c r="DY85" s="68"/>
      <c r="DZ85" s="68"/>
      <c r="EA85" s="68"/>
      <c r="EB85" s="68"/>
      <c r="EC85" s="68"/>
      <c r="ED85" s="68"/>
      <c r="EE85" s="68"/>
      <c r="EF85" s="68"/>
      <c r="EG85" s="68"/>
      <c r="EH85" s="68"/>
      <c r="EI85" s="68"/>
      <c r="EJ85" s="68"/>
      <c r="EK85" s="68"/>
      <c r="EL85" s="68"/>
      <c r="EM85" s="68"/>
      <c r="EN85" s="68"/>
      <c r="EO85" s="68"/>
      <c r="EP85" s="68"/>
      <c r="EQ85" s="68"/>
      <c r="ER85" s="3"/>
      <c r="ES85" s="3"/>
      <c r="EW85"/>
      <c r="EX85"/>
      <c r="EY85"/>
      <c r="FB85" s="1"/>
    </row>
    <row r="86" spans="1:160" ht="20.25" customHeight="1" x14ac:dyDescent="0.25">
      <c r="C86" s="1"/>
      <c r="D86" s="97"/>
      <c r="E86" s="97"/>
      <c r="F86" s="60" t="s">
        <v>196</v>
      </c>
      <c r="G86" s="726" t="s">
        <v>197</v>
      </c>
      <c r="H86" s="727"/>
      <c r="I86" s="727"/>
      <c r="J86" s="727"/>
      <c r="K86" s="727"/>
      <c r="L86" s="728"/>
      <c r="M86" s="732" t="s">
        <v>198</v>
      </c>
      <c r="N86" s="727"/>
      <c r="O86" s="727"/>
      <c r="P86" s="727"/>
      <c r="Q86" s="727"/>
      <c r="R86" s="727"/>
      <c r="S86" s="727"/>
      <c r="T86" s="727"/>
      <c r="U86" s="728"/>
      <c r="V86" s="68"/>
      <c r="W86" s="68"/>
      <c r="X86" s="68"/>
      <c r="Y86" s="68"/>
      <c r="Z86" s="68"/>
      <c r="AA86" s="68"/>
      <c r="AB86" s="68"/>
      <c r="AC86" s="68"/>
      <c r="AD86" s="68"/>
      <c r="AE86" s="68"/>
      <c r="AF86" s="68"/>
      <c r="AG86" s="68"/>
      <c r="AH86" s="68"/>
      <c r="AI86" s="68"/>
      <c r="AJ86" s="68"/>
      <c r="AK86" s="68"/>
      <c r="AL86" s="68"/>
      <c r="AM86" s="68"/>
      <c r="AN86" s="108"/>
      <c r="AO86" s="68"/>
      <c r="AP86" s="68"/>
      <c r="AQ86" s="68"/>
      <c r="AR86" s="68"/>
      <c r="AS86" s="68"/>
      <c r="AT86" s="66"/>
      <c r="AU86" s="68"/>
      <c r="AV86" s="68"/>
      <c r="AW86" s="68"/>
      <c r="AX86" s="66"/>
      <c r="AY86" s="68"/>
      <c r="AZ86" s="66"/>
      <c r="BA86" s="68"/>
      <c r="BB86" s="68"/>
      <c r="BC86" s="68"/>
      <c r="BD86" s="68"/>
      <c r="BE86" s="68"/>
      <c r="BF86" s="109"/>
      <c r="BG86" s="66"/>
      <c r="BH86" s="66"/>
      <c r="BI86" s="66"/>
      <c r="BJ86" s="66"/>
      <c r="BK86" s="66"/>
      <c r="BL86" s="66"/>
      <c r="BM86" s="66"/>
      <c r="BN86" s="66"/>
      <c r="BO86" s="66"/>
      <c r="BP86" s="66"/>
      <c r="BQ86" s="66"/>
      <c r="BR86" s="66"/>
      <c r="BS86" s="66"/>
      <c r="BT86" s="66"/>
      <c r="BU86" s="66"/>
      <c r="BV86" s="66"/>
      <c r="BW86" s="66"/>
      <c r="BX86" s="66"/>
      <c r="BY86" s="66"/>
      <c r="BZ86" s="66"/>
      <c r="CA86" s="66"/>
      <c r="CB86" s="66"/>
      <c r="CC86" s="66"/>
      <c r="CD86" s="66"/>
      <c r="CE86" s="66"/>
      <c r="CF86" s="68"/>
      <c r="CG86" s="68"/>
      <c r="CH86" s="66"/>
      <c r="CI86" s="66"/>
      <c r="CJ86" s="110"/>
      <c r="CK86" s="110"/>
      <c r="CL86" s="110"/>
      <c r="CM86" s="110"/>
      <c r="CN86" s="111"/>
      <c r="CO86" s="110"/>
      <c r="CP86" s="111"/>
      <c r="CQ86" s="110"/>
      <c r="CR86" s="110"/>
      <c r="CS86" s="110"/>
      <c r="CT86" s="110"/>
      <c r="CU86" s="110"/>
      <c r="CV86" s="110"/>
      <c r="CW86" s="110"/>
      <c r="CX86" s="110"/>
      <c r="CY86" s="110"/>
      <c r="CZ86" s="110"/>
      <c r="DA86" s="110"/>
      <c r="DB86" s="110"/>
      <c r="DC86" s="110"/>
      <c r="DD86" s="110"/>
      <c r="DE86" s="110"/>
      <c r="DF86" s="110"/>
      <c r="DG86" s="110"/>
      <c r="DH86" s="110"/>
      <c r="DI86" s="68"/>
      <c r="DJ86" s="68"/>
      <c r="DK86" s="68"/>
      <c r="DL86" s="68"/>
      <c r="DM86" s="68"/>
      <c r="DN86" s="68"/>
      <c r="DO86" s="68"/>
      <c r="DP86" s="68"/>
      <c r="DQ86" s="99"/>
      <c r="DR86" s="99"/>
      <c r="DS86" s="68"/>
      <c r="DT86" s="68"/>
      <c r="DU86" s="68"/>
      <c r="DV86" s="68"/>
      <c r="DW86" s="68"/>
      <c r="DX86" s="68"/>
      <c r="DY86" s="68"/>
      <c r="DZ86" s="68"/>
      <c r="EA86" s="68"/>
      <c r="EB86" s="68"/>
      <c r="EC86" s="68"/>
      <c r="ED86" s="68"/>
      <c r="EE86" s="68"/>
      <c r="EF86" s="68"/>
      <c r="EG86" s="68"/>
      <c r="EH86" s="68"/>
      <c r="EI86" s="68"/>
      <c r="EJ86" s="68"/>
      <c r="EK86" s="68"/>
      <c r="EL86" s="68"/>
      <c r="EM86" s="68"/>
      <c r="EN86" s="68"/>
      <c r="EO86" s="68"/>
      <c r="EP86" s="68"/>
      <c r="EQ86" s="68"/>
      <c r="ER86" s="3"/>
      <c r="ES86" s="3"/>
      <c r="EW86"/>
      <c r="EX86"/>
      <c r="EY86"/>
      <c r="FB86" s="1"/>
    </row>
    <row r="87" spans="1:160" ht="20.25" customHeight="1" x14ac:dyDescent="0.25">
      <c r="C87" s="1"/>
      <c r="D87" s="97"/>
      <c r="E87" s="97"/>
      <c r="F87" s="61">
        <v>13</v>
      </c>
      <c r="G87" s="729" t="s">
        <v>199</v>
      </c>
      <c r="H87" s="727"/>
      <c r="I87" s="727"/>
      <c r="J87" s="727"/>
      <c r="K87" s="727"/>
      <c r="L87" s="728"/>
      <c r="M87" s="730" t="s">
        <v>200</v>
      </c>
      <c r="N87" s="727"/>
      <c r="O87" s="727"/>
      <c r="P87" s="727"/>
      <c r="Q87" s="727"/>
      <c r="R87" s="727"/>
      <c r="S87" s="727"/>
      <c r="T87" s="727"/>
      <c r="U87" s="728"/>
      <c r="V87" s="68"/>
      <c r="W87" s="68"/>
      <c r="X87" s="68"/>
      <c r="Y87" s="68"/>
      <c r="Z87" s="68"/>
      <c r="AA87" s="68"/>
      <c r="AB87" s="68"/>
      <c r="AC87" s="68"/>
      <c r="AD87" s="68"/>
      <c r="AE87" s="68"/>
      <c r="AF87" s="68"/>
      <c r="AG87" s="68"/>
      <c r="AH87" s="68"/>
      <c r="AI87" s="68"/>
      <c r="AJ87" s="68"/>
      <c r="AK87" s="68"/>
      <c r="AL87" s="68"/>
      <c r="AM87" s="68"/>
      <c r="AN87" s="108"/>
      <c r="AO87" s="68"/>
      <c r="AP87" s="68"/>
      <c r="AQ87" s="68"/>
      <c r="AR87" s="68"/>
      <c r="AS87" s="68"/>
      <c r="AT87" s="66"/>
      <c r="AU87" s="68"/>
      <c r="AV87" s="68"/>
      <c r="AW87" s="68"/>
      <c r="AX87" s="66"/>
      <c r="AY87" s="68"/>
      <c r="AZ87" s="66"/>
      <c r="BA87" s="112"/>
      <c r="BB87" s="68"/>
      <c r="BC87" s="68"/>
      <c r="BD87" s="68"/>
      <c r="BE87" s="68"/>
      <c r="BF87" s="66"/>
      <c r="BG87" s="66"/>
      <c r="BH87" s="66"/>
      <c r="BI87" s="66"/>
      <c r="BJ87" s="66"/>
      <c r="BK87" s="66"/>
      <c r="BL87" s="66"/>
      <c r="BM87" s="66"/>
      <c r="BN87" s="66"/>
      <c r="BO87" s="66"/>
      <c r="BP87" s="66"/>
      <c r="BQ87" s="66"/>
      <c r="BR87" s="66"/>
      <c r="BS87" s="66"/>
      <c r="BT87" s="66"/>
      <c r="BU87" s="66"/>
      <c r="BV87" s="66"/>
      <c r="BW87" s="66"/>
      <c r="BX87" s="66"/>
      <c r="BY87" s="66"/>
      <c r="BZ87" s="66"/>
      <c r="CA87" s="66"/>
      <c r="CB87" s="66"/>
      <c r="CC87" s="66"/>
      <c r="CD87" s="66"/>
      <c r="CE87" s="66"/>
      <c r="CF87" s="68"/>
      <c r="CG87" s="68"/>
      <c r="CH87" s="66"/>
      <c r="CI87" s="66"/>
      <c r="CJ87" s="110"/>
      <c r="CK87" s="110"/>
      <c r="CL87" s="110"/>
      <c r="CM87" s="110"/>
      <c r="CN87" s="111"/>
      <c r="CO87" s="110"/>
      <c r="CP87" s="111"/>
      <c r="CQ87" s="110"/>
      <c r="CR87" s="110"/>
      <c r="CS87" s="110"/>
      <c r="CT87" s="110"/>
      <c r="CU87" s="110"/>
      <c r="CV87" s="110"/>
      <c r="CW87" s="110"/>
      <c r="CX87" s="110"/>
      <c r="CY87" s="110"/>
      <c r="CZ87" s="110"/>
      <c r="DA87" s="110"/>
      <c r="DB87" s="110"/>
      <c r="DC87" s="110"/>
      <c r="DD87" s="110"/>
      <c r="DE87" s="110"/>
      <c r="DF87" s="110"/>
      <c r="DG87" s="110"/>
      <c r="DH87" s="110"/>
      <c r="DI87" s="68"/>
      <c r="DJ87" s="68"/>
      <c r="DK87" s="68"/>
      <c r="DL87" s="68"/>
      <c r="DM87" s="68"/>
      <c r="DN87" s="110"/>
      <c r="DO87" s="110"/>
      <c r="DP87" s="110"/>
      <c r="DQ87" s="99"/>
      <c r="DR87" s="99"/>
      <c r="DS87" s="110"/>
      <c r="DT87" s="110"/>
      <c r="DU87" s="110"/>
      <c r="DV87" s="110"/>
      <c r="DW87" s="110"/>
      <c r="DX87" s="110"/>
      <c r="DY87" s="110"/>
      <c r="DZ87" s="110"/>
      <c r="EA87" s="110"/>
      <c r="EB87" s="110"/>
      <c r="EC87" s="110"/>
      <c r="ED87" s="110"/>
      <c r="EE87" s="110"/>
      <c r="EF87" s="110"/>
      <c r="EG87" s="68"/>
      <c r="EH87" s="68"/>
      <c r="EI87" s="68"/>
      <c r="EJ87" s="68"/>
      <c r="EK87" s="68"/>
      <c r="EL87" s="68"/>
      <c r="EM87" s="68"/>
      <c r="EN87" s="68"/>
      <c r="EO87" s="68"/>
      <c r="EP87" s="68"/>
      <c r="EQ87" s="68"/>
      <c r="ER87" s="3"/>
      <c r="ES87" s="3"/>
      <c r="EW87"/>
      <c r="EX87"/>
      <c r="EY87"/>
      <c r="FB87" s="1"/>
    </row>
    <row r="88" spans="1:160" ht="20.25" customHeight="1" x14ac:dyDescent="0.25">
      <c r="C88" s="1"/>
      <c r="D88" s="97"/>
      <c r="E88" s="97"/>
      <c r="F88" s="61">
        <v>14</v>
      </c>
      <c r="G88" s="729" t="s">
        <v>201</v>
      </c>
      <c r="H88" s="727"/>
      <c r="I88" s="727"/>
      <c r="J88" s="727"/>
      <c r="K88" s="727"/>
      <c r="L88" s="728"/>
      <c r="M88" s="730" t="s">
        <v>202</v>
      </c>
      <c r="N88" s="727"/>
      <c r="O88" s="727"/>
      <c r="P88" s="727"/>
      <c r="Q88" s="727"/>
      <c r="R88" s="727"/>
      <c r="S88" s="727"/>
      <c r="T88" s="727"/>
      <c r="U88" s="728"/>
      <c r="V88" s="68"/>
      <c r="W88" s="68"/>
      <c r="X88" s="68"/>
      <c r="Y88" s="68"/>
      <c r="Z88" s="68"/>
      <c r="AA88" s="68"/>
      <c r="AB88" s="68"/>
      <c r="AC88" s="68"/>
      <c r="AD88" s="68"/>
      <c r="AE88" s="68"/>
      <c r="AF88" s="68"/>
      <c r="AG88" s="68"/>
      <c r="AH88" s="68"/>
      <c r="AI88" s="68"/>
      <c r="AJ88" s="68"/>
      <c r="AK88" s="68"/>
      <c r="AL88" s="68"/>
      <c r="AM88" s="68"/>
      <c r="AN88" s="108"/>
      <c r="AO88" s="68"/>
      <c r="AP88" s="68"/>
      <c r="AQ88" s="68"/>
      <c r="AR88" s="68"/>
      <c r="AS88" s="68"/>
      <c r="AT88" s="66"/>
      <c r="AU88" s="68"/>
      <c r="AV88" s="68"/>
      <c r="AW88" s="68"/>
      <c r="AX88" s="66"/>
      <c r="AY88" s="68"/>
      <c r="AZ88" s="66"/>
      <c r="BA88" s="68"/>
      <c r="BB88" s="68"/>
      <c r="BC88" s="68"/>
      <c r="BD88" s="68"/>
      <c r="BE88" s="68"/>
      <c r="BF88" s="113"/>
      <c r="BG88" s="66"/>
      <c r="BH88" s="66"/>
      <c r="BI88" s="66"/>
      <c r="BJ88" s="66"/>
      <c r="BK88" s="66"/>
      <c r="BL88" s="66"/>
      <c r="BM88" s="66"/>
      <c r="BN88" s="66"/>
      <c r="BO88" s="66"/>
      <c r="BP88" s="66"/>
      <c r="BQ88" s="66"/>
      <c r="BR88" s="66"/>
      <c r="BS88" s="66"/>
      <c r="BT88" s="66"/>
      <c r="BU88" s="66"/>
      <c r="BV88" s="66"/>
      <c r="BW88" s="66"/>
      <c r="BX88" s="66"/>
      <c r="BY88" s="66"/>
      <c r="BZ88" s="66"/>
      <c r="CA88" s="66"/>
      <c r="CB88" s="66"/>
      <c r="CC88" s="66"/>
      <c r="CD88" s="66"/>
      <c r="CE88" s="66"/>
      <c r="CF88" s="68"/>
      <c r="CG88" s="68"/>
      <c r="CH88" s="66"/>
      <c r="CI88" s="66"/>
      <c r="CJ88" s="110"/>
      <c r="CK88" s="110"/>
      <c r="CL88" s="110"/>
      <c r="CM88" s="110"/>
      <c r="CN88" s="111"/>
      <c r="CO88" s="110"/>
      <c r="CP88" s="111"/>
      <c r="CQ88" s="110"/>
      <c r="CR88" s="110"/>
      <c r="CS88" s="110"/>
      <c r="CT88" s="110"/>
      <c r="CU88" s="110"/>
      <c r="CV88" s="110"/>
      <c r="CW88" s="110"/>
      <c r="CX88" s="110"/>
      <c r="CY88" s="110"/>
      <c r="CZ88" s="110"/>
      <c r="DA88" s="110"/>
      <c r="DB88" s="110"/>
      <c r="DC88" s="110"/>
      <c r="DD88" s="110"/>
      <c r="DE88" s="110"/>
      <c r="DF88" s="110"/>
      <c r="DG88" s="110"/>
      <c r="DH88" s="110"/>
      <c r="DI88" s="68"/>
      <c r="DJ88" s="68"/>
      <c r="DK88" s="68"/>
      <c r="DL88" s="68"/>
      <c r="DM88" s="68"/>
      <c r="DN88" s="68"/>
      <c r="DO88" s="68"/>
      <c r="DP88" s="68"/>
      <c r="DQ88" s="99"/>
      <c r="DR88" s="99"/>
      <c r="DS88" s="68"/>
      <c r="DT88" s="68"/>
      <c r="DU88" s="68"/>
      <c r="DV88" s="68"/>
      <c r="DW88" s="68"/>
      <c r="DX88" s="68"/>
      <c r="DY88" s="68"/>
      <c r="DZ88" s="68"/>
      <c r="EA88" s="68"/>
      <c r="EB88" s="68"/>
      <c r="EC88" s="68"/>
      <c r="ED88" s="68"/>
      <c r="EE88" s="68"/>
      <c r="EF88" s="68"/>
      <c r="EG88" s="68"/>
      <c r="EH88" s="68"/>
      <c r="EI88" s="68"/>
      <c r="EJ88" s="68"/>
      <c r="EK88" s="68"/>
      <c r="EL88" s="68"/>
      <c r="EM88" s="68"/>
      <c r="EN88" s="68"/>
      <c r="EO88" s="68"/>
      <c r="EP88" s="68"/>
      <c r="EQ88" s="68"/>
      <c r="ER88" s="3"/>
      <c r="ES88" s="3"/>
      <c r="EW88"/>
      <c r="EX88"/>
      <c r="EY88"/>
      <c r="FB88" s="1"/>
    </row>
    <row r="89" spans="1:160" ht="20.25" customHeight="1" x14ac:dyDescent="0.25">
      <c r="C89" s="1"/>
      <c r="D89" s="97"/>
      <c r="E89" s="97"/>
      <c r="F89" s="98"/>
      <c r="G89" s="114"/>
      <c r="H89" s="68"/>
      <c r="I89" s="68"/>
      <c r="J89" s="68"/>
      <c r="K89" s="68"/>
      <c r="L89" s="68"/>
      <c r="M89" s="68"/>
      <c r="N89" s="68"/>
      <c r="O89" s="68"/>
      <c r="P89" s="68"/>
      <c r="Q89" s="114"/>
      <c r="R89" s="68"/>
      <c r="S89" s="68"/>
      <c r="T89" s="68"/>
      <c r="U89" s="68"/>
      <c r="V89" s="68"/>
      <c r="W89" s="68"/>
      <c r="X89" s="68"/>
      <c r="Y89" s="68"/>
      <c r="Z89" s="68"/>
      <c r="AA89" s="68"/>
      <c r="AB89" s="68"/>
      <c r="AC89" s="68"/>
      <c r="AD89" s="68"/>
      <c r="AE89" s="68"/>
      <c r="AF89" s="68"/>
      <c r="AG89" s="68"/>
      <c r="AH89" s="68"/>
      <c r="AI89" s="68"/>
      <c r="AJ89" s="68"/>
      <c r="AK89" s="68"/>
      <c r="AL89" s="68"/>
      <c r="AM89" s="68"/>
      <c r="AN89" s="108"/>
      <c r="AO89" s="68"/>
      <c r="AP89" s="68"/>
      <c r="AQ89" s="68"/>
      <c r="AR89" s="68"/>
      <c r="AS89" s="68"/>
      <c r="AT89" s="66"/>
      <c r="AU89" s="68"/>
      <c r="AV89" s="68"/>
      <c r="AW89" s="68"/>
      <c r="AX89" s="66"/>
      <c r="AY89" s="68"/>
      <c r="AZ89" s="66"/>
      <c r="BA89" s="68"/>
      <c r="BB89" s="68"/>
      <c r="BC89" s="68"/>
      <c r="BD89" s="68"/>
      <c r="BE89" s="68"/>
      <c r="BF89" s="66"/>
      <c r="BG89" s="66"/>
      <c r="BH89" s="66"/>
      <c r="BI89" s="66"/>
      <c r="BJ89" s="66"/>
      <c r="BK89" s="66"/>
      <c r="BL89" s="66"/>
      <c r="BM89" s="66"/>
      <c r="BN89" s="66"/>
      <c r="BO89" s="66"/>
      <c r="BP89" s="66"/>
      <c r="BQ89" s="66"/>
      <c r="BR89" s="66"/>
      <c r="BS89" s="66"/>
      <c r="BT89" s="66"/>
      <c r="BU89" s="66"/>
      <c r="BV89" s="66"/>
      <c r="BW89" s="66"/>
      <c r="BX89" s="66"/>
      <c r="BY89" s="66"/>
      <c r="BZ89" s="66"/>
      <c r="CA89" s="66"/>
      <c r="CB89" s="66"/>
      <c r="CC89" s="66"/>
      <c r="CD89" s="66"/>
      <c r="CE89" s="66"/>
      <c r="CF89" s="68"/>
      <c r="CG89" s="68"/>
      <c r="CH89" s="66"/>
      <c r="CI89" s="66"/>
      <c r="CJ89" s="68"/>
      <c r="CK89" s="68"/>
      <c r="CL89" s="68"/>
      <c r="CM89" s="68"/>
      <c r="CN89" s="66"/>
      <c r="CO89" s="68"/>
      <c r="CP89" s="66"/>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99"/>
      <c r="DR89" s="99"/>
      <c r="DS89" s="68"/>
      <c r="DT89" s="68"/>
      <c r="DU89" s="68"/>
      <c r="DV89" s="68"/>
      <c r="DW89" s="68"/>
      <c r="DX89" s="68"/>
      <c r="DY89" s="68"/>
      <c r="DZ89" s="68"/>
      <c r="EA89" s="68"/>
      <c r="EB89" s="68"/>
      <c r="EC89" s="68"/>
      <c r="ED89" s="68"/>
      <c r="EE89" s="68"/>
      <c r="EF89" s="68"/>
      <c r="EG89" s="68"/>
      <c r="EH89" s="68"/>
      <c r="EI89" s="68"/>
      <c r="EJ89" s="68"/>
      <c r="EK89" s="68"/>
      <c r="EL89" s="68"/>
      <c r="EM89" s="68"/>
      <c r="EN89" s="68"/>
      <c r="EO89" s="68"/>
      <c r="EP89" s="68"/>
      <c r="EQ89" s="68"/>
      <c r="ER89" s="3"/>
      <c r="ES89" s="3"/>
      <c r="EW89"/>
      <c r="EX89"/>
      <c r="EY89"/>
      <c r="FB89" s="1"/>
    </row>
    <row r="90" spans="1:160" ht="20.25" customHeight="1" x14ac:dyDescent="0.25">
      <c r="C90" s="1"/>
      <c r="D90" s="97"/>
      <c r="E90" s="97"/>
      <c r="F90" s="9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108"/>
      <c r="AO90" s="68"/>
      <c r="AP90" s="68"/>
      <c r="AQ90" s="68"/>
      <c r="AR90" s="68"/>
      <c r="AS90" s="68"/>
      <c r="AT90" s="66"/>
      <c r="AU90" s="68"/>
      <c r="AV90" s="68"/>
      <c r="AW90" s="68"/>
      <c r="AX90" s="66"/>
      <c r="AY90" s="68"/>
      <c r="AZ90" s="66"/>
      <c r="BA90" s="68"/>
      <c r="BB90" s="68"/>
      <c r="BC90" s="68"/>
      <c r="BD90" s="68"/>
      <c r="BE90" s="68"/>
      <c r="BF90" s="105"/>
      <c r="BG90" s="66"/>
      <c r="BH90" s="66"/>
      <c r="BI90" s="66"/>
      <c r="BJ90" s="66"/>
      <c r="BK90" s="66"/>
      <c r="BL90" s="66"/>
      <c r="BM90" s="66"/>
      <c r="BN90" s="66"/>
      <c r="BO90" s="66"/>
      <c r="BP90" s="66"/>
      <c r="BQ90" s="66"/>
      <c r="BR90" s="66"/>
      <c r="BS90" s="66"/>
      <c r="BT90" s="66"/>
      <c r="BU90" s="66"/>
      <c r="BV90" s="66"/>
      <c r="BW90" s="66"/>
      <c r="BX90" s="66"/>
      <c r="BY90" s="66"/>
      <c r="BZ90" s="66"/>
      <c r="CA90" s="66"/>
      <c r="CB90" s="66"/>
      <c r="CC90" s="66"/>
      <c r="CD90" s="66"/>
      <c r="CE90" s="66"/>
      <c r="CF90" s="68"/>
      <c r="CG90" s="68"/>
      <c r="CH90" s="66"/>
      <c r="CI90" s="66"/>
      <c r="CJ90" s="115"/>
      <c r="CK90" s="115"/>
      <c r="CL90" s="115"/>
      <c r="CM90" s="115"/>
      <c r="CN90" s="116"/>
      <c r="CO90" s="115"/>
      <c r="CP90" s="116"/>
      <c r="CQ90" s="115"/>
      <c r="CR90" s="115"/>
      <c r="CS90" s="115"/>
      <c r="CT90" s="115"/>
      <c r="CU90" s="115"/>
      <c r="CV90" s="115"/>
      <c r="CW90" s="115"/>
      <c r="CX90" s="115"/>
      <c r="CY90" s="115"/>
      <c r="CZ90" s="115"/>
      <c r="DA90" s="115"/>
      <c r="DB90" s="115"/>
      <c r="DC90" s="115"/>
      <c r="DD90" s="115"/>
      <c r="DE90" s="115"/>
      <c r="DF90" s="115"/>
      <c r="DG90" s="115"/>
      <c r="DH90" s="115"/>
      <c r="DI90" s="68"/>
      <c r="DJ90" s="68"/>
      <c r="DK90" s="68"/>
      <c r="DL90" s="68"/>
      <c r="DM90" s="68"/>
      <c r="DN90" s="68"/>
      <c r="DO90" s="68"/>
      <c r="DP90" s="68"/>
      <c r="DQ90" s="99"/>
      <c r="DR90" s="99"/>
      <c r="DS90" s="68"/>
      <c r="DT90" s="68"/>
      <c r="DU90" s="68"/>
      <c r="DV90" s="68"/>
      <c r="DW90" s="68"/>
      <c r="DX90" s="68"/>
      <c r="DY90" s="68"/>
      <c r="DZ90" s="68"/>
      <c r="EA90" s="68"/>
      <c r="EB90" s="68"/>
      <c r="EC90" s="68"/>
      <c r="ED90" s="68"/>
      <c r="EE90" s="68"/>
      <c r="EF90" s="68"/>
      <c r="EG90" s="68"/>
      <c r="EH90" s="68"/>
      <c r="EI90" s="68"/>
      <c r="EJ90" s="68"/>
      <c r="EK90" s="68"/>
      <c r="EL90" s="68"/>
      <c r="EM90" s="68"/>
      <c r="EN90" s="68"/>
      <c r="EO90" s="68"/>
      <c r="EP90" s="68"/>
      <c r="EQ90" s="68"/>
      <c r="ER90" s="3"/>
      <c r="ES90" s="3"/>
      <c r="EW90"/>
      <c r="EX90"/>
      <c r="EY90"/>
      <c r="FB90" s="1"/>
    </row>
    <row r="91" spans="1:160" ht="20.25" customHeight="1" x14ac:dyDescent="0.25">
      <c r="C91" s="1"/>
      <c r="D91" s="97"/>
      <c r="E91" s="97"/>
      <c r="F91" s="98"/>
      <c r="G91" s="573"/>
      <c r="H91" s="573"/>
      <c r="I91" s="573"/>
      <c r="J91" s="573"/>
      <c r="K91" s="573"/>
      <c r="L91" s="573"/>
      <c r="M91" s="573"/>
      <c r="N91" s="573"/>
      <c r="O91" s="573"/>
      <c r="P91" s="573"/>
      <c r="Q91" s="573"/>
      <c r="R91" s="573"/>
      <c r="S91" s="573"/>
      <c r="T91" s="573"/>
      <c r="U91" s="573"/>
      <c r="V91" s="573"/>
      <c r="W91" s="573"/>
      <c r="X91" s="573"/>
      <c r="Y91" s="573"/>
      <c r="Z91" s="573"/>
      <c r="AA91" s="573"/>
      <c r="AB91" s="68"/>
      <c r="AC91" s="68"/>
      <c r="AD91" s="68"/>
      <c r="AE91" s="68"/>
      <c r="AF91" s="68"/>
      <c r="AG91" s="68"/>
      <c r="AH91" s="68"/>
      <c r="AI91" s="68"/>
      <c r="AJ91" s="68"/>
      <c r="AK91" s="68"/>
      <c r="AL91" s="68"/>
      <c r="AM91" s="68"/>
      <c r="AN91" s="108"/>
      <c r="AO91" s="68"/>
      <c r="AP91" s="68"/>
      <c r="AQ91" s="68"/>
      <c r="AR91" s="68"/>
      <c r="AS91" s="68"/>
      <c r="AT91" s="66"/>
      <c r="AU91" s="68"/>
      <c r="AV91" s="68"/>
      <c r="AW91" s="68"/>
      <c r="AX91" s="66"/>
      <c r="AY91" s="68"/>
      <c r="AZ91" s="66"/>
      <c r="BA91" s="68"/>
      <c r="BB91" s="68"/>
      <c r="BC91" s="68"/>
      <c r="BD91" s="68"/>
      <c r="BE91" s="573"/>
      <c r="BF91" s="66"/>
      <c r="BG91" s="66"/>
      <c r="BH91" s="66"/>
      <c r="BI91" s="66"/>
      <c r="BJ91" s="66"/>
      <c r="BK91" s="66"/>
      <c r="BL91" s="66"/>
      <c r="BM91" s="66"/>
      <c r="BN91" s="66"/>
      <c r="BO91" s="66"/>
      <c r="BP91" s="66"/>
      <c r="BQ91" s="66"/>
      <c r="BR91" s="66"/>
      <c r="BS91" s="66"/>
      <c r="BT91" s="66"/>
      <c r="BU91" s="66"/>
      <c r="BV91" s="66"/>
      <c r="BW91" s="66"/>
      <c r="BX91" s="66"/>
      <c r="BY91" s="66"/>
      <c r="BZ91" s="66"/>
      <c r="CA91" s="66"/>
      <c r="CB91" s="66"/>
      <c r="CC91" s="66"/>
      <c r="CD91" s="66"/>
      <c r="CE91" s="66"/>
      <c r="CF91" s="68"/>
      <c r="CG91" s="68"/>
      <c r="CH91" s="66"/>
      <c r="CI91" s="573"/>
      <c r="CJ91" s="573"/>
      <c r="CK91" s="68"/>
      <c r="CL91" s="68"/>
      <c r="CM91" s="68"/>
      <c r="CN91" s="66"/>
      <c r="CO91" s="68"/>
      <c r="CP91" s="66"/>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99"/>
      <c r="DR91" s="99"/>
      <c r="DS91" s="68"/>
      <c r="DT91" s="68"/>
      <c r="DU91" s="68"/>
      <c r="DV91" s="68"/>
      <c r="DW91" s="68"/>
      <c r="DX91" s="68"/>
      <c r="DY91" s="68"/>
      <c r="DZ91" s="68"/>
      <c r="EA91" s="68"/>
      <c r="EB91" s="68"/>
      <c r="EC91" s="68"/>
      <c r="ED91" s="68"/>
      <c r="EE91" s="68"/>
      <c r="EF91" s="68"/>
      <c r="EG91" s="68"/>
      <c r="EH91" s="68"/>
      <c r="EI91" s="68"/>
      <c r="EJ91" s="68"/>
      <c r="EK91" s="68"/>
      <c r="EL91" s="68"/>
      <c r="EM91" s="68"/>
      <c r="EN91" s="68"/>
      <c r="EO91" s="68"/>
      <c r="EP91" s="68"/>
      <c r="EQ91" s="68"/>
      <c r="ER91" s="3"/>
      <c r="ES91" s="3"/>
      <c r="EW91"/>
      <c r="EX91"/>
      <c r="EY91"/>
      <c r="FB91" s="1"/>
    </row>
    <row r="92" spans="1:160" ht="20.25" customHeight="1" x14ac:dyDescent="0.25">
      <c r="C92" s="1"/>
      <c r="D92" s="97"/>
      <c r="E92" s="97"/>
      <c r="F92" s="9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108"/>
      <c r="AO92" s="68"/>
      <c r="AP92" s="68"/>
      <c r="AQ92" s="68"/>
      <c r="AR92" s="68"/>
      <c r="AS92" s="68"/>
      <c r="AT92" s="66"/>
      <c r="AU92" s="68"/>
      <c r="AV92" s="68"/>
      <c r="AW92" s="68"/>
      <c r="AX92" s="66"/>
      <c r="AY92" s="68"/>
      <c r="AZ92" s="66"/>
      <c r="BA92" s="68"/>
      <c r="BB92" s="68"/>
      <c r="BC92" s="68"/>
      <c r="BD92" s="68"/>
      <c r="BE92" s="68"/>
      <c r="BF92" s="105"/>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8"/>
      <c r="CG92" s="68"/>
      <c r="CH92" s="66"/>
      <c r="CI92" s="66"/>
      <c r="CJ92" s="103"/>
      <c r="CK92" s="103"/>
      <c r="CL92" s="103"/>
      <c r="CM92" s="103"/>
      <c r="CN92" s="105"/>
      <c r="CO92" s="103"/>
      <c r="CP92" s="105"/>
      <c r="CQ92" s="103"/>
      <c r="CR92" s="103"/>
      <c r="CS92" s="103"/>
      <c r="CT92" s="103"/>
      <c r="CU92" s="103"/>
      <c r="CV92" s="103"/>
      <c r="CW92" s="103"/>
      <c r="CX92" s="103"/>
      <c r="CY92" s="103"/>
      <c r="CZ92" s="103"/>
      <c r="DA92" s="103"/>
      <c r="DB92" s="103"/>
      <c r="DC92" s="103"/>
      <c r="DD92" s="103"/>
      <c r="DE92" s="103"/>
      <c r="DF92" s="103"/>
      <c r="DG92" s="103"/>
      <c r="DH92" s="103"/>
      <c r="DI92" s="68"/>
      <c r="DJ92" s="68"/>
      <c r="DK92" s="68"/>
      <c r="DL92" s="68"/>
      <c r="DM92" s="68"/>
      <c r="DN92" s="68"/>
      <c r="DO92" s="68"/>
      <c r="DP92" s="68"/>
      <c r="DQ92" s="99"/>
      <c r="DR92" s="99"/>
      <c r="DS92" s="68"/>
      <c r="DT92" s="68"/>
      <c r="DU92" s="68"/>
      <c r="DV92" s="68"/>
      <c r="DW92" s="68"/>
      <c r="DX92" s="68"/>
      <c r="DY92" s="68"/>
      <c r="DZ92" s="68"/>
      <c r="EA92" s="68"/>
      <c r="EB92" s="68"/>
      <c r="EC92" s="68"/>
      <c r="ED92" s="68"/>
      <c r="EE92" s="68"/>
      <c r="EF92" s="68"/>
      <c r="EG92" s="68"/>
      <c r="EH92" s="68"/>
      <c r="EI92" s="68"/>
      <c r="EJ92" s="68"/>
      <c r="EK92" s="68"/>
      <c r="EL92" s="68"/>
      <c r="EM92" s="68"/>
      <c r="EN92" s="68"/>
      <c r="EO92" s="68"/>
      <c r="EP92" s="68"/>
      <c r="EQ92" s="68"/>
      <c r="ER92" s="3"/>
      <c r="ES92" s="3"/>
      <c r="EW92"/>
      <c r="EX92"/>
      <c r="EY92"/>
      <c r="FB92" s="1"/>
    </row>
    <row r="93" spans="1:160" ht="20.25" customHeight="1" x14ac:dyDescent="0.25">
      <c r="C93" s="1"/>
      <c r="D93" s="97"/>
      <c r="E93" s="97"/>
      <c r="F93" s="9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108"/>
      <c r="AO93" s="68"/>
      <c r="AP93" s="68"/>
      <c r="AQ93" s="68"/>
      <c r="AR93" s="68"/>
      <c r="AS93" s="68"/>
      <c r="AT93" s="66"/>
      <c r="AU93" s="68"/>
      <c r="AV93" s="68"/>
      <c r="AW93" s="68"/>
      <c r="AX93" s="66"/>
      <c r="AY93" s="68"/>
      <c r="AZ93" s="66"/>
      <c r="BA93" s="68"/>
      <c r="BB93" s="68"/>
      <c r="BC93" s="68"/>
      <c r="BD93" s="68"/>
      <c r="BE93" s="68"/>
      <c r="BF93" s="66"/>
      <c r="BG93" s="66"/>
      <c r="BH93" s="66"/>
      <c r="BI93" s="66"/>
      <c r="BJ93" s="66"/>
      <c r="BK93" s="66"/>
      <c r="BL93" s="66"/>
      <c r="BM93" s="66"/>
      <c r="BN93" s="66"/>
      <c r="BO93" s="66"/>
      <c r="BP93" s="66"/>
      <c r="BQ93" s="66"/>
      <c r="BR93" s="66"/>
      <c r="BS93" s="66"/>
      <c r="BT93" s="66"/>
      <c r="BU93" s="66"/>
      <c r="BV93" s="66"/>
      <c r="BW93" s="66"/>
      <c r="BX93" s="66"/>
      <c r="BY93" s="66"/>
      <c r="BZ93" s="66"/>
      <c r="CA93" s="66"/>
      <c r="CB93" s="66"/>
      <c r="CC93" s="66"/>
      <c r="CD93" s="66"/>
      <c r="CE93" s="66"/>
      <c r="CF93" s="68"/>
      <c r="CG93" s="68"/>
      <c r="CH93" s="66"/>
      <c r="CI93" s="66"/>
      <c r="CJ93" s="68"/>
      <c r="CK93" s="68"/>
      <c r="CL93" s="68"/>
      <c r="CM93" s="68"/>
      <c r="CN93" s="66"/>
      <c r="CO93" s="68"/>
      <c r="CP93" s="66"/>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99"/>
      <c r="DR93" s="99"/>
      <c r="DS93" s="68"/>
      <c r="DT93" s="68"/>
      <c r="DU93" s="68"/>
      <c r="DV93" s="68"/>
      <c r="DW93" s="68"/>
      <c r="DX93" s="68"/>
      <c r="DY93" s="68"/>
      <c r="DZ93" s="68"/>
      <c r="EA93" s="68"/>
      <c r="EB93" s="68"/>
      <c r="EC93" s="68"/>
      <c r="ED93" s="68"/>
      <c r="EE93" s="68"/>
      <c r="EF93" s="68"/>
      <c r="EG93" s="68"/>
      <c r="EH93" s="68"/>
      <c r="EI93" s="68"/>
      <c r="EJ93" s="68"/>
      <c r="EK93" s="68"/>
      <c r="EL93" s="68"/>
      <c r="EM93" s="68"/>
      <c r="EN93" s="68"/>
      <c r="EO93" s="68"/>
      <c r="EP93" s="68"/>
      <c r="EQ93" s="68"/>
      <c r="ER93" s="3"/>
      <c r="ES93" s="3"/>
      <c r="EW93"/>
      <c r="EX93"/>
      <c r="EY93"/>
      <c r="FB93" s="1"/>
    </row>
    <row r="94" spans="1:160" ht="20.25" customHeight="1" x14ac:dyDescent="0.25">
      <c r="C94" s="1"/>
      <c r="D94" s="97"/>
      <c r="E94" s="97"/>
      <c r="F94" s="9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108"/>
      <c r="AO94" s="68"/>
      <c r="AP94" s="68"/>
      <c r="AQ94" s="68"/>
      <c r="AR94" s="68"/>
      <c r="AS94" s="68"/>
      <c r="AT94" s="66"/>
      <c r="AU94" s="68"/>
      <c r="AV94" s="68"/>
      <c r="AW94" s="68"/>
      <c r="AX94" s="66"/>
      <c r="AY94" s="68"/>
      <c r="AZ94" s="66"/>
      <c r="BA94" s="68"/>
      <c r="BB94" s="68"/>
      <c r="BC94" s="68"/>
      <c r="BD94" s="68"/>
      <c r="BE94" s="68"/>
      <c r="BF94" s="66"/>
      <c r="BG94" s="66"/>
      <c r="BH94" s="66"/>
      <c r="BI94" s="66"/>
      <c r="BJ94" s="66"/>
      <c r="BK94" s="66"/>
      <c r="BL94" s="66"/>
      <c r="BM94" s="66"/>
      <c r="BN94" s="66"/>
      <c r="BO94" s="66"/>
      <c r="BP94" s="66"/>
      <c r="BQ94" s="66"/>
      <c r="BR94" s="66"/>
      <c r="BS94" s="66"/>
      <c r="BT94" s="66"/>
      <c r="BU94" s="66"/>
      <c r="BV94" s="66"/>
      <c r="BW94" s="66"/>
      <c r="BX94" s="66"/>
      <c r="BY94" s="66"/>
      <c r="BZ94" s="66"/>
      <c r="CA94" s="66"/>
      <c r="CB94" s="66"/>
      <c r="CC94" s="66"/>
      <c r="CD94" s="66"/>
      <c r="CE94" s="66"/>
      <c r="CF94" s="68"/>
      <c r="CG94" s="68"/>
      <c r="CH94" s="66"/>
      <c r="CI94" s="66"/>
      <c r="CJ94" s="68"/>
      <c r="CK94" s="68"/>
      <c r="CL94" s="68"/>
      <c r="CM94" s="68"/>
      <c r="CN94" s="66"/>
      <c r="CO94" s="68"/>
      <c r="CP94" s="66"/>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99"/>
      <c r="DR94" s="99"/>
      <c r="DS94" s="68"/>
      <c r="DT94" s="68"/>
      <c r="DU94" s="68"/>
      <c r="DV94" s="68"/>
      <c r="DW94" s="68"/>
      <c r="DX94" s="68"/>
      <c r="DY94" s="68"/>
      <c r="DZ94" s="68"/>
      <c r="EA94" s="68"/>
      <c r="EB94" s="68"/>
      <c r="EC94" s="68"/>
      <c r="ED94" s="68"/>
      <c r="EE94" s="68"/>
      <c r="EF94" s="68"/>
      <c r="EG94" s="68"/>
      <c r="EH94" s="68"/>
      <c r="EI94" s="68"/>
      <c r="EJ94" s="68"/>
      <c r="EK94" s="68"/>
      <c r="EL94" s="68"/>
      <c r="EM94" s="68"/>
      <c r="EN94" s="68"/>
      <c r="EO94" s="68"/>
      <c r="EP94" s="68"/>
      <c r="EQ94" s="68"/>
      <c r="ER94" s="3"/>
      <c r="ES94" s="3"/>
      <c r="EW94"/>
      <c r="EX94"/>
      <c r="EY94"/>
      <c r="FB94" s="1"/>
    </row>
    <row r="95" spans="1:160" ht="20.25" customHeight="1" x14ac:dyDescent="0.25">
      <c r="C95" s="1"/>
      <c r="D95" s="97"/>
      <c r="E95" s="97"/>
      <c r="F95" s="9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108"/>
      <c r="AO95" s="68"/>
      <c r="AP95" s="68"/>
      <c r="AQ95" s="68"/>
      <c r="AR95" s="68"/>
      <c r="AS95" s="68"/>
      <c r="AT95" s="66"/>
      <c r="AU95" s="68"/>
      <c r="AV95" s="68"/>
      <c r="AW95" s="68"/>
      <c r="AX95" s="66"/>
      <c r="AY95" s="68"/>
      <c r="AZ95" s="66"/>
      <c r="BA95" s="68"/>
      <c r="BB95" s="68"/>
      <c r="BC95" s="68"/>
      <c r="BD95" s="68"/>
      <c r="BE95" s="68"/>
      <c r="BF95" s="66"/>
      <c r="BG95" s="66"/>
      <c r="BH95" s="66"/>
      <c r="BI95" s="66"/>
      <c r="BJ95" s="66"/>
      <c r="BK95" s="66"/>
      <c r="BL95" s="66"/>
      <c r="BM95" s="66"/>
      <c r="BN95" s="66"/>
      <c r="BO95" s="66"/>
      <c r="BP95" s="66"/>
      <c r="BQ95" s="66"/>
      <c r="BR95" s="66"/>
      <c r="BS95" s="66"/>
      <c r="BT95" s="66"/>
      <c r="BU95" s="66"/>
      <c r="BV95" s="66"/>
      <c r="BW95" s="66"/>
      <c r="BX95" s="66"/>
      <c r="BY95" s="66"/>
      <c r="BZ95" s="66"/>
      <c r="CA95" s="66"/>
      <c r="CB95" s="66"/>
      <c r="CC95" s="66"/>
      <c r="CD95" s="66"/>
      <c r="CE95" s="66"/>
      <c r="CF95" s="68"/>
      <c r="CG95" s="68"/>
      <c r="CH95" s="66"/>
      <c r="CI95" s="66"/>
      <c r="CJ95" s="68"/>
      <c r="CK95" s="68"/>
      <c r="CL95" s="68"/>
      <c r="CM95" s="68"/>
      <c r="CN95" s="66"/>
      <c r="CO95" s="68"/>
      <c r="CP95" s="66"/>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99"/>
      <c r="DR95" s="99"/>
      <c r="DS95" s="68"/>
      <c r="DT95" s="68"/>
      <c r="DU95" s="68"/>
      <c r="DV95" s="68"/>
      <c r="DW95" s="68"/>
      <c r="DX95" s="68"/>
      <c r="DY95" s="68"/>
      <c r="DZ95" s="68"/>
      <c r="EA95" s="68"/>
      <c r="EB95" s="68"/>
      <c r="EC95" s="68"/>
      <c r="ED95" s="68"/>
      <c r="EE95" s="68"/>
      <c r="EF95" s="68"/>
      <c r="EG95" s="68"/>
      <c r="EH95" s="68"/>
      <c r="EI95" s="68"/>
      <c r="EJ95" s="68"/>
      <c r="EK95" s="68"/>
      <c r="EL95" s="68"/>
      <c r="EM95" s="68"/>
      <c r="EN95" s="68"/>
      <c r="EO95" s="68"/>
      <c r="EP95" s="68"/>
      <c r="EQ95" s="68"/>
      <c r="ER95" s="3"/>
      <c r="ES95" s="3"/>
      <c r="EW95"/>
      <c r="EX95"/>
      <c r="EY95"/>
      <c r="FB95" s="1"/>
    </row>
    <row r="96" spans="1:160" ht="20.25" customHeight="1" x14ac:dyDescent="0.25">
      <c r="C96" s="1"/>
      <c r="D96" s="97"/>
      <c r="E96" s="97"/>
      <c r="F96" s="9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108"/>
      <c r="AO96" s="68"/>
      <c r="AP96" s="68"/>
      <c r="AQ96" s="68"/>
      <c r="AR96" s="68"/>
      <c r="AS96" s="68"/>
      <c r="AT96" s="66"/>
      <c r="AU96" s="68"/>
      <c r="AV96" s="68"/>
      <c r="AW96" s="68"/>
      <c r="AX96" s="66"/>
      <c r="AY96" s="68"/>
      <c r="AZ96" s="66"/>
      <c r="BA96" s="68"/>
      <c r="BB96" s="68"/>
      <c r="BC96" s="68"/>
      <c r="BD96" s="68"/>
      <c r="BE96" s="68"/>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8"/>
      <c r="CG96" s="68"/>
      <c r="CH96" s="66"/>
      <c r="CI96" s="66"/>
      <c r="CJ96" s="68"/>
      <c r="CK96" s="68"/>
      <c r="CL96" s="68"/>
      <c r="CM96" s="68"/>
      <c r="CN96" s="66"/>
      <c r="CO96" s="68"/>
      <c r="CP96" s="66"/>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99"/>
      <c r="DR96" s="99"/>
      <c r="DS96" s="68"/>
      <c r="DT96" s="68"/>
      <c r="DU96" s="68"/>
      <c r="DV96" s="68"/>
      <c r="DW96" s="68"/>
      <c r="DX96" s="68"/>
      <c r="DY96" s="68"/>
      <c r="DZ96" s="68"/>
      <c r="EA96" s="68"/>
      <c r="EB96" s="68"/>
      <c r="EC96" s="68"/>
      <c r="ED96" s="68"/>
      <c r="EE96" s="68"/>
      <c r="EF96" s="68"/>
      <c r="EG96" s="68"/>
      <c r="EH96" s="68"/>
      <c r="EI96" s="68"/>
      <c r="EJ96" s="68"/>
      <c r="EK96" s="68"/>
      <c r="EL96" s="68"/>
      <c r="EM96" s="68"/>
      <c r="EN96" s="68"/>
      <c r="EO96" s="68"/>
      <c r="EP96" s="68"/>
      <c r="EQ96" s="68"/>
      <c r="ER96" s="3"/>
      <c r="ES96" s="3"/>
      <c r="EW96"/>
      <c r="EX96"/>
      <c r="EY96"/>
      <c r="FB96" s="1"/>
    </row>
    <row r="97" spans="3:158" ht="20.25" customHeight="1" x14ac:dyDescent="0.25">
      <c r="C97" s="1"/>
      <c r="D97" s="97"/>
      <c r="E97" s="97"/>
      <c r="F97" s="9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108"/>
      <c r="AO97" s="68"/>
      <c r="AP97" s="68"/>
      <c r="AQ97" s="68"/>
      <c r="AR97" s="68"/>
      <c r="AS97" s="68"/>
      <c r="AT97" s="66"/>
      <c r="AU97" s="68"/>
      <c r="AV97" s="68"/>
      <c r="AW97" s="68"/>
      <c r="AX97" s="66"/>
      <c r="AY97" s="68"/>
      <c r="AZ97" s="66"/>
      <c r="BA97" s="68"/>
      <c r="BB97" s="68"/>
      <c r="BC97" s="68"/>
      <c r="BD97" s="68"/>
      <c r="BE97" s="68"/>
      <c r="BF97" s="66"/>
      <c r="BG97" s="66"/>
      <c r="BH97" s="66"/>
      <c r="BI97" s="66"/>
      <c r="BJ97" s="66"/>
      <c r="BK97" s="66"/>
      <c r="BL97" s="66"/>
      <c r="BM97" s="66"/>
      <c r="BN97" s="66"/>
      <c r="BO97" s="66"/>
      <c r="BP97" s="66"/>
      <c r="BQ97" s="66"/>
      <c r="BR97" s="66"/>
      <c r="BS97" s="66"/>
      <c r="BT97" s="66"/>
      <c r="BU97" s="66"/>
      <c r="BV97" s="66"/>
      <c r="BW97" s="66"/>
      <c r="BX97" s="66"/>
      <c r="BY97" s="66"/>
      <c r="BZ97" s="66"/>
      <c r="CA97" s="66"/>
      <c r="CB97" s="66"/>
      <c r="CC97" s="66"/>
      <c r="CD97" s="66"/>
      <c r="CE97" s="66"/>
      <c r="CF97" s="68"/>
      <c r="CG97" s="68"/>
      <c r="CH97" s="66"/>
      <c r="CI97" s="66"/>
      <c r="CJ97" s="68"/>
      <c r="CK97" s="68"/>
      <c r="CL97" s="68"/>
      <c r="CM97" s="68"/>
      <c r="CN97" s="66"/>
      <c r="CO97" s="68"/>
      <c r="CP97" s="66"/>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99"/>
      <c r="DR97" s="99"/>
      <c r="DS97" s="68"/>
      <c r="DT97" s="68"/>
      <c r="DU97" s="68"/>
      <c r="DV97" s="68"/>
      <c r="DW97" s="68"/>
      <c r="DX97" s="68"/>
      <c r="DY97" s="68"/>
      <c r="DZ97" s="68"/>
      <c r="EA97" s="68"/>
      <c r="EB97" s="68"/>
      <c r="EC97" s="68"/>
      <c r="ED97" s="68"/>
      <c r="EE97" s="68"/>
      <c r="EF97" s="68"/>
      <c r="EG97" s="68"/>
      <c r="EH97" s="68"/>
      <c r="EI97" s="68"/>
      <c r="EJ97" s="68"/>
      <c r="EK97" s="68"/>
      <c r="EL97" s="68"/>
      <c r="EM97" s="68"/>
      <c r="EN97" s="68"/>
      <c r="EO97" s="68"/>
      <c r="EP97" s="68"/>
      <c r="EQ97" s="68"/>
      <c r="ER97" s="3"/>
      <c r="ES97" s="3"/>
      <c r="EW97"/>
      <c r="EX97"/>
      <c r="EY97"/>
      <c r="FB97" s="1"/>
    </row>
    <row r="98" spans="3:158" ht="20.25" customHeight="1" x14ac:dyDescent="0.25">
      <c r="C98" s="1"/>
      <c r="D98" s="97"/>
      <c r="E98" s="97"/>
      <c r="F98" s="9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108"/>
      <c r="AO98" s="68"/>
      <c r="AP98" s="68"/>
      <c r="AQ98" s="68"/>
      <c r="AR98" s="68"/>
      <c r="AS98" s="68"/>
      <c r="AT98" s="66"/>
      <c r="AU98" s="68"/>
      <c r="AV98" s="68"/>
      <c r="AW98" s="68"/>
      <c r="AX98" s="66"/>
      <c r="AY98" s="68"/>
      <c r="AZ98" s="66"/>
      <c r="BA98" s="68"/>
      <c r="BB98" s="68"/>
      <c r="BC98" s="68"/>
      <c r="BD98" s="68"/>
      <c r="BE98" s="68"/>
      <c r="BF98" s="66"/>
      <c r="BG98" s="66"/>
      <c r="BH98" s="66"/>
      <c r="BI98" s="66"/>
      <c r="BJ98" s="66"/>
      <c r="BK98" s="66"/>
      <c r="BL98" s="66"/>
      <c r="BM98" s="66"/>
      <c r="BN98" s="66"/>
      <c r="BO98" s="66"/>
      <c r="BP98" s="66"/>
      <c r="BQ98" s="66"/>
      <c r="BR98" s="66"/>
      <c r="BS98" s="66"/>
      <c r="BT98" s="66"/>
      <c r="BU98" s="66"/>
      <c r="BV98" s="66"/>
      <c r="BW98" s="66"/>
      <c r="BX98" s="66"/>
      <c r="BY98" s="66"/>
      <c r="BZ98" s="66"/>
      <c r="CA98" s="66"/>
      <c r="CB98" s="66"/>
      <c r="CC98" s="66"/>
      <c r="CD98" s="66"/>
      <c r="CE98" s="66"/>
      <c r="CF98" s="68"/>
      <c r="CG98" s="68"/>
      <c r="CH98" s="66"/>
      <c r="CI98" s="66"/>
      <c r="CJ98" s="68"/>
      <c r="CK98" s="68"/>
      <c r="CL98" s="68"/>
      <c r="CM98" s="68"/>
      <c r="CN98" s="66"/>
      <c r="CO98" s="68"/>
      <c r="CP98" s="66"/>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99"/>
      <c r="DR98" s="99"/>
      <c r="DS98" s="68"/>
      <c r="DT98" s="68"/>
      <c r="DU98" s="68"/>
      <c r="DV98" s="68"/>
      <c r="DW98" s="68"/>
      <c r="DX98" s="68"/>
      <c r="DY98" s="68"/>
      <c r="DZ98" s="68"/>
      <c r="EA98" s="68"/>
      <c r="EB98" s="68"/>
      <c r="EC98" s="68"/>
      <c r="ED98" s="68"/>
      <c r="EE98" s="68"/>
      <c r="EF98" s="68"/>
      <c r="EG98" s="68"/>
      <c r="EH98" s="68"/>
      <c r="EI98" s="68"/>
      <c r="EJ98" s="68"/>
      <c r="EK98" s="68"/>
      <c r="EL98" s="68"/>
      <c r="EM98" s="68"/>
      <c r="EN98" s="68"/>
      <c r="EO98" s="68"/>
      <c r="EP98" s="68"/>
      <c r="EQ98" s="68"/>
      <c r="ER98" s="3"/>
      <c r="ES98" s="3"/>
      <c r="EW98"/>
      <c r="EX98"/>
      <c r="EY98"/>
      <c r="FB98" s="1"/>
    </row>
    <row r="99" spans="3:158" ht="45" customHeight="1" x14ac:dyDescent="0.25">
      <c r="C99" s="1"/>
      <c r="D99" s="97"/>
      <c r="E99" s="97"/>
      <c r="F99" s="9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108"/>
      <c r="AO99" s="68"/>
      <c r="AP99" s="68"/>
      <c r="AQ99" s="68"/>
      <c r="AR99" s="68"/>
      <c r="AS99" s="68"/>
      <c r="AT99" s="66"/>
      <c r="AU99" s="68"/>
      <c r="AV99" s="68"/>
      <c r="AW99" s="68"/>
      <c r="AX99" s="66"/>
      <c r="AY99" s="68"/>
      <c r="AZ99" s="66"/>
      <c r="BA99" s="68"/>
      <c r="BB99" s="68"/>
      <c r="BC99" s="68"/>
      <c r="BD99" s="68"/>
      <c r="BE99" s="68"/>
      <c r="BF99" s="66"/>
      <c r="BG99" s="66"/>
      <c r="BH99" s="66"/>
      <c r="BI99" s="66"/>
      <c r="BJ99" s="66"/>
      <c r="BK99" s="66"/>
      <c r="BL99" s="66"/>
      <c r="BM99" s="66"/>
      <c r="BN99" s="66"/>
      <c r="BO99" s="66"/>
      <c r="BP99" s="66"/>
      <c r="BQ99" s="66"/>
      <c r="BR99" s="66"/>
      <c r="BS99" s="66"/>
      <c r="BT99" s="66"/>
      <c r="BU99" s="66"/>
      <c r="BV99" s="66"/>
      <c r="BW99" s="66"/>
      <c r="BX99" s="66"/>
      <c r="BY99" s="66"/>
      <c r="BZ99" s="66"/>
      <c r="CA99" s="66"/>
      <c r="CB99" s="66"/>
      <c r="CC99" s="66"/>
      <c r="CD99" s="66"/>
      <c r="CE99" s="66"/>
      <c r="CF99" s="68"/>
      <c r="CG99" s="68"/>
      <c r="CH99" s="66"/>
      <c r="CI99" s="66"/>
      <c r="CJ99" s="68"/>
      <c r="CK99" s="68"/>
      <c r="CL99" s="68"/>
      <c r="CM99" s="68"/>
      <c r="CN99" s="66"/>
      <c r="CO99" s="68"/>
      <c r="CP99" s="66"/>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99"/>
      <c r="DR99" s="99"/>
      <c r="DS99" s="68"/>
      <c r="DT99" s="68"/>
      <c r="DU99" s="68"/>
      <c r="DV99" s="68"/>
      <c r="DW99" s="68"/>
      <c r="DX99" s="68"/>
      <c r="DY99" s="68"/>
      <c r="DZ99" s="68"/>
      <c r="EA99" s="68"/>
      <c r="EB99" s="68"/>
      <c r="EC99" s="68"/>
      <c r="ED99" s="68"/>
      <c r="EE99" s="68"/>
      <c r="EF99" s="68"/>
      <c r="EG99" s="68"/>
      <c r="EH99" s="68"/>
      <c r="EI99" s="68"/>
      <c r="EJ99" s="68"/>
      <c r="EK99" s="68"/>
      <c r="EL99" s="68"/>
      <c r="EM99" s="68"/>
      <c r="EN99" s="68"/>
      <c r="EO99" s="68"/>
      <c r="EP99" s="68"/>
      <c r="EQ99" s="68"/>
      <c r="ER99" s="3"/>
      <c r="ES99" s="3"/>
      <c r="EW99"/>
      <c r="EX99"/>
      <c r="EY99"/>
      <c r="FB99" s="1"/>
    </row>
    <row r="100" spans="3:158" ht="20.25" customHeight="1" x14ac:dyDescent="0.25">
      <c r="C100" s="1"/>
      <c r="D100" s="97"/>
      <c r="E100" s="97"/>
      <c r="F100" s="9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117"/>
      <c r="AO100" s="118"/>
      <c r="AP100" s="765"/>
      <c r="AQ100" s="689"/>
      <c r="AR100" s="766"/>
      <c r="AS100" s="689"/>
      <c r="AT100" s="766"/>
      <c r="AU100" s="689"/>
      <c r="AV100" s="766"/>
      <c r="AW100" s="689"/>
      <c r="AX100" s="66"/>
      <c r="AY100" s="68"/>
      <c r="AZ100" s="66"/>
      <c r="BA100" s="68"/>
      <c r="BB100" s="68"/>
      <c r="BC100" s="68"/>
      <c r="BD100" s="68"/>
      <c r="BE100" s="68"/>
      <c r="BF100" s="66"/>
      <c r="BG100" s="66"/>
      <c r="BH100" s="66"/>
      <c r="BI100" s="66"/>
      <c r="BJ100" s="66"/>
      <c r="BK100" s="66"/>
      <c r="BL100" s="66"/>
      <c r="BM100" s="66"/>
      <c r="BN100" s="66"/>
      <c r="BO100" s="66"/>
      <c r="BP100" s="66"/>
      <c r="BQ100" s="66"/>
      <c r="BR100" s="66"/>
      <c r="BS100" s="66"/>
      <c r="BT100" s="66"/>
      <c r="BU100" s="66"/>
      <c r="BV100" s="66"/>
      <c r="BW100" s="66"/>
      <c r="BX100" s="66"/>
      <c r="BY100" s="66"/>
      <c r="BZ100" s="66"/>
      <c r="CA100" s="66"/>
      <c r="CB100" s="66"/>
      <c r="CC100" s="66"/>
      <c r="CD100" s="66"/>
      <c r="CE100" s="66"/>
      <c r="CF100" s="68"/>
      <c r="CG100" s="68"/>
      <c r="CH100" s="66"/>
      <c r="CI100" s="66"/>
      <c r="CJ100" s="68"/>
      <c r="CK100" s="68"/>
      <c r="CL100" s="68"/>
      <c r="CM100" s="68"/>
      <c r="CN100" s="66"/>
      <c r="CO100" s="68"/>
      <c r="CP100" s="66"/>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99"/>
      <c r="DR100" s="99"/>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c r="EO100" s="68"/>
      <c r="EP100" s="68"/>
      <c r="EQ100" s="68"/>
      <c r="ER100" s="3"/>
      <c r="ES100" s="3"/>
      <c r="EW100"/>
      <c r="EX100"/>
      <c r="EY100"/>
      <c r="FB100" s="1"/>
    </row>
    <row r="101" spans="3:158" ht="20.25" customHeight="1" x14ac:dyDescent="0.25">
      <c r="C101" s="1"/>
      <c r="D101" s="97"/>
      <c r="E101" s="97"/>
      <c r="F101" s="9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O101" s="119"/>
      <c r="AP101" s="119"/>
      <c r="AQ101" s="120"/>
      <c r="AR101" s="119"/>
      <c r="AS101" s="120"/>
      <c r="AT101" s="121"/>
      <c r="AU101" s="120"/>
      <c r="AV101" s="119"/>
      <c r="AW101" s="120"/>
      <c r="AX101" s="66"/>
      <c r="AY101" s="68"/>
      <c r="AZ101" s="66"/>
      <c r="BA101" s="68"/>
      <c r="BB101" s="68"/>
      <c r="BC101" s="68"/>
      <c r="BD101" s="68"/>
      <c r="BE101" s="68"/>
      <c r="BF101" s="66"/>
      <c r="BG101" s="66"/>
      <c r="BH101" s="66"/>
      <c r="BI101" s="66"/>
      <c r="BJ101" s="66"/>
      <c r="BK101" s="66"/>
      <c r="BL101" s="66"/>
      <c r="BM101" s="66"/>
      <c r="BN101" s="66"/>
      <c r="BO101" s="66"/>
      <c r="BP101" s="66"/>
      <c r="BQ101" s="66"/>
      <c r="BR101" s="66"/>
      <c r="BS101" s="66"/>
      <c r="BT101" s="66"/>
      <c r="BU101" s="66"/>
      <c r="BV101" s="66"/>
      <c r="BW101" s="66"/>
      <c r="BX101" s="66"/>
      <c r="BY101" s="66"/>
      <c r="BZ101" s="66"/>
      <c r="CA101" s="66"/>
      <c r="CB101" s="66"/>
      <c r="CC101" s="66"/>
      <c r="CD101" s="66"/>
      <c r="CE101" s="66"/>
      <c r="CF101" s="68"/>
      <c r="CG101" s="68"/>
      <c r="CH101" s="66"/>
      <c r="CI101" s="66"/>
      <c r="CJ101" s="68"/>
      <c r="CK101" s="68"/>
      <c r="CL101" s="68"/>
      <c r="CM101" s="68"/>
      <c r="CN101" s="66"/>
      <c r="CO101" s="68"/>
      <c r="CP101" s="66"/>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99"/>
      <c r="DR101" s="99"/>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c r="EO101" s="68"/>
      <c r="EP101" s="68"/>
      <c r="EQ101" s="68"/>
      <c r="ER101" s="3"/>
      <c r="ES101" s="3"/>
      <c r="EW101"/>
      <c r="EX101"/>
      <c r="EY101"/>
      <c r="FB101" s="1"/>
    </row>
    <row r="102" spans="3:158" ht="20.25" customHeight="1" x14ac:dyDescent="0.25">
      <c r="C102" s="1"/>
      <c r="D102" s="97"/>
      <c r="E102" s="97"/>
      <c r="F102" s="9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O102" s="119"/>
      <c r="AP102" s="119"/>
      <c r="AQ102" s="120"/>
      <c r="AR102" s="119"/>
      <c r="AS102" s="120"/>
      <c r="AT102" s="121"/>
      <c r="AU102" s="120"/>
      <c r="AV102" s="119"/>
      <c r="AW102" s="120"/>
      <c r="AX102" s="66"/>
      <c r="AY102" s="68"/>
      <c r="AZ102" s="66"/>
      <c r="BA102" s="68"/>
      <c r="BB102" s="68"/>
      <c r="BC102" s="68"/>
      <c r="BD102" s="68"/>
      <c r="BE102" s="68"/>
      <c r="BF102" s="66"/>
      <c r="BG102" s="66"/>
      <c r="BH102" s="66"/>
      <c r="BI102" s="66"/>
      <c r="BJ102" s="66"/>
      <c r="BK102" s="66"/>
      <c r="BL102" s="66"/>
      <c r="BM102" s="66"/>
      <c r="BN102" s="66"/>
      <c r="BO102" s="66"/>
      <c r="BP102" s="66"/>
      <c r="BQ102" s="66"/>
      <c r="BR102" s="66"/>
      <c r="BS102" s="66"/>
      <c r="BT102" s="66"/>
      <c r="BU102" s="66"/>
      <c r="BV102" s="66"/>
      <c r="BW102" s="66"/>
      <c r="BX102" s="66"/>
      <c r="BY102" s="66"/>
      <c r="BZ102" s="66"/>
      <c r="CA102" s="66"/>
      <c r="CB102" s="66"/>
      <c r="CC102" s="66"/>
      <c r="CD102" s="66"/>
      <c r="CE102" s="66"/>
      <c r="CF102" s="68"/>
      <c r="CG102" s="68"/>
      <c r="CH102" s="66"/>
      <c r="CI102" s="66"/>
      <c r="CJ102" s="68"/>
      <c r="CK102" s="68"/>
      <c r="CL102" s="68"/>
      <c r="CM102" s="68"/>
      <c r="CN102" s="66"/>
      <c r="CO102" s="68"/>
      <c r="CP102" s="66"/>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99"/>
      <c r="DR102" s="99"/>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c r="EO102" s="68"/>
      <c r="EP102" s="68"/>
      <c r="EQ102" s="68"/>
      <c r="ER102" s="3"/>
      <c r="ES102" s="3"/>
      <c r="EW102"/>
      <c r="EX102"/>
      <c r="EY102"/>
      <c r="FB102" s="1"/>
    </row>
    <row r="103" spans="3:158" ht="20.25" customHeight="1" x14ac:dyDescent="0.25">
      <c r="C103" s="1"/>
      <c r="D103" s="97"/>
      <c r="E103" s="97"/>
      <c r="F103" s="9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O103" s="119"/>
      <c r="AP103" s="119"/>
      <c r="AQ103" s="120"/>
      <c r="AR103" s="119"/>
      <c r="AS103" s="120"/>
      <c r="AT103" s="121"/>
      <c r="AU103" s="120"/>
      <c r="AV103" s="119"/>
      <c r="AW103" s="120"/>
      <c r="AX103" s="66"/>
      <c r="AY103" s="68"/>
      <c r="AZ103" s="66"/>
      <c r="BA103" s="68"/>
      <c r="BB103" s="68"/>
      <c r="BC103" s="68"/>
      <c r="BD103" s="68"/>
      <c r="BE103" s="68"/>
      <c r="BF103" s="66"/>
      <c r="BG103" s="66"/>
      <c r="BH103" s="66"/>
      <c r="BI103" s="66"/>
      <c r="BJ103" s="66"/>
      <c r="BK103" s="66"/>
      <c r="BL103" s="66"/>
      <c r="BM103" s="66"/>
      <c r="BN103" s="66"/>
      <c r="BO103" s="66"/>
      <c r="BP103" s="66"/>
      <c r="BQ103" s="66"/>
      <c r="BR103" s="66"/>
      <c r="BS103" s="66"/>
      <c r="BT103" s="66"/>
      <c r="BU103" s="66"/>
      <c r="BV103" s="66"/>
      <c r="BW103" s="66"/>
      <c r="BX103" s="66"/>
      <c r="BY103" s="66"/>
      <c r="BZ103" s="66"/>
      <c r="CA103" s="66"/>
      <c r="CB103" s="66"/>
      <c r="CC103" s="66"/>
      <c r="CD103" s="66"/>
      <c r="CE103" s="66"/>
      <c r="CF103" s="68"/>
      <c r="CG103" s="68"/>
      <c r="CH103" s="66"/>
      <c r="CI103" s="66"/>
      <c r="CJ103" s="68"/>
      <c r="CK103" s="68"/>
      <c r="CL103" s="68"/>
      <c r="CM103" s="68"/>
      <c r="CN103" s="66"/>
      <c r="CO103" s="68"/>
      <c r="CP103" s="66"/>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99"/>
      <c r="DR103" s="99"/>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c r="EO103" s="68"/>
      <c r="EP103" s="68"/>
      <c r="EQ103" s="68"/>
      <c r="ER103" s="3"/>
      <c r="ES103" s="3"/>
      <c r="EW103"/>
      <c r="EX103"/>
      <c r="EY103"/>
      <c r="FB103" s="1"/>
    </row>
    <row r="104" spans="3:158" ht="20.25" customHeight="1" x14ac:dyDescent="0.25">
      <c r="C104" s="1"/>
      <c r="D104" s="97"/>
      <c r="E104" s="97"/>
      <c r="F104" s="9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O104" s="119"/>
      <c r="AP104" s="119"/>
      <c r="AQ104" s="120"/>
      <c r="AR104" s="119"/>
      <c r="AS104" s="120"/>
      <c r="AT104" s="121"/>
      <c r="AU104" s="120"/>
      <c r="AV104" s="119"/>
      <c r="AW104" s="120"/>
      <c r="AX104" s="66"/>
      <c r="AY104" s="68"/>
      <c r="AZ104" s="66"/>
      <c r="BA104" s="68"/>
      <c r="BB104" s="68"/>
      <c r="BC104" s="68"/>
      <c r="BD104" s="68"/>
      <c r="BE104" s="68"/>
      <c r="BF104" s="66"/>
      <c r="BG104" s="66"/>
      <c r="BH104" s="66"/>
      <c r="BI104" s="66"/>
      <c r="BJ104" s="66"/>
      <c r="BK104" s="66"/>
      <c r="BL104" s="66"/>
      <c r="BM104" s="66"/>
      <c r="BN104" s="66"/>
      <c r="BO104" s="66"/>
      <c r="BP104" s="66"/>
      <c r="BQ104" s="66"/>
      <c r="BR104" s="66"/>
      <c r="BS104" s="66"/>
      <c r="BT104" s="66"/>
      <c r="BU104" s="66"/>
      <c r="BV104" s="66"/>
      <c r="BW104" s="66"/>
      <c r="BX104" s="66"/>
      <c r="BY104" s="66"/>
      <c r="BZ104" s="66"/>
      <c r="CA104" s="66"/>
      <c r="CB104" s="66"/>
      <c r="CC104" s="66"/>
      <c r="CD104" s="66"/>
      <c r="CE104" s="66"/>
      <c r="CF104" s="68"/>
      <c r="CG104" s="68"/>
      <c r="CH104" s="66"/>
      <c r="CI104" s="66"/>
      <c r="CJ104" s="68"/>
      <c r="CK104" s="68"/>
      <c r="CL104" s="68"/>
      <c r="CM104" s="68"/>
      <c r="CN104" s="66"/>
      <c r="CO104" s="68"/>
      <c r="CP104" s="66"/>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99"/>
      <c r="DR104" s="99"/>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c r="EO104" s="68"/>
      <c r="EP104" s="68"/>
      <c r="EQ104" s="68"/>
      <c r="ER104" s="3"/>
      <c r="ES104" s="3"/>
      <c r="EW104"/>
      <c r="EX104"/>
      <c r="EY104"/>
      <c r="FB104" s="1"/>
    </row>
    <row r="105" spans="3:158" ht="20.25" customHeight="1" x14ac:dyDescent="0.25">
      <c r="C105" s="1"/>
      <c r="D105" s="97"/>
      <c r="E105" s="97"/>
      <c r="F105" s="9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O105" s="119"/>
      <c r="AP105" s="119"/>
      <c r="AQ105" s="120"/>
      <c r="AR105" s="119"/>
      <c r="AS105" s="120"/>
      <c r="AT105" s="121"/>
      <c r="AU105" s="120"/>
      <c r="AV105" s="119"/>
      <c r="AW105" s="120"/>
      <c r="AX105" s="66"/>
      <c r="AY105" s="68"/>
      <c r="AZ105" s="66"/>
      <c r="BA105" s="68"/>
      <c r="BB105" s="68"/>
      <c r="BC105" s="68"/>
      <c r="BD105" s="68"/>
      <c r="BE105" s="68"/>
      <c r="BF105" s="66"/>
      <c r="BG105" s="66"/>
      <c r="BH105" s="66"/>
      <c r="BI105" s="66"/>
      <c r="BJ105" s="66"/>
      <c r="BK105" s="66"/>
      <c r="BL105" s="66"/>
      <c r="BM105" s="66"/>
      <c r="BN105" s="66"/>
      <c r="BO105" s="66"/>
      <c r="BP105" s="66"/>
      <c r="BQ105" s="66"/>
      <c r="BR105" s="66"/>
      <c r="BS105" s="66"/>
      <c r="BT105" s="66"/>
      <c r="BU105" s="66"/>
      <c r="BV105" s="66"/>
      <c r="BW105" s="66"/>
      <c r="BX105" s="66"/>
      <c r="BY105" s="66"/>
      <c r="BZ105" s="66"/>
      <c r="CA105" s="66"/>
      <c r="CB105" s="66"/>
      <c r="CC105" s="66"/>
      <c r="CD105" s="66"/>
      <c r="CE105" s="66"/>
      <c r="CF105" s="68"/>
      <c r="CG105" s="68"/>
      <c r="CH105" s="66"/>
      <c r="CI105" s="66"/>
      <c r="CJ105" s="68"/>
      <c r="CK105" s="68"/>
      <c r="CL105" s="68"/>
      <c r="CM105" s="68"/>
      <c r="CN105" s="66"/>
      <c r="CO105" s="68"/>
      <c r="CP105" s="66"/>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99"/>
      <c r="DR105" s="99"/>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c r="EO105" s="68"/>
      <c r="EP105" s="68"/>
      <c r="EQ105" s="68"/>
      <c r="ER105" s="3"/>
      <c r="ES105" s="3"/>
      <c r="EW105"/>
      <c r="EX105"/>
      <c r="EY105"/>
      <c r="FB105" s="1"/>
    </row>
    <row r="106" spans="3:158" ht="20.25" customHeight="1" x14ac:dyDescent="0.25">
      <c r="C106" s="1"/>
      <c r="D106" s="97"/>
      <c r="E106" s="97"/>
      <c r="F106" s="9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O106" s="119"/>
      <c r="AP106" s="119"/>
      <c r="AQ106" s="120"/>
      <c r="AR106" s="119"/>
      <c r="AS106" s="120"/>
      <c r="AT106" s="121"/>
      <c r="AU106" s="120"/>
      <c r="AV106" s="119"/>
      <c r="AW106" s="120"/>
      <c r="AX106" s="66"/>
      <c r="AY106" s="68"/>
      <c r="AZ106" s="66"/>
      <c r="BA106" s="68"/>
      <c r="BB106" s="68"/>
      <c r="BC106" s="68"/>
      <c r="BD106" s="68"/>
      <c r="BE106" s="68"/>
      <c r="BF106" s="66"/>
      <c r="BG106" s="66"/>
      <c r="BH106" s="66"/>
      <c r="BI106" s="66"/>
      <c r="BJ106" s="66"/>
      <c r="BK106" s="66"/>
      <c r="BL106" s="66"/>
      <c r="BM106" s="66"/>
      <c r="BN106" s="66"/>
      <c r="BO106" s="66"/>
      <c r="BP106" s="66"/>
      <c r="BQ106" s="66"/>
      <c r="BR106" s="66"/>
      <c r="BS106" s="66"/>
      <c r="BT106" s="66"/>
      <c r="BU106" s="66"/>
      <c r="BV106" s="66"/>
      <c r="BW106" s="66"/>
      <c r="BX106" s="66"/>
      <c r="BY106" s="66"/>
      <c r="BZ106" s="66"/>
      <c r="CA106" s="66"/>
      <c r="CB106" s="66"/>
      <c r="CC106" s="66"/>
      <c r="CD106" s="66"/>
      <c r="CE106" s="66"/>
      <c r="CF106" s="68"/>
      <c r="CG106" s="68"/>
      <c r="CH106" s="66"/>
      <c r="CI106" s="66"/>
      <c r="CJ106" s="68"/>
      <c r="CK106" s="68"/>
      <c r="CL106" s="68"/>
      <c r="CM106" s="68"/>
      <c r="CN106" s="66"/>
      <c r="CO106" s="68"/>
      <c r="CP106" s="66"/>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99"/>
      <c r="DR106" s="99"/>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c r="EO106" s="68"/>
      <c r="EP106" s="68"/>
      <c r="EQ106" s="68"/>
      <c r="ER106" s="3"/>
      <c r="ES106" s="3"/>
      <c r="EW106"/>
      <c r="EX106"/>
      <c r="EY106"/>
      <c r="FB106" s="1"/>
    </row>
    <row r="107" spans="3:158" ht="20.25" customHeight="1" x14ac:dyDescent="0.25">
      <c r="C107" s="1"/>
      <c r="D107" s="97"/>
      <c r="E107" s="97"/>
      <c r="F107" s="9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O107" s="119"/>
      <c r="AP107" s="119"/>
      <c r="AQ107" s="120"/>
      <c r="AR107" s="119"/>
      <c r="AS107" s="120"/>
      <c r="AT107" s="121"/>
      <c r="AU107" s="120"/>
      <c r="AV107" s="119"/>
      <c r="AW107" s="120"/>
      <c r="AX107" s="66"/>
      <c r="AY107" s="68"/>
      <c r="AZ107" s="66"/>
      <c r="BA107" s="68"/>
      <c r="BB107" s="68"/>
      <c r="BC107" s="68"/>
      <c r="BD107" s="68"/>
      <c r="BE107" s="68"/>
      <c r="BF107" s="66"/>
      <c r="BG107" s="66"/>
      <c r="BH107" s="66"/>
      <c r="BI107" s="66"/>
      <c r="BJ107" s="66"/>
      <c r="BK107" s="66"/>
      <c r="BL107" s="66"/>
      <c r="BM107" s="66"/>
      <c r="BN107" s="66"/>
      <c r="BO107" s="66"/>
      <c r="BP107" s="66"/>
      <c r="BQ107" s="66"/>
      <c r="BR107" s="66"/>
      <c r="BS107" s="66"/>
      <c r="BT107" s="66"/>
      <c r="BU107" s="66"/>
      <c r="BV107" s="66"/>
      <c r="BW107" s="66"/>
      <c r="BX107" s="66"/>
      <c r="BY107" s="66"/>
      <c r="BZ107" s="66"/>
      <c r="CA107" s="66"/>
      <c r="CB107" s="66"/>
      <c r="CC107" s="66"/>
      <c r="CD107" s="66"/>
      <c r="CE107" s="66"/>
      <c r="CF107" s="68"/>
      <c r="CG107" s="68"/>
      <c r="CH107" s="66"/>
      <c r="CI107" s="66"/>
      <c r="CJ107" s="68"/>
      <c r="CK107" s="68"/>
      <c r="CL107" s="68"/>
      <c r="CM107" s="68"/>
      <c r="CN107" s="66"/>
      <c r="CO107" s="68"/>
      <c r="CP107" s="66"/>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99"/>
      <c r="DR107" s="99"/>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c r="EO107" s="68"/>
      <c r="EP107" s="68"/>
      <c r="EQ107" s="68"/>
      <c r="ER107" s="3"/>
      <c r="ES107" s="3"/>
      <c r="EW107"/>
      <c r="EX107"/>
      <c r="EY107"/>
      <c r="FB107" s="1"/>
    </row>
    <row r="108" spans="3:158" ht="20.25" customHeight="1" x14ac:dyDescent="0.25">
      <c r="C108" s="1"/>
      <c r="D108" s="97"/>
      <c r="E108" s="97"/>
      <c r="F108" s="9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O108" s="119"/>
      <c r="AP108" s="119"/>
      <c r="AQ108" s="120"/>
      <c r="AR108" s="119"/>
      <c r="AS108" s="120"/>
      <c r="AT108" s="121"/>
      <c r="AU108" s="120"/>
      <c r="AV108" s="119"/>
      <c r="AW108" s="120"/>
      <c r="AX108" s="66"/>
      <c r="AY108" s="68"/>
      <c r="AZ108" s="66"/>
      <c r="BA108" s="68"/>
      <c r="BB108" s="68"/>
      <c r="BC108" s="68"/>
      <c r="BD108" s="68"/>
      <c r="BE108" s="68"/>
      <c r="BF108" s="66"/>
      <c r="BG108" s="66"/>
      <c r="BH108" s="66"/>
      <c r="BI108" s="66"/>
      <c r="BJ108" s="66"/>
      <c r="BK108" s="66"/>
      <c r="BL108" s="66"/>
      <c r="BM108" s="66"/>
      <c r="BN108" s="66"/>
      <c r="BO108" s="66"/>
      <c r="BP108" s="66"/>
      <c r="BQ108" s="66"/>
      <c r="BR108" s="66"/>
      <c r="BS108" s="66"/>
      <c r="BT108" s="66"/>
      <c r="BU108" s="66"/>
      <c r="BV108" s="66"/>
      <c r="BW108" s="66"/>
      <c r="BX108" s="66"/>
      <c r="BY108" s="66"/>
      <c r="BZ108" s="66"/>
      <c r="CA108" s="66"/>
      <c r="CB108" s="66"/>
      <c r="CC108" s="66"/>
      <c r="CD108" s="66"/>
      <c r="CE108" s="66"/>
      <c r="CF108" s="68"/>
      <c r="CG108" s="68"/>
      <c r="CH108" s="66"/>
      <c r="CI108" s="66"/>
      <c r="CJ108" s="68"/>
      <c r="CK108" s="68"/>
      <c r="CL108" s="68"/>
      <c r="CM108" s="68"/>
      <c r="CN108" s="66"/>
      <c r="CO108" s="68"/>
      <c r="CP108" s="66"/>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99"/>
      <c r="DR108" s="99"/>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c r="EO108" s="68"/>
      <c r="EP108" s="68"/>
      <c r="EQ108" s="68"/>
      <c r="ER108" s="3"/>
      <c r="ES108" s="3"/>
      <c r="EW108"/>
      <c r="EX108"/>
      <c r="EY108"/>
      <c r="FB108" s="1"/>
    </row>
    <row r="109" spans="3:158" ht="20.25" customHeight="1" x14ac:dyDescent="0.25">
      <c r="C109" s="1"/>
      <c r="D109" s="97"/>
      <c r="E109" s="97"/>
      <c r="F109" s="9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O109" s="119"/>
      <c r="AP109" s="119"/>
      <c r="AQ109" s="120"/>
      <c r="AR109" s="119"/>
      <c r="AS109" s="120"/>
      <c r="AT109" s="121"/>
      <c r="AU109" s="120"/>
      <c r="AV109" s="119"/>
      <c r="AW109" s="120"/>
      <c r="AX109" s="66"/>
      <c r="AY109" s="68"/>
      <c r="AZ109" s="66"/>
      <c r="BA109" s="68"/>
      <c r="BB109" s="68"/>
      <c r="BC109" s="68"/>
      <c r="BD109" s="68"/>
      <c r="BE109" s="68"/>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8"/>
      <c r="CG109" s="68"/>
      <c r="CH109" s="66"/>
      <c r="CI109" s="66"/>
      <c r="CJ109" s="68"/>
      <c r="CK109" s="68"/>
      <c r="CL109" s="68"/>
      <c r="CM109" s="68"/>
      <c r="CN109" s="66"/>
      <c r="CO109" s="68"/>
      <c r="CP109" s="66"/>
      <c r="CQ109" s="68"/>
      <c r="CR109" s="68"/>
      <c r="CS109" s="68"/>
      <c r="CT109" s="68"/>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99"/>
      <c r="DR109" s="99"/>
      <c r="DS109" s="68"/>
      <c r="DT109" s="68"/>
      <c r="DU109" s="68"/>
      <c r="DV109" s="68"/>
      <c r="DW109" s="68"/>
      <c r="DX109" s="68"/>
      <c r="DY109" s="68"/>
      <c r="DZ109" s="68"/>
      <c r="EA109" s="68"/>
      <c r="EB109" s="68"/>
      <c r="EC109" s="68"/>
      <c r="ED109" s="68"/>
      <c r="EE109" s="68"/>
      <c r="EF109" s="68"/>
      <c r="EG109" s="68"/>
      <c r="EH109" s="68"/>
      <c r="EI109" s="68"/>
      <c r="EJ109" s="68"/>
      <c r="EK109" s="68"/>
      <c r="EL109" s="68"/>
      <c r="EM109" s="68"/>
      <c r="EN109" s="68"/>
      <c r="EO109" s="68"/>
      <c r="EP109" s="68"/>
      <c r="EQ109" s="68"/>
      <c r="ER109" s="3"/>
      <c r="ES109" s="3"/>
      <c r="EW109"/>
      <c r="EX109"/>
      <c r="EY109"/>
      <c r="FB109" s="1"/>
    </row>
    <row r="110" spans="3:158" ht="20.25" customHeight="1" x14ac:dyDescent="0.25">
      <c r="C110" s="1"/>
      <c r="D110" s="97"/>
      <c r="E110" s="97"/>
      <c r="F110" s="9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122"/>
      <c r="AO110" s="123"/>
      <c r="AP110" s="123"/>
      <c r="AQ110" s="124"/>
      <c r="AR110" s="123"/>
      <c r="AS110" s="124"/>
      <c r="AT110" s="125"/>
      <c r="AU110" s="124"/>
      <c r="AV110" s="123"/>
      <c r="AW110" s="124"/>
      <c r="AX110" s="66"/>
      <c r="AY110" s="68"/>
      <c r="AZ110" s="66"/>
      <c r="BA110" s="68"/>
      <c r="BB110" s="68"/>
      <c r="BC110" s="68"/>
      <c r="BD110" s="68"/>
      <c r="BE110" s="68"/>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8"/>
      <c r="CG110" s="68"/>
      <c r="CH110" s="66"/>
      <c r="CI110" s="66"/>
      <c r="CJ110" s="68"/>
      <c r="CK110" s="68"/>
      <c r="CL110" s="68"/>
      <c r="CM110" s="68"/>
      <c r="CN110" s="66"/>
      <c r="CO110" s="68"/>
      <c r="CP110" s="66"/>
      <c r="CQ110" s="68"/>
      <c r="CR110" s="68"/>
      <c r="CS110" s="68"/>
      <c r="CT110" s="68"/>
      <c r="CU110" s="68"/>
      <c r="CV110" s="68"/>
      <c r="CW110" s="68"/>
      <c r="CX110" s="68"/>
      <c r="CY110" s="68"/>
      <c r="CZ110" s="68"/>
      <c r="DA110" s="68"/>
      <c r="DB110" s="68"/>
      <c r="DC110" s="68"/>
      <c r="DD110" s="68"/>
      <c r="DE110" s="68"/>
      <c r="DF110" s="68"/>
      <c r="DG110" s="68"/>
      <c r="DH110" s="68"/>
      <c r="DI110" s="68"/>
      <c r="DJ110" s="68"/>
      <c r="DK110" s="68"/>
      <c r="DL110" s="68"/>
      <c r="DM110" s="68"/>
      <c r="DN110" s="68"/>
      <c r="DO110" s="68"/>
      <c r="DP110" s="68"/>
      <c r="DQ110" s="99"/>
      <c r="DR110" s="99"/>
      <c r="DS110" s="68"/>
      <c r="DT110" s="68"/>
      <c r="DU110" s="68"/>
      <c r="DV110" s="68"/>
      <c r="DW110" s="68"/>
      <c r="DX110" s="68"/>
      <c r="DY110" s="68"/>
      <c r="DZ110" s="68"/>
      <c r="EA110" s="68"/>
      <c r="EB110" s="68"/>
      <c r="EC110" s="68"/>
      <c r="ED110" s="68"/>
      <c r="EE110" s="68"/>
      <c r="EF110" s="68"/>
      <c r="EG110" s="68"/>
      <c r="EH110" s="68"/>
      <c r="EI110" s="68"/>
      <c r="EJ110" s="68"/>
      <c r="EK110" s="68"/>
      <c r="EL110" s="68"/>
      <c r="EM110" s="68"/>
      <c r="EN110" s="68"/>
      <c r="EO110" s="68"/>
      <c r="EP110" s="68"/>
      <c r="EQ110" s="68"/>
      <c r="ER110" s="3"/>
      <c r="ES110" s="3"/>
      <c r="EW110"/>
      <c r="EX110"/>
      <c r="EY110"/>
      <c r="FB110" s="1"/>
    </row>
    <row r="111" spans="3:158" ht="20.25" customHeight="1" x14ac:dyDescent="0.25">
      <c r="C111" s="1"/>
      <c r="D111" s="97"/>
      <c r="E111" s="97"/>
      <c r="F111" s="9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108"/>
      <c r="AO111" s="68"/>
      <c r="AP111" s="68"/>
      <c r="AQ111" s="68"/>
      <c r="AR111" s="68"/>
      <c r="AS111" s="68"/>
      <c r="AT111" s="66"/>
      <c r="AU111" s="68"/>
      <c r="AV111" s="68"/>
      <c r="AW111" s="68"/>
      <c r="AX111" s="66"/>
      <c r="AY111" s="68"/>
      <c r="AZ111" s="66"/>
      <c r="BA111" s="68"/>
      <c r="BB111" s="68"/>
      <c r="BC111" s="68"/>
      <c r="BD111" s="68"/>
      <c r="BE111" s="68"/>
      <c r="BF111" s="66"/>
      <c r="BG111" s="66"/>
      <c r="BH111" s="66"/>
      <c r="BI111" s="66"/>
      <c r="BJ111" s="66"/>
      <c r="BK111" s="66"/>
      <c r="BL111" s="66"/>
      <c r="BM111" s="66"/>
      <c r="BN111" s="66"/>
      <c r="BO111" s="66"/>
      <c r="BP111" s="66"/>
      <c r="BQ111" s="66"/>
      <c r="BR111" s="66"/>
      <c r="BS111" s="66"/>
      <c r="BT111" s="66"/>
      <c r="BU111" s="66"/>
      <c r="BV111" s="66"/>
      <c r="BW111" s="66"/>
      <c r="BX111" s="66"/>
      <c r="BY111" s="66"/>
      <c r="BZ111" s="66"/>
      <c r="CA111" s="66"/>
      <c r="CB111" s="66"/>
      <c r="CC111" s="66"/>
      <c r="CD111" s="66"/>
      <c r="CE111" s="66"/>
      <c r="CF111" s="68"/>
      <c r="CG111" s="68"/>
      <c r="CH111" s="66"/>
      <c r="CI111" s="66"/>
      <c r="CJ111" s="68"/>
      <c r="CK111" s="68"/>
      <c r="CL111" s="68"/>
      <c r="CM111" s="68"/>
      <c r="CN111" s="66"/>
      <c r="CO111" s="68"/>
      <c r="CP111" s="66"/>
      <c r="CQ111" s="68"/>
      <c r="CR111" s="68"/>
      <c r="CS111" s="68"/>
      <c r="CT111" s="68"/>
      <c r="CU111" s="68"/>
      <c r="CV111" s="68"/>
      <c r="CW111" s="68"/>
      <c r="CX111" s="68"/>
      <c r="CY111" s="68"/>
      <c r="CZ111" s="68"/>
      <c r="DA111" s="68"/>
      <c r="DB111" s="68"/>
      <c r="DC111" s="68"/>
      <c r="DD111" s="68"/>
      <c r="DE111" s="68"/>
      <c r="DF111" s="68"/>
      <c r="DG111" s="68"/>
      <c r="DH111" s="68"/>
      <c r="DI111" s="68"/>
      <c r="DJ111" s="68"/>
      <c r="DK111" s="68"/>
      <c r="DL111" s="68"/>
      <c r="DM111" s="68"/>
      <c r="DN111" s="68"/>
      <c r="DO111" s="68"/>
      <c r="DP111" s="68"/>
      <c r="DQ111" s="99"/>
      <c r="DR111" s="99"/>
      <c r="DS111" s="68"/>
      <c r="DT111" s="68"/>
      <c r="DU111" s="68"/>
      <c r="DV111" s="68"/>
      <c r="DW111" s="68"/>
      <c r="DX111" s="68"/>
      <c r="DY111" s="68"/>
      <c r="DZ111" s="68"/>
      <c r="EA111" s="68"/>
      <c r="EB111" s="68"/>
      <c r="EC111" s="68"/>
      <c r="ED111" s="68"/>
      <c r="EE111" s="68"/>
      <c r="EF111" s="68"/>
      <c r="EG111" s="68"/>
      <c r="EH111" s="68"/>
      <c r="EI111" s="68"/>
      <c r="EJ111" s="68"/>
      <c r="EK111" s="68"/>
      <c r="EL111" s="68"/>
      <c r="EM111" s="68"/>
      <c r="EN111" s="68"/>
      <c r="EO111" s="68"/>
      <c r="EP111" s="68"/>
      <c r="EQ111" s="68"/>
      <c r="ER111" s="3"/>
      <c r="ES111" s="3"/>
      <c r="EW111"/>
      <c r="EX111"/>
      <c r="EY111"/>
      <c r="FB111" s="1"/>
    </row>
    <row r="112" spans="3:158" ht="20.25" customHeight="1" x14ac:dyDescent="0.25">
      <c r="C112" s="1"/>
      <c r="D112" s="97"/>
      <c r="E112" s="97"/>
      <c r="F112" s="9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108"/>
      <c r="AO112" s="68"/>
      <c r="AP112" s="68"/>
      <c r="AQ112" s="68"/>
      <c r="AR112" s="68"/>
      <c r="AS112" s="68"/>
      <c r="AT112" s="66"/>
      <c r="AU112" s="68"/>
      <c r="AV112" s="68"/>
      <c r="AW112" s="68"/>
      <c r="AX112" s="66"/>
      <c r="AY112" s="68"/>
      <c r="AZ112" s="66"/>
      <c r="BA112" s="68"/>
      <c r="BB112" s="68"/>
      <c r="BC112" s="68"/>
      <c r="BD112" s="68"/>
      <c r="BE112" s="68"/>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66"/>
      <c r="CB112" s="66"/>
      <c r="CC112" s="66"/>
      <c r="CD112" s="66"/>
      <c r="CE112" s="66"/>
      <c r="CF112" s="68"/>
      <c r="CG112" s="68"/>
      <c r="CH112" s="66"/>
      <c r="CI112" s="66"/>
      <c r="CJ112" s="68"/>
      <c r="CK112" s="68"/>
      <c r="CL112" s="68"/>
      <c r="CM112" s="68"/>
      <c r="CN112" s="66"/>
      <c r="CO112" s="68"/>
      <c r="CP112" s="66"/>
      <c r="CQ112" s="68"/>
      <c r="CR112" s="68"/>
      <c r="CS112" s="68"/>
      <c r="CT112" s="68"/>
      <c r="CU112" s="68"/>
      <c r="CV112" s="68"/>
      <c r="CW112" s="68"/>
      <c r="CX112" s="68"/>
      <c r="CY112" s="68"/>
      <c r="CZ112" s="68"/>
      <c r="DA112" s="68"/>
      <c r="DB112" s="68"/>
      <c r="DC112" s="68"/>
      <c r="DD112" s="68"/>
      <c r="DE112" s="68"/>
      <c r="DF112" s="68"/>
      <c r="DG112" s="68"/>
      <c r="DH112" s="68"/>
      <c r="DI112" s="68"/>
      <c r="DJ112" s="68"/>
      <c r="DK112" s="68"/>
      <c r="DL112" s="68"/>
      <c r="DM112" s="68"/>
      <c r="DN112" s="68"/>
      <c r="DO112" s="68"/>
      <c r="DP112" s="68"/>
      <c r="DQ112" s="99"/>
      <c r="DR112" s="99"/>
      <c r="DS112" s="68"/>
      <c r="DT112" s="68"/>
      <c r="DU112" s="68"/>
      <c r="DV112" s="68"/>
      <c r="DW112" s="68"/>
      <c r="DX112" s="68"/>
      <c r="DY112" s="68"/>
      <c r="DZ112" s="68"/>
      <c r="EA112" s="68"/>
      <c r="EB112" s="68"/>
      <c r="EC112" s="68"/>
      <c r="ED112" s="68"/>
      <c r="EE112" s="68"/>
      <c r="EF112" s="68"/>
      <c r="EG112" s="68"/>
      <c r="EH112" s="68"/>
      <c r="EI112" s="68"/>
      <c r="EJ112" s="68"/>
      <c r="EK112" s="68"/>
      <c r="EL112" s="68"/>
      <c r="EM112" s="68"/>
      <c r="EN112" s="68"/>
      <c r="EO112" s="68"/>
      <c r="EP112" s="68"/>
      <c r="EQ112" s="68"/>
      <c r="ER112" s="3"/>
      <c r="ES112" s="3"/>
      <c r="EW112"/>
      <c r="EX112"/>
      <c r="EY112"/>
      <c r="FB112" s="1"/>
    </row>
    <row r="113" spans="3:158" ht="20.25" customHeight="1" x14ac:dyDescent="0.25">
      <c r="C113" s="1"/>
      <c r="D113" s="97"/>
      <c r="E113" s="97"/>
      <c r="F113" s="9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108"/>
      <c r="AO113" s="68"/>
      <c r="AP113" s="68"/>
      <c r="AQ113" s="68"/>
      <c r="AR113" s="68"/>
      <c r="AS113" s="68"/>
      <c r="AT113" s="66"/>
      <c r="AU113" s="68"/>
      <c r="AV113" s="68"/>
      <c r="AW113" s="68"/>
      <c r="AX113" s="66"/>
      <c r="AY113" s="68"/>
      <c r="AZ113" s="66"/>
      <c r="BA113" s="68"/>
      <c r="BB113" s="68"/>
      <c r="BC113" s="68"/>
      <c r="BD113" s="68"/>
      <c r="BE113" s="68"/>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8"/>
      <c r="CG113" s="68"/>
      <c r="CH113" s="66"/>
      <c r="CI113" s="66"/>
      <c r="CJ113" s="68"/>
      <c r="CK113" s="68"/>
      <c r="CL113" s="68"/>
      <c r="CM113" s="68"/>
      <c r="CN113" s="66"/>
      <c r="CO113" s="68"/>
      <c r="CP113" s="66"/>
      <c r="CQ113" s="68"/>
      <c r="CR113" s="68"/>
      <c r="CS113" s="68"/>
      <c r="CT113" s="68"/>
      <c r="CU113" s="68"/>
      <c r="CV113" s="68"/>
      <c r="CW113" s="68"/>
      <c r="CX113" s="68"/>
      <c r="CY113" s="68"/>
      <c r="CZ113" s="68"/>
      <c r="DA113" s="68"/>
      <c r="DB113" s="68"/>
      <c r="DC113" s="68"/>
      <c r="DD113" s="68"/>
      <c r="DE113" s="68"/>
      <c r="DF113" s="68"/>
      <c r="DG113" s="68"/>
      <c r="DH113" s="68"/>
      <c r="DI113" s="68"/>
      <c r="DJ113" s="68"/>
      <c r="DK113" s="68"/>
      <c r="DL113" s="68"/>
      <c r="DM113" s="68"/>
      <c r="DN113" s="68"/>
      <c r="DO113" s="68"/>
      <c r="DP113" s="68"/>
      <c r="DQ113" s="99"/>
      <c r="DR113" s="99"/>
      <c r="DS113" s="68"/>
      <c r="DT113" s="68"/>
      <c r="DU113" s="68"/>
      <c r="DV113" s="68"/>
      <c r="DW113" s="68"/>
      <c r="DX113" s="68"/>
      <c r="DY113" s="68"/>
      <c r="DZ113" s="68"/>
      <c r="EA113" s="68"/>
      <c r="EB113" s="68"/>
      <c r="EC113" s="68"/>
      <c r="ED113" s="68"/>
      <c r="EE113" s="68"/>
      <c r="EF113" s="68"/>
      <c r="EG113" s="68"/>
      <c r="EH113" s="68"/>
      <c r="EI113" s="68"/>
      <c r="EJ113" s="68"/>
      <c r="EK113" s="68"/>
      <c r="EL113" s="68"/>
      <c r="EM113" s="68"/>
      <c r="EN113" s="68"/>
      <c r="EO113" s="68"/>
      <c r="EP113" s="68"/>
      <c r="EQ113" s="68"/>
      <c r="ER113" s="3"/>
      <c r="ES113" s="3"/>
      <c r="EW113"/>
      <c r="EX113"/>
      <c r="EY113"/>
      <c r="FB113" s="1"/>
    </row>
    <row r="114" spans="3:158" ht="20.25" customHeight="1" x14ac:dyDescent="0.25">
      <c r="C114" s="1"/>
      <c r="D114" s="97"/>
      <c r="E114" s="97"/>
      <c r="F114" s="9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108"/>
      <c r="AO114" s="68"/>
      <c r="AP114" s="68"/>
      <c r="AQ114" s="68"/>
      <c r="AR114" s="68"/>
      <c r="AS114" s="68"/>
      <c r="AT114" s="66"/>
      <c r="AU114" s="68"/>
      <c r="AV114" s="68"/>
      <c r="AW114" s="68"/>
      <c r="AX114" s="66"/>
      <c r="AY114" s="68"/>
      <c r="AZ114" s="66"/>
      <c r="BA114" s="68"/>
      <c r="BB114" s="68"/>
      <c r="BC114" s="68"/>
      <c r="BD114" s="68"/>
      <c r="BE114" s="68"/>
      <c r="BF114" s="66"/>
      <c r="BG114" s="66"/>
      <c r="BH114" s="66"/>
      <c r="BI114" s="66"/>
      <c r="BJ114" s="66"/>
      <c r="BK114" s="66"/>
      <c r="BL114" s="66"/>
      <c r="BM114" s="66"/>
      <c r="BN114" s="66"/>
      <c r="BO114" s="66"/>
      <c r="BP114" s="66"/>
      <c r="BQ114" s="66"/>
      <c r="BR114" s="66"/>
      <c r="BS114" s="66"/>
      <c r="BT114" s="66"/>
      <c r="BU114" s="66"/>
      <c r="BV114" s="66"/>
      <c r="BW114" s="66"/>
      <c r="BX114" s="66"/>
      <c r="BY114" s="66"/>
      <c r="BZ114" s="66"/>
      <c r="CA114" s="66"/>
      <c r="CB114" s="66"/>
      <c r="CC114" s="66"/>
      <c r="CD114" s="66"/>
      <c r="CE114" s="66"/>
      <c r="CF114" s="68"/>
      <c r="CG114" s="68"/>
      <c r="CH114" s="66"/>
      <c r="CI114" s="66"/>
      <c r="CJ114" s="68"/>
      <c r="CK114" s="68"/>
      <c r="CL114" s="68"/>
      <c r="CM114" s="68"/>
      <c r="CN114" s="66"/>
      <c r="CO114" s="68"/>
      <c r="CP114" s="66"/>
      <c r="CQ114" s="68"/>
      <c r="CR114" s="68"/>
      <c r="CS114" s="68"/>
      <c r="CT114" s="68"/>
      <c r="CU114" s="68"/>
      <c r="CV114" s="68"/>
      <c r="CW114" s="68"/>
      <c r="CX114" s="68"/>
      <c r="CY114" s="68"/>
      <c r="CZ114" s="68"/>
      <c r="DA114" s="68"/>
      <c r="DB114" s="68"/>
      <c r="DC114" s="68"/>
      <c r="DD114" s="68"/>
      <c r="DE114" s="68"/>
      <c r="DF114" s="68"/>
      <c r="DG114" s="68"/>
      <c r="DH114" s="68"/>
      <c r="DI114" s="68"/>
      <c r="DJ114" s="68"/>
      <c r="DK114" s="68"/>
      <c r="DL114" s="68"/>
      <c r="DM114" s="68"/>
      <c r="DN114" s="68"/>
      <c r="DO114" s="68"/>
      <c r="DP114" s="68"/>
      <c r="DQ114" s="99"/>
      <c r="DR114" s="99"/>
      <c r="DS114" s="68"/>
      <c r="DT114" s="68"/>
      <c r="DU114" s="68"/>
      <c r="DV114" s="68"/>
      <c r="DW114" s="68"/>
      <c r="DX114" s="68"/>
      <c r="DY114" s="68"/>
      <c r="DZ114" s="68"/>
      <c r="EA114" s="68"/>
      <c r="EB114" s="68"/>
      <c r="EC114" s="68"/>
      <c r="ED114" s="68"/>
      <c r="EE114" s="68"/>
      <c r="EF114" s="68"/>
      <c r="EG114" s="68"/>
      <c r="EH114" s="68"/>
      <c r="EI114" s="68"/>
      <c r="EJ114" s="68"/>
      <c r="EK114" s="68"/>
      <c r="EL114" s="68"/>
      <c r="EM114" s="68"/>
      <c r="EN114" s="68"/>
      <c r="EO114" s="68"/>
      <c r="EP114" s="68"/>
      <c r="EQ114" s="68"/>
      <c r="ER114" s="3"/>
      <c r="ES114" s="3"/>
      <c r="EW114"/>
      <c r="EX114"/>
      <c r="EY114"/>
      <c r="FB114" s="1"/>
    </row>
    <row r="115" spans="3:158" ht="20.25" customHeight="1" x14ac:dyDescent="0.25">
      <c r="C115" s="1"/>
      <c r="D115" s="97"/>
      <c r="E115" s="97"/>
      <c r="F115" s="9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108"/>
      <c r="AO115" s="68"/>
      <c r="AP115" s="68"/>
      <c r="AQ115" s="68"/>
      <c r="AR115" s="68"/>
      <c r="AS115" s="68"/>
      <c r="AT115" s="66"/>
      <c r="AU115" s="68"/>
      <c r="AV115" s="68"/>
      <c r="AW115" s="68"/>
      <c r="AX115" s="66"/>
      <c r="AY115" s="68"/>
      <c r="AZ115" s="66"/>
      <c r="BA115" s="68"/>
      <c r="BB115" s="68"/>
      <c r="BC115" s="68"/>
      <c r="BD115" s="68"/>
      <c r="BE115" s="68"/>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66"/>
      <c r="CB115" s="66"/>
      <c r="CC115" s="66"/>
      <c r="CD115" s="66"/>
      <c r="CE115" s="66"/>
      <c r="CF115" s="68"/>
      <c r="CG115" s="68"/>
      <c r="CH115" s="66"/>
      <c r="CI115" s="66"/>
      <c r="CJ115" s="68"/>
      <c r="CK115" s="68"/>
      <c r="CL115" s="68"/>
      <c r="CM115" s="68"/>
      <c r="CN115" s="66"/>
      <c r="CO115" s="68"/>
      <c r="CP115" s="66"/>
      <c r="CQ115" s="68"/>
      <c r="CR115" s="68"/>
      <c r="CS115" s="68"/>
      <c r="CT115" s="68"/>
      <c r="CU115" s="68"/>
      <c r="CV115" s="68"/>
      <c r="CW115" s="68"/>
      <c r="CX115" s="68"/>
      <c r="CY115" s="68"/>
      <c r="CZ115" s="68"/>
      <c r="DA115" s="68"/>
      <c r="DB115" s="68"/>
      <c r="DC115" s="68"/>
      <c r="DD115" s="68"/>
      <c r="DE115" s="68"/>
      <c r="DF115" s="68"/>
      <c r="DG115" s="68"/>
      <c r="DH115" s="68"/>
      <c r="DI115" s="68"/>
      <c r="DJ115" s="68"/>
      <c r="DK115" s="68"/>
      <c r="DL115" s="68"/>
      <c r="DM115" s="68"/>
      <c r="DN115" s="68"/>
      <c r="DO115" s="68"/>
      <c r="DP115" s="68"/>
      <c r="DQ115" s="99"/>
      <c r="DR115" s="99"/>
      <c r="DS115" s="68"/>
      <c r="DT115" s="68"/>
      <c r="DU115" s="68"/>
      <c r="DV115" s="68"/>
      <c r="DW115" s="68"/>
      <c r="DX115" s="68"/>
      <c r="DY115" s="68"/>
      <c r="DZ115" s="68"/>
      <c r="EA115" s="68"/>
      <c r="EB115" s="68"/>
      <c r="EC115" s="68"/>
      <c r="ED115" s="68"/>
      <c r="EE115" s="68"/>
      <c r="EF115" s="68"/>
      <c r="EG115" s="68"/>
      <c r="EH115" s="68"/>
      <c r="EI115" s="68"/>
      <c r="EJ115" s="68"/>
      <c r="EK115" s="68"/>
      <c r="EL115" s="68"/>
      <c r="EM115" s="68"/>
      <c r="EN115" s="68"/>
      <c r="EO115" s="68"/>
      <c r="EP115" s="68"/>
      <c r="EQ115" s="68"/>
      <c r="ER115" s="3"/>
      <c r="ES115" s="3"/>
      <c r="EW115"/>
      <c r="EX115"/>
      <c r="EY115"/>
      <c r="FB115" s="1"/>
    </row>
    <row r="116" spans="3:158" ht="20.25" customHeight="1" x14ac:dyDescent="0.25">
      <c r="C116" s="1"/>
      <c r="D116" s="97"/>
      <c r="E116" s="97"/>
      <c r="F116" s="9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108"/>
      <c r="AO116" s="68"/>
      <c r="AP116" s="68"/>
      <c r="AQ116" s="68"/>
      <c r="AR116" s="68"/>
      <c r="AS116" s="68"/>
      <c r="AT116" s="66"/>
      <c r="AU116" s="68"/>
      <c r="AV116" s="68"/>
      <c r="AW116" s="68"/>
      <c r="AX116" s="66"/>
      <c r="AY116" s="68"/>
      <c r="AZ116" s="66"/>
      <c r="BA116" s="68"/>
      <c r="BB116" s="68"/>
      <c r="BC116" s="68"/>
      <c r="BD116" s="68"/>
      <c r="BE116" s="68"/>
      <c r="BF116" s="66"/>
      <c r="BG116" s="66"/>
      <c r="BH116" s="66"/>
      <c r="BI116" s="66"/>
      <c r="BJ116" s="66"/>
      <c r="BK116" s="66"/>
      <c r="BL116" s="66"/>
      <c r="BM116" s="66"/>
      <c r="BN116" s="66"/>
      <c r="BO116" s="66"/>
      <c r="BP116" s="66"/>
      <c r="BQ116" s="66"/>
      <c r="BR116" s="66"/>
      <c r="BS116" s="66"/>
      <c r="BT116" s="66"/>
      <c r="BU116" s="66"/>
      <c r="BV116" s="66"/>
      <c r="BW116" s="66"/>
      <c r="BX116" s="66"/>
      <c r="BY116" s="66"/>
      <c r="BZ116" s="66"/>
      <c r="CA116" s="66"/>
      <c r="CB116" s="66"/>
      <c r="CC116" s="66"/>
      <c r="CD116" s="66"/>
      <c r="CE116" s="66"/>
      <c r="CF116" s="68"/>
      <c r="CG116" s="68"/>
      <c r="CH116" s="66"/>
      <c r="CI116" s="66"/>
      <c r="CJ116" s="68"/>
      <c r="CK116" s="68"/>
      <c r="CL116" s="68"/>
      <c r="CM116" s="68"/>
      <c r="CN116" s="66"/>
      <c r="CO116" s="68"/>
      <c r="CP116" s="66"/>
      <c r="CQ116" s="68"/>
      <c r="CR116" s="68"/>
      <c r="CS116" s="68"/>
      <c r="CT116" s="68"/>
      <c r="CU116" s="68"/>
      <c r="CV116" s="68"/>
      <c r="CW116" s="68"/>
      <c r="CX116" s="68"/>
      <c r="CY116" s="68"/>
      <c r="CZ116" s="68"/>
      <c r="DA116" s="68"/>
      <c r="DB116" s="68"/>
      <c r="DC116" s="68"/>
      <c r="DD116" s="68"/>
      <c r="DE116" s="68"/>
      <c r="DF116" s="68"/>
      <c r="DG116" s="68"/>
      <c r="DH116" s="68"/>
      <c r="DI116" s="68"/>
      <c r="DJ116" s="68"/>
      <c r="DK116" s="68"/>
      <c r="DL116" s="68"/>
      <c r="DM116" s="68"/>
      <c r="DN116" s="68"/>
      <c r="DO116" s="68"/>
      <c r="DP116" s="68"/>
      <c r="DQ116" s="99"/>
      <c r="DR116" s="99"/>
      <c r="DS116" s="68"/>
      <c r="DT116" s="68"/>
      <c r="DU116" s="68"/>
      <c r="DV116" s="68"/>
      <c r="DW116" s="68"/>
      <c r="DX116" s="68"/>
      <c r="DY116" s="68"/>
      <c r="DZ116" s="68"/>
      <c r="EA116" s="68"/>
      <c r="EB116" s="68"/>
      <c r="EC116" s="68"/>
      <c r="ED116" s="68"/>
      <c r="EE116" s="68"/>
      <c r="EF116" s="68"/>
      <c r="EG116" s="68"/>
      <c r="EH116" s="68"/>
      <c r="EI116" s="68"/>
      <c r="EJ116" s="68"/>
      <c r="EK116" s="68"/>
      <c r="EL116" s="68"/>
      <c r="EM116" s="68"/>
      <c r="EN116" s="68"/>
      <c r="EO116" s="68"/>
      <c r="EP116" s="68"/>
      <c r="EQ116" s="68"/>
      <c r="ER116" s="3"/>
      <c r="ES116" s="3"/>
      <c r="EW116"/>
      <c r="EX116"/>
      <c r="EY116"/>
      <c r="FB116" s="1"/>
    </row>
    <row r="117" spans="3:158" ht="20.25" customHeight="1" x14ac:dyDescent="0.25">
      <c r="C117" s="1"/>
      <c r="D117" s="97"/>
      <c r="E117" s="97"/>
      <c r="F117" s="9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108"/>
      <c r="AO117" s="68"/>
      <c r="AP117" s="68"/>
      <c r="AQ117" s="68"/>
      <c r="AR117" s="68"/>
      <c r="AS117" s="68"/>
      <c r="AT117" s="66"/>
      <c r="AU117" s="68"/>
      <c r="AV117" s="68"/>
      <c r="AW117" s="68"/>
      <c r="AX117" s="66"/>
      <c r="AY117" s="68"/>
      <c r="AZ117" s="66"/>
      <c r="BA117" s="68"/>
      <c r="BB117" s="68"/>
      <c r="BC117" s="68"/>
      <c r="BD117" s="68"/>
      <c r="BE117" s="68"/>
      <c r="BF117" s="66"/>
      <c r="BG117" s="66"/>
      <c r="BH117" s="66"/>
      <c r="BI117" s="66"/>
      <c r="BJ117" s="66"/>
      <c r="BK117" s="66"/>
      <c r="BL117" s="66"/>
      <c r="BM117" s="66"/>
      <c r="BN117" s="66"/>
      <c r="BO117" s="66"/>
      <c r="BP117" s="66"/>
      <c r="BQ117" s="66"/>
      <c r="BR117" s="66"/>
      <c r="BS117" s="66"/>
      <c r="BT117" s="66"/>
      <c r="BU117" s="66"/>
      <c r="BV117" s="66"/>
      <c r="BW117" s="66"/>
      <c r="BX117" s="66"/>
      <c r="BY117" s="66"/>
      <c r="BZ117" s="66"/>
      <c r="CA117" s="66"/>
      <c r="CB117" s="66"/>
      <c r="CC117" s="66"/>
      <c r="CD117" s="66"/>
      <c r="CE117" s="66"/>
      <c r="CF117" s="68"/>
      <c r="CG117" s="68"/>
      <c r="CH117" s="66"/>
      <c r="CI117" s="66"/>
      <c r="CJ117" s="68"/>
      <c r="CK117" s="68"/>
      <c r="CL117" s="68"/>
      <c r="CM117" s="68"/>
      <c r="CN117" s="66"/>
      <c r="CO117" s="68"/>
      <c r="CP117" s="66"/>
      <c r="CQ117" s="68"/>
      <c r="CR117" s="68"/>
      <c r="CS117" s="68"/>
      <c r="CT117" s="68"/>
      <c r="CU117" s="68"/>
      <c r="CV117" s="68"/>
      <c r="CW117" s="68"/>
      <c r="CX117" s="68"/>
      <c r="CY117" s="68"/>
      <c r="CZ117" s="68"/>
      <c r="DA117" s="68"/>
      <c r="DB117" s="68"/>
      <c r="DC117" s="68"/>
      <c r="DD117" s="68"/>
      <c r="DE117" s="68"/>
      <c r="DF117" s="68"/>
      <c r="DG117" s="68"/>
      <c r="DH117" s="68"/>
      <c r="DI117" s="68"/>
      <c r="DJ117" s="68"/>
      <c r="DK117" s="68"/>
      <c r="DL117" s="68"/>
      <c r="DM117" s="68"/>
      <c r="DN117" s="68"/>
      <c r="DO117" s="68"/>
      <c r="DP117" s="68"/>
      <c r="DQ117" s="99"/>
      <c r="DR117" s="99"/>
      <c r="DS117" s="68"/>
      <c r="DT117" s="68"/>
      <c r="DU117" s="68"/>
      <c r="DV117" s="68"/>
      <c r="DW117" s="68"/>
      <c r="DX117" s="68"/>
      <c r="DY117" s="68"/>
      <c r="DZ117" s="68"/>
      <c r="EA117" s="68"/>
      <c r="EB117" s="68"/>
      <c r="EC117" s="68"/>
      <c r="ED117" s="68"/>
      <c r="EE117" s="68"/>
      <c r="EF117" s="68"/>
      <c r="EG117" s="68"/>
      <c r="EH117" s="68"/>
      <c r="EI117" s="68"/>
      <c r="EJ117" s="68"/>
      <c r="EK117" s="68"/>
      <c r="EL117" s="68"/>
      <c r="EM117" s="68"/>
      <c r="EN117" s="68"/>
      <c r="EO117" s="68"/>
      <c r="EP117" s="68"/>
      <c r="EQ117" s="68"/>
      <c r="ER117" s="3"/>
      <c r="ES117" s="3"/>
      <c r="EW117"/>
      <c r="EX117"/>
      <c r="EY117"/>
      <c r="FB117" s="1"/>
    </row>
    <row r="118" spans="3:158" ht="20.25" customHeight="1" x14ac:dyDescent="0.25">
      <c r="C118" s="1"/>
      <c r="D118" s="97"/>
      <c r="E118" s="97"/>
      <c r="F118" s="9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108"/>
      <c r="AO118" s="68"/>
      <c r="AP118" s="68"/>
      <c r="AQ118" s="68"/>
      <c r="AR118" s="68"/>
      <c r="AS118" s="68"/>
      <c r="AT118" s="66"/>
      <c r="AU118" s="68"/>
      <c r="AV118" s="68"/>
      <c r="AW118" s="68"/>
      <c r="AX118" s="66"/>
      <c r="AY118" s="68"/>
      <c r="AZ118" s="66"/>
      <c r="BA118" s="68"/>
      <c r="BB118" s="68"/>
      <c r="BC118" s="68"/>
      <c r="BD118" s="68"/>
      <c r="BE118" s="68"/>
      <c r="BF118" s="66"/>
      <c r="BG118" s="66"/>
      <c r="BH118" s="66"/>
      <c r="BI118" s="66"/>
      <c r="BJ118" s="66"/>
      <c r="BK118" s="66"/>
      <c r="BL118" s="66"/>
      <c r="BM118" s="66"/>
      <c r="BN118" s="66"/>
      <c r="BO118" s="66"/>
      <c r="BP118" s="66"/>
      <c r="BQ118" s="66"/>
      <c r="BR118" s="66"/>
      <c r="BS118" s="66"/>
      <c r="BT118" s="66"/>
      <c r="BU118" s="66"/>
      <c r="BV118" s="66"/>
      <c r="BW118" s="66"/>
      <c r="BX118" s="66"/>
      <c r="BY118" s="66"/>
      <c r="BZ118" s="66"/>
      <c r="CA118" s="66"/>
      <c r="CB118" s="66"/>
      <c r="CC118" s="66"/>
      <c r="CD118" s="66"/>
      <c r="CE118" s="66"/>
      <c r="CF118" s="68"/>
      <c r="CG118" s="68"/>
      <c r="CH118" s="66"/>
      <c r="CI118" s="66"/>
      <c r="CJ118" s="68"/>
      <c r="CK118" s="68"/>
      <c r="CL118" s="68"/>
      <c r="CM118" s="68"/>
      <c r="CN118" s="66"/>
      <c r="CO118" s="68"/>
      <c r="CP118" s="66"/>
      <c r="CQ118" s="68"/>
      <c r="CR118" s="68"/>
      <c r="CS118" s="68"/>
      <c r="CT118" s="68"/>
      <c r="CU118" s="68"/>
      <c r="CV118" s="68"/>
      <c r="CW118" s="68"/>
      <c r="CX118" s="68"/>
      <c r="CY118" s="68"/>
      <c r="CZ118" s="68"/>
      <c r="DA118" s="68"/>
      <c r="DB118" s="68"/>
      <c r="DC118" s="68"/>
      <c r="DD118" s="68"/>
      <c r="DE118" s="68"/>
      <c r="DF118" s="68"/>
      <c r="DG118" s="68"/>
      <c r="DH118" s="68"/>
      <c r="DI118" s="68"/>
      <c r="DJ118" s="68"/>
      <c r="DK118" s="68"/>
      <c r="DL118" s="68"/>
      <c r="DM118" s="68"/>
      <c r="DN118" s="68"/>
      <c r="DO118" s="68"/>
      <c r="DP118" s="68"/>
      <c r="DQ118" s="99"/>
      <c r="DR118" s="99"/>
      <c r="DS118" s="68"/>
      <c r="DT118" s="68"/>
      <c r="DU118" s="68"/>
      <c r="DV118" s="68"/>
      <c r="DW118" s="68"/>
      <c r="DX118" s="68"/>
      <c r="DY118" s="68"/>
      <c r="DZ118" s="68"/>
      <c r="EA118" s="68"/>
      <c r="EB118" s="68"/>
      <c r="EC118" s="68"/>
      <c r="ED118" s="68"/>
      <c r="EE118" s="68"/>
      <c r="EF118" s="68"/>
      <c r="EG118" s="68"/>
      <c r="EH118" s="68"/>
      <c r="EI118" s="68"/>
      <c r="EJ118" s="68"/>
      <c r="EK118" s="68"/>
      <c r="EL118" s="68"/>
      <c r="EM118" s="68"/>
      <c r="EN118" s="68"/>
      <c r="EO118" s="68"/>
      <c r="EP118" s="68"/>
      <c r="EQ118" s="68"/>
      <c r="ER118" s="3"/>
      <c r="ES118" s="3"/>
      <c r="EW118"/>
      <c r="EX118"/>
      <c r="EY118"/>
      <c r="FB118" s="1"/>
    </row>
    <row r="119" spans="3:158" ht="20.25" customHeight="1" x14ac:dyDescent="0.25">
      <c r="C119" s="1"/>
      <c r="D119" s="97"/>
      <c r="E119" s="97"/>
      <c r="F119" s="9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108"/>
      <c r="AO119" s="68"/>
      <c r="AP119" s="68"/>
      <c r="AQ119" s="68"/>
      <c r="AR119" s="68"/>
      <c r="AS119" s="68"/>
      <c r="AT119" s="66"/>
      <c r="AU119" s="68"/>
      <c r="AV119" s="68"/>
      <c r="AW119" s="68"/>
      <c r="AX119" s="66"/>
      <c r="AY119" s="68"/>
      <c r="AZ119" s="66"/>
      <c r="BA119" s="68"/>
      <c r="BB119" s="68"/>
      <c r="BC119" s="68"/>
      <c r="BD119" s="68"/>
      <c r="BE119" s="68"/>
      <c r="BF119" s="66"/>
      <c r="BG119" s="66"/>
      <c r="BH119" s="66"/>
      <c r="BI119" s="66"/>
      <c r="BJ119" s="66"/>
      <c r="BK119" s="66"/>
      <c r="BL119" s="66"/>
      <c r="BM119" s="66"/>
      <c r="BN119" s="66"/>
      <c r="BO119" s="66"/>
      <c r="BP119" s="66"/>
      <c r="BQ119" s="66"/>
      <c r="BR119" s="66"/>
      <c r="BS119" s="66"/>
      <c r="BT119" s="66"/>
      <c r="BU119" s="66"/>
      <c r="BV119" s="66"/>
      <c r="BW119" s="66"/>
      <c r="BX119" s="66"/>
      <c r="BY119" s="66"/>
      <c r="BZ119" s="66"/>
      <c r="CA119" s="66"/>
      <c r="CB119" s="66"/>
      <c r="CC119" s="66"/>
      <c r="CD119" s="66"/>
      <c r="CE119" s="66"/>
      <c r="CF119" s="68"/>
      <c r="CG119" s="68"/>
      <c r="CH119" s="66"/>
      <c r="CI119" s="66"/>
      <c r="CJ119" s="68"/>
      <c r="CK119" s="68"/>
      <c r="CL119" s="68"/>
      <c r="CM119" s="68"/>
      <c r="CN119" s="66"/>
      <c r="CO119" s="68"/>
      <c r="CP119" s="66"/>
      <c r="CQ119" s="68"/>
      <c r="CR119" s="68"/>
      <c r="CS119" s="68"/>
      <c r="CT119" s="68"/>
      <c r="CU119" s="68"/>
      <c r="CV119" s="68"/>
      <c r="CW119" s="68"/>
      <c r="CX119" s="68"/>
      <c r="CY119" s="68"/>
      <c r="CZ119" s="68"/>
      <c r="DA119" s="68"/>
      <c r="DB119" s="68"/>
      <c r="DC119" s="68"/>
      <c r="DD119" s="68"/>
      <c r="DE119" s="68"/>
      <c r="DF119" s="68"/>
      <c r="DG119" s="68"/>
      <c r="DH119" s="68"/>
      <c r="DI119" s="68"/>
      <c r="DJ119" s="68"/>
      <c r="DK119" s="68"/>
      <c r="DL119" s="68"/>
      <c r="DM119" s="68"/>
      <c r="DN119" s="68"/>
      <c r="DO119" s="68"/>
      <c r="DP119" s="68"/>
      <c r="DQ119" s="99"/>
      <c r="DR119" s="99"/>
      <c r="DS119" s="68"/>
      <c r="DT119" s="68"/>
      <c r="DU119" s="68"/>
      <c r="DV119" s="68"/>
      <c r="DW119" s="68"/>
      <c r="DX119" s="68"/>
      <c r="DY119" s="68"/>
      <c r="DZ119" s="68"/>
      <c r="EA119" s="68"/>
      <c r="EB119" s="68"/>
      <c r="EC119" s="68"/>
      <c r="ED119" s="68"/>
      <c r="EE119" s="68"/>
      <c r="EF119" s="68"/>
      <c r="EG119" s="68"/>
      <c r="EH119" s="68"/>
      <c r="EI119" s="68"/>
      <c r="EJ119" s="68"/>
      <c r="EK119" s="68"/>
      <c r="EL119" s="68"/>
      <c r="EM119" s="68"/>
      <c r="EN119" s="68"/>
      <c r="EO119" s="68"/>
      <c r="EP119" s="68"/>
      <c r="EQ119" s="68"/>
      <c r="ER119" s="3"/>
      <c r="ES119" s="3"/>
      <c r="EW119"/>
      <c r="EX119"/>
      <c r="EY119"/>
      <c r="FB119" s="1"/>
    </row>
    <row r="120" spans="3:158" ht="20.25" customHeight="1" x14ac:dyDescent="0.25">
      <c r="C120" s="1"/>
      <c r="D120" s="97"/>
      <c r="E120" s="97"/>
      <c r="F120" s="9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108"/>
      <c r="AO120" s="68"/>
      <c r="AP120" s="68"/>
      <c r="AQ120" s="68"/>
      <c r="AR120" s="68"/>
      <c r="AS120" s="68"/>
      <c r="AT120" s="66"/>
      <c r="AU120" s="68"/>
      <c r="AV120" s="68"/>
      <c r="AW120" s="68"/>
      <c r="AX120" s="66"/>
      <c r="AY120" s="68"/>
      <c r="AZ120" s="66"/>
      <c r="BA120" s="68"/>
      <c r="BB120" s="68"/>
      <c r="BC120" s="68"/>
      <c r="BD120" s="68"/>
      <c r="BE120" s="68"/>
      <c r="BF120" s="66"/>
      <c r="BG120" s="66"/>
      <c r="BH120" s="66"/>
      <c r="BI120" s="66"/>
      <c r="BJ120" s="66"/>
      <c r="BK120" s="66"/>
      <c r="BL120" s="66"/>
      <c r="BM120" s="66"/>
      <c r="BN120" s="66"/>
      <c r="BO120" s="66"/>
      <c r="BP120" s="66"/>
      <c r="BQ120" s="66"/>
      <c r="BR120" s="66"/>
      <c r="BS120" s="66"/>
      <c r="BT120" s="66"/>
      <c r="BU120" s="66"/>
      <c r="BV120" s="66"/>
      <c r="BW120" s="66"/>
      <c r="BX120" s="66"/>
      <c r="BY120" s="66"/>
      <c r="BZ120" s="66"/>
      <c r="CA120" s="66"/>
      <c r="CB120" s="66"/>
      <c r="CC120" s="66"/>
      <c r="CD120" s="66"/>
      <c r="CE120" s="66"/>
      <c r="CF120" s="68"/>
      <c r="CG120" s="68"/>
      <c r="CH120" s="66"/>
      <c r="CI120" s="66"/>
      <c r="CJ120" s="68"/>
      <c r="CK120" s="68"/>
      <c r="CL120" s="68"/>
      <c r="CM120" s="68"/>
      <c r="CN120" s="66"/>
      <c r="CO120" s="68"/>
      <c r="CP120" s="66"/>
      <c r="CQ120" s="68"/>
      <c r="CR120" s="68"/>
      <c r="CS120" s="68"/>
      <c r="CT120" s="68"/>
      <c r="CU120" s="68"/>
      <c r="CV120" s="68"/>
      <c r="CW120" s="68"/>
      <c r="CX120" s="68"/>
      <c r="CY120" s="68"/>
      <c r="CZ120" s="68"/>
      <c r="DA120" s="68"/>
      <c r="DB120" s="68"/>
      <c r="DC120" s="68"/>
      <c r="DD120" s="68"/>
      <c r="DE120" s="68"/>
      <c r="DF120" s="68"/>
      <c r="DG120" s="68"/>
      <c r="DH120" s="68"/>
      <c r="DI120" s="68"/>
      <c r="DJ120" s="68"/>
      <c r="DK120" s="68"/>
      <c r="DL120" s="68"/>
      <c r="DM120" s="68"/>
      <c r="DN120" s="68"/>
      <c r="DO120" s="68"/>
      <c r="DP120" s="68"/>
      <c r="DQ120" s="99"/>
      <c r="DR120" s="99"/>
      <c r="DS120" s="68"/>
      <c r="DT120" s="68"/>
      <c r="DU120" s="68"/>
      <c r="DV120" s="68"/>
      <c r="DW120" s="68"/>
      <c r="DX120" s="68"/>
      <c r="DY120" s="68"/>
      <c r="DZ120" s="68"/>
      <c r="EA120" s="68"/>
      <c r="EB120" s="68"/>
      <c r="EC120" s="68"/>
      <c r="ED120" s="68"/>
      <c r="EE120" s="68"/>
      <c r="EF120" s="68"/>
      <c r="EG120" s="68"/>
      <c r="EH120" s="68"/>
      <c r="EI120" s="68"/>
      <c r="EJ120" s="68"/>
      <c r="EK120" s="68"/>
      <c r="EL120" s="68"/>
      <c r="EM120" s="68"/>
      <c r="EN120" s="68"/>
      <c r="EO120" s="68"/>
      <c r="EP120" s="68"/>
      <c r="EQ120" s="68"/>
      <c r="ER120" s="3"/>
      <c r="ES120" s="3"/>
      <c r="EW120"/>
      <c r="EX120"/>
      <c r="EY120"/>
      <c r="FB120" s="1"/>
    </row>
    <row r="121" spans="3:158" ht="20.25" customHeight="1" x14ac:dyDescent="0.25">
      <c r="C121" s="1"/>
      <c r="D121" s="97"/>
      <c r="E121" s="97"/>
      <c r="F121" s="9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108"/>
      <c r="AO121" s="68"/>
      <c r="AP121" s="68"/>
      <c r="AQ121" s="68"/>
      <c r="AR121" s="68"/>
      <c r="AS121" s="68"/>
      <c r="AT121" s="66"/>
      <c r="AU121" s="68"/>
      <c r="AV121" s="68"/>
      <c r="AW121" s="68"/>
      <c r="AX121" s="66"/>
      <c r="AY121" s="68"/>
      <c r="AZ121" s="66"/>
      <c r="BA121" s="68"/>
      <c r="BB121" s="68"/>
      <c r="BC121" s="68"/>
      <c r="BD121" s="68"/>
      <c r="BE121" s="68"/>
      <c r="BF121" s="66"/>
      <c r="BG121" s="66"/>
      <c r="BH121" s="66"/>
      <c r="BI121" s="66"/>
      <c r="BJ121" s="66"/>
      <c r="BK121" s="66"/>
      <c r="BL121" s="66"/>
      <c r="BM121" s="66"/>
      <c r="BN121" s="66"/>
      <c r="BO121" s="66"/>
      <c r="BP121" s="66"/>
      <c r="BQ121" s="66"/>
      <c r="BR121" s="66"/>
      <c r="BS121" s="66"/>
      <c r="BT121" s="66"/>
      <c r="BU121" s="66"/>
      <c r="BV121" s="66"/>
      <c r="BW121" s="66"/>
      <c r="BX121" s="66"/>
      <c r="BY121" s="66"/>
      <c r="BZ121" s="66"/>
      <c r="CA121" s="66"/>
      <c r="CB121" s="66"/>
      <c r="CC121" s="66"/>
      <c r="CD121" s="66"/>
      <c r="CE121" s="66"/>
      <c r="CF121" s="68"/>
      <c r="CG121" s="68"/>
      <c r="CH121" s="66"/>
      <c r="CI121" s="66"/>
      <c r="CJ121" s="68"/>
      <c r="CK121" s="68"/>
      <c r="CL121" s="68"/>
      <c r="CM121" s="68"/>
      <c r="CN121" s="66"/>
      <c r="CO121" s="68"/>
      <c r="CP121" s="66"/>
      <c r="CQ121" s="68"/>
      <c r="CR121" s="68"/>
      <c r="CS121" s="68"/>
      <c r="CT121" s="68"/>
      <c r="CU121" s="68"/>
      <c r="CV121" s="68"/>
      <c r="CW121" s="68"/>
      <c r="CX121" s="68"/>
      <c r="CY121" s="68"/>
      <c r="CZ121" s="68"/>
      <c r="DA121" s="68"/>
      <c r="DB121" s="68"/>
      <c r="DC121" s="68"/>
      <c r="DD121" s="68"/>
      <c r="DE121" s="68"/>
      <c r="DF121" s="68"/>
      <c r="DG121" s="68"/>
      <c r="DH121" s="68"/>
      <c r="DI121" s="68"/>
      <c r="DJ121" s="68"/>
      <c r="DK121" s="68"/>
      <c r="DL121" s="68"/>
      <c r="DM121" s="68"/>
      <c r="DN121" s="68"/>
      <c r="DO121" s="68"/>
      <c r="DP121" s="68"/>
      <c r="DQ121" s="99"/>
      <c r="DR121" s="99"/>
      <c r="DS121" s="68"/>
      <c r="DT121" s="68"/>
      <c r="DU121" s="68"/>
      <c r="DV121" s="68"/>
      <c r="DW121" s="68"/>
      <c r="DX121" s="68"/>
      <c r="DY121" s="68"/>
      <c r="DZ121" s="68"/>
      <c r="EA121" s="68"/>
      <c r="EB121" s="68"/>
      <c r="EC121" s="68"/>
      <c r="ED121" s="68"/>
      <c r="EE121" s="68"/>
      <c r="EF121" s="68"/>
      <c r="EG121" s="68"/>
      <c r="EH121" s="68"/>
      <c r="EI121" s="68"/>
      <c r="EJ121" s="68"/>
      <c r="EK121" s="68"/>
      <c r="EL121" s="68"/>
      <c r="EM121" s="68"/>
      <c r="EN121" s="68"/>
      <c r="EO121" s="68"/>
      <c r="EP121" s="68"/>
      <c r="EQ121" s="68"/>
      <c r="ER121" s="3"/>
      <c r="ES121" s="3"/>
      <c r="EW121"/>
      <c r="EX121"/>
      <c r="EY121"/>
      <c r="FB121" s="1"/>
    </row>
    <row r="122" spans="3:158" ht="20.25" customHeight="1" x14ac:dyDescent="0.25">
      <c r="C122" s="1"/>
      <c r="D122" s="97"/>
      <c r="E122" s="97"/>
      <c r="F122" s="9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108"/>
      <c r="AO122" s="68"/>
      <c r="AP122" s="68"/>
      <c r="AQ122" s="68"/>
      <c r="AR122" s="68"/>
      <c r="AS122" s="68"/>
      <c r="AT122" s="66"/>
      <c r="AU122" s="68"/>
      <c r="AV122" s="68"/>
      <c r="AW122" s="68"/>
      <c r="AX122" s="66"/>
      <c r="AY122" s="68"/>
      <c r="AZ122" s="66"/>
      <c r="BA122" s="68"/>
      <c r="BB122" s="68"/>
      <c r="BC122" s="68"/>
      <c r="BD122" s="68"/>
      <c r="BE122" s="68"/>
      <c r="BF122" s="66"/>
      <c r="BG122" s="66"/>
      <c r="BH122" s="66"/>
      <c r="BI122" s="66"/>
      <c r="BJ122" s="66"/>
      <c r="BK122" s="66"/>
      <c r="BL122" s="66"/>
      <c r="BM122" s="66"/>
      <c r="BN122" s="66"/>
      <c r="BO122" s="66"/>
      <c r="BP122" s="66"/>
      <c r="BQ122" s="66"/>
      <c r="BR122" s="66"/>
      <c r="BS122" s="66"/>
      <c r="BT122" s="66"/>
      <c r="BU122" s="66"/>
      <c r="BV122" s="66"/>
      <c r="BW122" s="66"/>
      <c r="BX122" s="66"/>
      <c r="BY122" s="66"/>
      <c r="BZ122" s="66"/>
      <c r="CA122" s="66"/>
      <c r="CB122" s="66"/>
      <c r="CC122" s="66"/>
      <c r="CD122" s="66"/>
      <c r="CE122" s="66"/>
      <c r="CF122" s="68"/>
      <c r="CG122" s="68"/>
      <c r="CH122" s="66"/>
      <c r="CI122" s="66"/>
      <c r="CJ122" s="68"/>
      <c r="CK122" s="68"/>
      <c r="CL122" s="68"/>
      <c r="CM122" s="68"/>
      <c r="CN122" s="66"/>
      <c r="CO122" s="68"/>
      <c r="CP122" s="66"/>
      <c r="CQ122" s="68"/>
      <c r="CR122" s="68"/>
      <c r="CS122" s="68"/>
      <c r="CT122" s="68"/>
      <c r="CU122" s="68"/>
      <c r="CV122" s="68"/>
      <c r="CW122" s="68"/>
      <c r="CX122" s="68"/>
      <c r="CY122" s="68"/>
      <c r="CZ122" s="68"/>
      <c r="DA122" s="68"/>
      <c r="DB122" s="68"/>
      <c r="DC122" s="68"/>
      <c r="DD122" s="68"/>
      <c r="DE122" s="68"/>
      <c r="DF122" s="68"/>
      <c r="DG122" s="68"/>
      <c r="DH122" s="68"/>
      <c r="DI122" s="68"/>
      <c r="DJ122" s="68"/>
      <c r="DK122" s="68"/>
      <c r="DL122" s="68"/>
      <c r="DM122" s="68"/>
      <c r="DN122" s="68"/>
      <c r="DO122" s="68"/>
      <c r="DP122" s="68"/>
      <c r="DQ122" s="99"/>
      <c r="DR122" s="99"/>
      <c r="DS122" s="68"/>
      <c r="DT122" s="68"/>
      <c r="DU122" s="68"/>
      <c r="DV122" s="68"/>
      <c r="DW122" s="68"/>
      <c r="DX122" s="68"/>
      <c r="DY122" s="68"/>
      <c r="DZ122" s="68"/>
      <c r="EA122" s="68"/>
      <c r="EB122" s="68"/>
      <c r="EC122" s="68"/>
      <c r="ED122" s="68"/>
      <c r="EE122" s="68"/>
      <c r="EF122" s="68"/>
      <c r="EG122" s="68"/>
      <c r="EH122" s="68"/>
      <c r="EI122" s="68"/>
      <c r="EJ122" s="68"/>
      <c r="EK122" s="68"/>
      <c r="EL122" s="68"/>
      <c r="EM122" s="68"/>
      <c r="EN122" s="68"/>
      <c r="EO122" s="68"/>
      <c r="EP122" s="68"/>
      <c r="EQ122" s="68"/>
      <c r="ER122" s="3"/>
      <c r="ES122" s="3"/>
      <c r="EW122"/>
      <c r="EX122"/>
      <c r="EY122"/>
      <c r="FB122" s="1"/>
    </row>
    <row r="123" spans="3:158" ht="20.25" customHeight="1" x14ac:dyDescent="0.25">
      <c r="C123" s="1"/>
      <c r="D123" s="97"/>
      <c r="E123" s="97"/>
      <c r="F123" s="9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108"/>
      <c r="AO123" s="68"/>
      <c r="AP123" s="68"/>
      <c r="AQ123" s="68"/>
      <c r="AR123" s="68"/>
      <c r="AS123" s="68"/>
      <c r="AT123" s="66"/>
      <c r="AU123" s="68"/>
      <c r="AV123" s="68"/>
      <c r="AW123" s="68"/>
      <c r="AX123" s="66"/>
      <c r="AY123" s="68"/>
      <c r="AZ123" s="66"/>
      <c r="BA123" s="68"/>
      <c r="BB123" s="68"/>
      <c r="BC123" s="68"/>
      <c r="BD123" s="68"/>
      <c r="BE123" s="68"/>
      <c r="BF123" s="66"/>
      <c r="BG123" s="66"/>
      <c r="BH123" s="66"/>
      <c r="BI123" s="66"/>
      <c r="BJ123" s="66"/>
      <c r="BK123" s="66"/>
      <c r="BL123" s="66"/>
      <c r="BM123" s="66"/>
      <c r="BN123" s="66"/>
      <c r="BO123" s="66"/>
      <c r="BP123" s="66"/>
      <c r="BQ123" s="66"/>
      <c r="BR123" s="66"/>
      <c r="BS123" s="66"/>
      <c r="BT123" s="66"/>
      <c r="BU123" s="66"/>
      <c r="BV123" s="66"/>
      <c r="BW123" s="66"/>
      <c r="BX123" s="66"/>
      <c r="BY123" s="66"/>
      <c r="BZ123" s="66"/>
      <c r="CA123" s="66"/>
      <c r="CB123" s="66"/>
      <c r="CC123" s="66"/>
      <c r="CD123" s="66"/>
      <c r="CE123" s="66"/>
      <c r="CF123" s="68"/>
      <c r="CG123" s="68"/>
      <c r="CH123" s="66"/>
      <c r="CI123" s="66"/>
      <c r="CJ123" s="68"/>
      <c r="CK123" s="68"/>
      <c r="CL123" s="68"/>
      <c r="CM123" s="68"/>
      <c r="CN123" s="66"/>
      <c r="CO123" s="68"/>
      <c r="CP123" s="66"/>
      <c r="CQ123" s="68"/>
      <c r="CR123" s="68"/>
      <c r="CS123" s="68"/>
      <c r="CT123" s="68"/>
      <c r="CU123" s="68"/>
      <c r="CV123" s="68"/>
      <c r="CW123" s="68"/>
      <c r="CX123" s="68"/>
      <c r="CY123" s="68"/>
      <c r="CZ123" s="68"/>
      <c r="DA123" s="68"/>
      <c r="DB123" s="68"/>
      <c r="DC123" s="68"/>
      <c r="DD123" s="68"/>
      <c r="DE123" s="68"/>
      <c r="DF123" s="68"/>
      <c r="DG123" s="68"/>
      <c r="DH123" s="68"/>
      <c r="DI123" s="68"/>
      <c r="DJ123" s="68"/>
      <c r="DK123" s="68"/>
      <c r="DL123" s="68"/>
      <c r="DM123" s="68"/>
      <c r="DN123" s="68"/>
      <c r="DO123" s="68"/>
      <c r="DP123" s="68"/>
      <c r="DQ123" s="99"/>
      <c r="DR123" s="99"/>
      <c r="DS123" s="68"/>
      <c r="DT123" s="68"/>
      <c r="DU123" s="68"/>
      <c r="DV123" s="68"/>
      <c r="DW123" s="68"/>
      <c r="DX123" s="68"/>
      <c r="DY123" s="68"/>
      <c r="DZ123" s="68"/>
      <c r="EA123" s="68"/>
      <c r="EB123" s="68"/>
      <c r="EC123" s="68"/>
      <c r="ED123" s="68"/>
      <c r="EE123" s="68"/>
      <c r="EF123" s="68"/>
      <c r="EG123" s="68"/>
      <c r="EH123" s="68"/>
      <c r="EI123" s="68"/>
      <c r="EJ123" s="68"/>
      <c r="EK123" s="68"/>
      <c r="EL123" s="68"/>
      <c r="EM123" s="68"/>
      <c r="EN123" s="68"/>
      <c r="EO123" s="68"/>
      <c r="EP123" s="68"/>
      <c r="EQ123" s="68"/>
      <c r="ER123" s="3"/>
      <c r="ES123" s="3"/>
      <c r="EW123"/>
      <c r="EX123"/>
      <c r="EY123"/>
      <c r="FB123" s="1"/>
    </row>
    <row r="124" spans="3:158" ht="20.25" customHeight="1" x14ac:dyDescent="0.25">
      <c r="C124" s="1"/>
      <c r="D124" s="97"/>
      <c r="E124" s="97"/>
      <c r="F124" s="9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108"/>
      <c r="AO124" s="68"/>
      <c r="AP124" s="68"/>
      <c r="AQ124" s="68"/>
      <c r="AR124" s="68"/>
      <c r="AS124" s="68"/>
      <c r="AT124" s="66"/>
      <c r="AU124" s="68"/>
      <c r="AV124" s="68"/>
      <c r="AW124" s="68"/>
      <c r="AX124" s="66"/>
      <c r="AY124" s="68"/>
      <c r="AZ124" s="66"/>
      <c r="BA124" s="68"/>
      <c r="BB124" s="68"/>
      <c r="BC124" s="68"/>
      <c r="BD124" s="68"/>
      <c r="BE124" s="68"/>
      <c r="BF124" s="66"/>
      <c r="BG124" s="66"/>
      <c r="BH124" s="66"/>
      <c r="BI124" s="66"/>
      <c r="BJ124" s="66"/>
      <c r="BK124" s="66"/>
      <c r="BL124" s="66"/>
      <c r="BM124" s="66"/>
      <c r="BN124" s="66"/>
      <c r="BO124" s="66"/>
      <c r="BP124" s="66"/>
      <c r="BQ124" s="66"/>
      <c r="BR124" s="66"/>
      <c r="BS124" s="66"/>
      <c r="BT124" s="66"/>
      <c r="BU124" s="66"/>
      <c r="BV124" s="66"/>
      <c r="BW124" s="66"/>
      <c r="BX124" s="66"/>
      <c r="BY124" s="66"/>
      <c r="BZ124" s="66"/>
      <c r="CA124" s="66"/>
      <c r="CB124" s="66"/>
      <c r="CC124" s="66"/>
      <c r="CD124" s="66"/>
      <c r="CE124" s="66"/>
      <c r="CF124" s="68"/>
      <c r="CG124" s="68"/>
      <c r="CH124" s="66"/>
      <c r="CI124" s="66"/>
      <c r="CJ124" s="68"/>
      <c r="CK124" s="68"/>
      <c r="CL124" s="68"/>
      <c r="CM124" s="68"/>
      <c r="CN124" s="66"/>
      <c r="CO124" s="68"/>
      <c r="CP124" s="66"/>
      <c r="CQ124" s="68"/>
      <c r="CR124" s="68"/>
      <c r="CS124" s="68"/>
      <c r="CT124" s="68"/>
      <c r="CU124" s="68"/>
      <c r="CV124" s="68"/>
      <c r="CW124" s="68"/>
      <c r="CX124" s="68"/>
      <c r="CY124" s="68"/>
      <c r="CZ124" s="68"/>
      <c r="DA124" s="68"/>
      <c r="DB124" s="68"/>
      <c r="DC124" s="68"/>
      <c r="DD124" s="68"/>
      <c r="DE124" s="68"/>
      <c r="DF124" s="68"/>
      <c r="DG124" s="68"/>
      <c r="DH124" s="68"/>
      <c r="DI124" s="68"/>
      <c r="DJ124" s="68"/>
      <c r="DK124" s="68"/>
      <c r="DL124" s="68"/>
      <c r="DM124" s="68"/>
      <c r="DN124" s="68"/>
      <c r="DO124" s="68"/>
      <c r="DP124" s="68"/>
      <c r="DQ124" s="99"/>
      <c r="DR124" s="99"/>
      <c r="DS124" s="68"/>
      <c r="DT124" s="68"/>
      <c r="DU124" s="68"/>
      <c r="DV124" s="68"/>
      <c r="DW124" s="68"/>
      <c r="DX124" s="68"/>
      <c r="DY124" s="68"/>
      <c r="DZ124" s="68"/>
      <c r="EA124" s="68"/>
      <c r="EB124" s="68"/>
      <c r="EC124" s="68"/>
      <c r="ED124" s="68"/>
      <c r="EE124" s="68"/>
      <c r="EF124" s="68"/>
      <c r="EG124" s="68"/>
      <c r="EH124" s="68"/>
      <c r="EI124" s="68"/>
      <c r="EJ124" s="68"/>
      <c r="EK124" s="68"/>
      <c r="EL124" s="68"/>
      <c r="EM124" s="68"/>
      <c r="EN124" s="68"/>
      <c r="EO124" s="68"/>
      <c r="EP124" s="68"/>
      <c r="EQ124" s="68"/>
      <c r="ER124" s="3"/>
      <c r="ES124" s="3"/>
      <c r="EW124"/>
      <c r="EX124"/>
      <c r="EY124"/>
      <c r="FB124" s="1"/>
    </row>
    <row r="125" spans="3:158" ht="20.25" customHeight="1" x14ac:dyDescent="0.25">
      <c r="C125" s="1"/>
      <c r="D125" s="97"/>
      <c r="E125" s="97"/>
      <c r="F125" s="9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108"/>
      <c r="AO125" s="68"/>
      <c r="AP125" s="68"/>
      <c r="AQ125" s="68"/>
      <c r="AR125" s="68"/>
      <c r="AS125" s="68"/>
      <c r="AT125" s="66"/>
      <c r="AU125" s="68"/>
      <c r="AV125" s="68"/>
      <c r="AW125" s="68"/>
      <c r="AX125" s="66"/>
      <c r="AY125" s="68"/>
      <c r="AZ125" s="66"/>
      <c r="BA125" s="68"/>
      <c r="BB125" s="68"/>
      <c r="BC125" s="68"/>
      <c r="BD125" s="68"/>
      <c r="BE125" s="68"/>
      <c r="BF125" s="66"/>
      <c r="BG125" s="66"/>
      <c r="BH125" s="66"/>
      <c r="BI125" s="66"/>
      <c r="BJ125" s="66"/>
      <c r="BK125" s="66"/>
      <c r="BL125" s="66"/>
      <c r="BM125" s="66"/>
      <c r="BN125" s="66"/>
      <c r="BO125" s="66"/>
      <c r="BP125" s="66"/>
      <c r="BQ125" s="66"/>
      <c r="BR125" s="66"/>
      <c r="BS125" s="66"/>
      <c r="BT125" s="66"/>
      <c r="BU125" s="66"/>
      <c r="BV125" s="66"/>
      <c r="BW125" s="66"/>
      <c r="BX125" s="66"/>
      <c r="BY125" s="66"/>
      <c r="BZ125" s="66"/>
      <c r="CA125" s="66"/>
      <c r="CB125" s="66"/>
      <c r="CC125" s="66"/>
      <c r="CD125" s="66"/>
      <c r="CE125" s="66"/>
      <c r="CF125" s="68"/>
      <c r="CG125" s="68"/>
      <c r="CH125" s="66"/>
      <c r="CI125" s="66"/>
      <c r="CJ125" s="68"/>
      <c r="CK125" s="68"/>
      <c r="CL125" s="68"/>
      <c r="CM125" s="68"/>
      <c r="CN125" s="66"/>
      <c r="CO125" s="68"/>
      <c r="CP125" s="66"/>
      <c r="CQ125" s="68"/>
      <c r="CR125" s="68"/>
      <c r="CS125" s="68"/>
      <c r="CT125" s="68"/>
      <c r="CU125" s="68"/>
      <c r="CV125" s="68"/>
      <c r="CW125" s="68"/>
      <c r="CX125" s="68"/>
      <c r="CY125" s="68"/>
      <c r="CZ125" s="68"/>
      <c r="DA125" s="68"/>
      <c r="DB125" s="68"/>
      <c r="DC125" s="68"/>
      <c r="DD125" s="68"/>
      <c r="DE125" s="68"/>
      <c r="DF125" s="68"/>
      <c r="DG125" s="68"/>
      <c r="DH125" s="68"/>
      <c r="DI125" s="68"/>
      <c r="DJ125" s="68"/>
      <c r="DK125" s="68"/>
      <c r="DL125" s="68"/>
      <c r="DM125" s="68"/>
      <c r="DN125" s="68"/>
      <c r="DO125" s="68"/>
      <c r="DP125" s="68"/>
      <c r="DQ125" s="99"/>
      <c r="DR125" s="99"/>
      <c r="DS125" s="68"/>
      <c r="DT125" s="68"/>
      <c r="DU125" s="68"/>
      <c r="DV125" s="68"/>
      <c r="DW125" s="68"/>
      <c r="DX125" s="68"/>
      <c r="DY125" s="68"/>
      <c r="DZ125" s="68"/>
      <c r="EA125" s="68"/>
      <c r="EB125" s="68"/>
      <c r="EC125" s="68"/>
      <c r="ED125" s="68"/>
      <c r="EE125" s="68"/>
      <c r="EF125" s="68"/>
      <c r="EG125" s="68"/>
      <c r="EH125" s="68"/>
      <c r="EI125" s="68"/>
      <c r="EJ125" s="68"/>
      <c r="EK125" s="68"/>
      <c r="EL125" s="68"/>
      <c r="EM125" s="68"/>
      <c r="EN125" s="68"/>
      <c r="EO125" s="68"/>
      <c r="EP125" s="68"/>
      <c r="EQ125" s="68"/>
      <c r="ER125" s="3"/>
      <c r="ES125" s="3"/>
      <c r="EW125"/>
      <c r="EX125"/>
      <c r="EY125"/>
      <c r="FB125" s="1"/>
    </row>
    <row r="126" spans="3:158" ht="20.25" customHeight="1" x14ac:dyDescent="0.25">
      <c r="C126" s="1"/>
      <c r="D126" s="97"/>
      <c r="E126" s="97"/>
      <c r="F126" s="9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108"/>
      <c r="AO126" s="68"/>
      <c r="AP126" s="68"/>
      <c r="AQ126" s="68"/>
      <c r="AR126" s="68"/>
      <c r="AS126" s="68"/>
      <c r="AT126" s="66"/>
      <c r="AU126" s="68"/>
      <c r="AV126" s="68"/>
      <c r="AW126" s="68"/>
      <c r="AX126" s="66"/>
      <c r="AY126" s="68"/>
      <c r="AZ126" s="66"/>
      <c r="BA126" s="68"/>
      <c r="BB126" s="68"/>
      <c r="BC126" s="68"/>
      <c r="BD126" s="68"/>
      <c r="BE126" s="68"/>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66"/>
      <c r="CB126" s="66"/>
      <c r="CC126" s="66"/>
      <c r="CD126" s="66"/>
      <c r="CE126" s="66"/>
      <c r="CF126" s="68"/>
      <c r="CG126" s="68"/>
      <c r="CH126" s="66"/>
      <c r="CI126" s="66"/>
      <c r="CJ126" s="68"/>
      <c r="CK126" s="68"/>
      <c r="CL126" s="68"/>
      <c r="CM126" s="68"/>
      <c r="CN126" s="66"/>
      <c r="CO126" s="68"/>
      <c r="CP126" s="66"/>
      <c r="CQ126" s="68"/>
      <c r="CR126" s="68"/>
      <c r="CS126" s="68"/>
      <c r="CT126" s="68"/>
      <c r="CU126" s="68"/>
      <c r="CV126" s="68"/>
      <c r="CW126" s="68"/>
      <c r="CX126" s="68"/>
      <c r="CY126" s="68"/>
      <c r="CZ126" s="68"/>
      <c r="DA126" s="68"/>
      <c r="DB126" s="68"/>
      <c r="DC126" s="68"/>
      <c r="DD126" s="68"/>
      <c r="DE126" s="68"/>
      <c r="DF126" s="68"/>
      <c r="DG126" s="68"/>
      <c r="DH126" s="68"/>
      <c r="DI126" s="68"/>
      <c r="DJ126" s="68"/>
      <c r="DK126" s="68"/>
      <c r="DL126" s="68"/>
      <c r="DM126" s="68"/>
      <c r="DN126" s="68"/>
      <c r="DO126" s="68"/>
      <c r="DP126" s="68"/>
      <c r="DQ126" s="99"/>
      <c r="DR126" s="99"/>
      <c r="DS126" s="68"/>
      <c r="DT126" s="68"/>
      <c r="DU126" s="68"/>
      <c r="DV126" s="68"/>
      <c r="DW126" s="68"/>
      <c r="DX126" s="68"/>
      <c r="DY126" s="68"/>
      <c r="DZ126" s="68"/>
      <c r="EA126" s="68"/>
      <c r="EB126" s="68"/>
      <c r="EC126" s="68"/>
      <c r="ED126" s="68"/>
      <c r="EE126" s="68"/>
      <c r="EF126" s="68"/>
      <c r="EG126" s="68"/>
      <c r="EH126" s="68"/>
      <c r="EI126" s="68"/>
      <c r="EJ126" s="68"/>
      <c r="EK126" s="68"/>
      <c r="EL126" s="68"/>
      <c r="EM126" s="68"/>
      <c r="EN126" s="68"/>
      <c r="EO126" s="68"/>
      <c r="EP126" s="68"/>
      <c r="EQ126" s="68"/>
      <c r="ER126" s="3"/>
      <c r="ES126" s="3"/>
      <c r="EW126"/>
      <c r="EX126"/>
      <c r="EY126"/>
      <c r="FB126" s="1"/>
    </row>
    <row r="127" spans="3:158" ht="20.25" customHeight="1" x14ac:dyDescent="0.25">
      <c r="C127" s="1"/>
      <c r="D127" s="97"/>
      <c r="E127" s="97"/>
      <c r="F127" s="9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108"/>
      <c r="AO127" s="68"/>
      <c r="AP127" s="68"/>
      <c r="AQ127" s="68"/>
      <c r="AR127" s="68"/>
      <c r="AS127" s="68"/>
      <c r="AT127" s="66"/>
      <c r="AU127" s="68"/>
      <c r="AV127" s="68"/>
      <c r="AW127" s="68"/>
      <c r="AX127" s="66"/>
      <c r="AY127" s="68"/>
      <c r="AZ127" s="66"/>
      <c r="BA127" s="68"/>
      <c r="BB127" s="68"/>
      <c r="BC127" s="68"/>
      <c r="BD127" s="68"/>
      <c r="BE127" s="68"/>
      <c r="BF127" s="66"/>
      <c r="BG127" s="66"/>
      <c r="BH127" s="66"/>
      <c r="BI127" s="66"/>
      <c r="BJ127" s="66"/>
      <c r="BK127" s="66"/>
      <c r="BL127" s="66"/>
      <c r="BM127" s="66"/>
      <c r="BN127" s="66"/>
      <c r="BO127" s="66"/>
      <c r="BP127" s="66"/>
      <c r="BQ127" s="66"/>
      <c r="BR127" s="66"/>
      <c r="BS127" s="66"/>
      <c r="BT127" s="66"/>
      <c r="BU127" s="66"/>
      <c r="BV127" s="66"/>
      <c r="BW127" s="66"/>
      <c r="BX127" s="66"/>
      <c r="BY127" s="66"/>
      <c r="BZ127" s="66"/>
      <c r="CA127" s="66"/>
      <c r="CB127" s="66"/>
      <c r="CC127" s="66"/>
      <c r="CD127" s="66"/>
      <c r="CE127" s="66"/>
      <c r="CF127" s="68"/>
      <c r="CG127" s="68"/>
      <c r="CH127" s="66"/>
      <c r="CI127" s="66"/>
      <c r="CJ127" s="68"/>
      <c r="CK127" s="68"/>
      <c r="CL127" s="68"/>
      <c r="CM127" s="68"/>
      <c r="CN127" s="66"/>
      <c r="CO127" s="68"/>
      <c r="CP127" s="66"/>
      <c r="CQ127" s="68"/>
      <c r="CR127" s="68"/>
      <c r="CS127" s="68"/>
      <c r="CT127" s="68"/>
      <c r="CU127" s="68"/>
      <c r="CV127" s="68"/>
      <c r="CW127" s="68"/>
      <c r="CX127" s="68"/>
      <c r="CY127" s="68"/>
      <c r="CZ127" s="68"/>
      <c r="DA127" s="68"/>
      <c r="DB127" s="68"/>
      <c r="DC127" s="68"/>
      <c r="DD127" s="68"/>
      <c r="DE127" s="68"/>
      <c r="DF127" s="68"/>
      <c r="DG127" s="68"/>
      <c r="DH127" s="68"/>
      <c r="DI127" s="68"/>
      <c r="DJ127" s="68"/>
      <c r="DK127" s="68"/>
      <c r="DL127" s="68"/>
      <c r="DM127" s="68"/>
      <c r="DN127" s="68"/>
      <c r="DO127" s="68"/>
      <c r="DP127" s="68"/>
      <c r="DQ127" s="99"/>
      <c r="DR127" s="99"/>
      <c r="DS127" s="68"/>
      <c r="DT127" s="68"/>
      <c r="DU127" s="68"/>
      <c r="DV127" s="68"/>
      <c r="DW127" s="68"/>
      <c r="DX127" s="68"/>
      <c r="DY127" s="68"/>
      <c r="DZ127" s="68"/>
      <c r="EA127" s="68"/>
      <c r="EB127" s="68"/>
      <c r="EC127" s="68"/>
      <c r="ED127" s="68"/>
      <c r="EE127" s="68"/>
      <c r="EF127" s="68"/>
      <c r="EG127" s="68"/>
      <c r="EH127" s="68"/>
      <c r="EI127" s="68"/>
      <c r="EJ127" s="68"/>
      <c r="EK127" s="68"/>
      <c r="EL127" s="68"/>
      <c r="EM127" s="68"/>
      <c r="EN127" s="68"/>
      <c r="EO127" s="68"/>
      <c r="EP127" s="68"/>
      <c r="EQ127" s="68"/>
      <c r="ER127" s="3"/>
      <c r="ES127" s="3"/>
      <c r="EW127"/>
      <c r="EX127"/>
      <c r="EY127"/>
      <c r="FB127" s="1"/>
    </row>
    <row r="128" spans="3:158" ht="20.25" customHeight="1" x14ac:dyDescent="0.25">
      <c r="C128" s="1"/>
      <c r="D128" s="97"/>
      <c r="E128" s="97"/>
      <c r="F128" s="9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108"/>
      <c r="AO128" s="68"/>
      <c r="AP128" s="68"/>
      <c r="AQ128" s="68"/>
      <c r="AR128" s="68"/>
      <c r="AS128" s="68"/>
      <c r="AT128" s="66"/>
      <c r="AU128" s="68"/>
      <c r="AV128" s="68"/>
      <c r="AW128" s="68"/>
      <c r="AX128" s="66"/>
      <c r="AY128" s="68"/>
      <c r="AZ128" s="66"/>
      <c r="BA128" s="68"/>
      <c r="BB128" s="68"/>
      <c r="BC128" s="68"/>
      <c r="BD128" s="68"/>
      <c r="BE128" s="68"/>
      <c r="BF128" s="66"/>
      <c r="BG128" s="66"/>
      <c r="BH128" s="66"/>
      <c r="BI128" s="66"/>
      <c r="BJ128" s="66"/>
      <c r="BK128" s="66"/>
      <c r="BL128" s="66"/>
      <c r="BM128" s="66"/>
      <c r="BN128" s="66"/>
      <c r="BO128" s="66"/>
      <c r="BP128" s="66"/>
      <c r="BQ128" s="66"/>
      <c r="BR128" s="66"/>
      <c r="BS128" s="66"/>
      <c r="BT128" s="66"/>
      <c r="BU128" s="66"/>
      <c r="BV128" s="66"/>
      <c r="BW128" s="66"/>
      <c r="BX128" s="66"/>
      <c r="BY128" s="66"/>
      <c r="BZ128" s="66"/>
      <c r="CA128" s="66"/>
      <c r="CB128" s="66"/>
      <c r="CC128" s="66"/>
      <c r="CD128" s="66"/>
      <c r="CE128" s="66"/>
      <c r="CF128" s="68"/>
      <c r="CG128" s="68"/>
      <c r="CH128" s="66"/>
      <c r="CI128" s="66"/>
      <c r="CJ128" s="68"/>
      <c r="CK128" s="68"/>
      <c r="CL128" s="68"/>
      <c r="CM128" s="68"/>
      <c r="CN128" s="66"/>
      <c r="CO128" s="68"/>
      <c r="CP128" s="66"/>
      <c r="CQ128" s="68"/>
      <c r="CR128" s="68"/>
      <c r="CS128" s="68"/>
      <c r="CT128" s="68"/>
      <c r="CU128" s="68"/>
      <c r="CV128" s="68"/>
      <c r="CW128" s="68"/>
      <c r="CX128" s="68"/>
      <c r="CY128" s="68"/>
      <c r="CZ128" s="68"/>
      <c r="DA128" s="68"/>
      <c r="DB128" s="68"/>
      <c r="DC128" s="68"/>
      <c r="DD128" s="68"/>
      <c r="DE128" s="68"/>
      <c r="DF128" s="68"/>
      <c r="DG128" s="68"/>
      <c r="DH128" s="68"/>
      <c r="DI128" s="68"/>
      <c r="DJ128" s="68"/>
      <c r="DK128" s="68"/>
      <c r="DL128" s="68"/>
      <c r="DM128" s="68"/>
      <c r="DN128" s="68"/>
      <c r="DO128" s="68"/>
      <c r="DP128" s="68"/>
      <c r="DQ128" s="99"/>
      <c r="DR128" s="99"/>
      <c r="DS128" s="68"/>
      <c r="DT128" s="68"/>
      <c r="DU128" s="68"/>
      <c r="DV128" s="68"/>
      <c r="DW128" s="68"/>
      <c r="DX128" s="68"/>
      <c r="DY128" s="68"/>
      <c r="DZ128" s="68"/>
      <c r="EA128" s="68"/>
      <c r="EB128" s="68"/>
      <c r="EC128" s="68"/>
      <c r="ED128" s="68"/>
      <c r="EE128" s="68"/>
      <c r="EF128" s="68"/>
      <c r="EG128" s="68"/>
      <c r="EH128" s="68"/>
      <c r="EI128" s="68"/>
      <c r="EJ128" s="68"/>
      <c r="EK128" s="68"/>
      <c r="EL128" s="68"/>
      <c r="EM128" s="68"/>
      <c r="EN128" s="68"/>
      <c r="EO128" s="68"/>
      <c r="EP128" s="68"/>
      <c r="EQ128" s="68"/>
      <c r="ER128" s="3"/>
      <c r="ES128" s="3"/>
      <c r="EW128"/>
      <c r="EX128"/>
      <c r="EY128"/>
      <c r="FB128" s="1"/>
    </row>
    <row r="129" spans="3:158" ht="20.25" customHeight="1" x14ac:dyDescent="0.25">
      <c r="C129" s="1"/>
      <c r="D129" s="97"/>
      <c r="E129" s="97"/>
      <c r="F129" s="9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108"/>
      <c r="AO129" s="68"/>
      <c r="AP129" s="68"/>
      <c r="AQ129" s="68"/>
      <c r="AR129" s="68"/>
      <c r="AS129" s="68"/>
      <c r="AT129" s="66"/>
      <c r="AU129" s="68"/>
      <c r="AV129" s="68"/>
      <c r="AW129" s="68"/>
      <c r="AX129" s="66"/>
      <c r="AY129" s="68"/>
      <c r="AZ129" s="66"/>
      <c r="BA129" s="68"/>
      <c r="BB129" s="68"/>
      <c r="BC129" s="68"/>
      <c r="BD129" s="68"/>
      <c r="BE129" s="68"/>
      <c r="BF129" s="66"/>
      <c r="BG129" s="66"/>
      <c r="BH129" s="66"/>
      <c r="BI129" s="66"/>
      <c r="BJ129" s="66"/>
      <c r="BK129" s="66"/>
      <c r="BL129" s="66"/>
      <c r="BM129" s="66"/>
      <c r="BN129" s="66"/>
      <c r="BO129" s="66"/>
      <c r="BP129" s="66"/>
      <c r="BQ129" s="66"/>
      <c r="BR129" s="66"/>
      <c r="BS129" s="66"/>
      <c r="BT129" s="66"/>
      <c r="BU129" s="66"/>
      <c r="BV129" s="66"/>
      <c r="BW129" s="66"/>
      <c r="BX129" s="66"/>
      <c r="BY129" s="66"/>
      <c r="BZ129" s="66"/>
      <c r="CA129" s="66"/>
      <c r="CB129" s="66"/>
      <c r="CC129" s="66"/>
      <c r="CD129" s="66"/>
      <c r="CE129" s="66"/>
      <c r="CF129" s="68"/>
      <c r="CG129" s="68"/>
      <c r="CH129" s="66"/>
      <c r="CI129" s="66"/>
      <c r="CJ129" s="68"/>
      <c r="CK129" s="68"/>
      <c r="CL129" s="68"/>
      <c r="CM129" s="68"/>
      <c r="CN129" s="66"/>
      <c r="CO129" s="68"/>
      <c r="CP129" s="66"/>
      <c r="CQ129" s="68"/>
      <c r="CR129" s="68"/>
      <c r="CS129" s="68"/>
      <c r="CT129" s="68"/>
      <c r="CU129" s="68"/>
      <c r="CV129" s="68"/>
      <c r="CW129" s="68"/>
      <c r="CX129" s="68"/>
      <c r="CY129" s="68"/>
      <c r="CZ129" s="68"/>
      <c r="DA129" s="68"/>
      <c r="DB129" s="68"/>
      <c r="DC129" s="68"/>
      <c r="DD129" s="68"/>
      <c r="DE129" s="68"/>
      <c r="DF129" s="68"/>
      <c r="DG129" s="68"/>
      <c r="DH129" s="68"/>
      <c r="DI129" s="68"/>
      <c r="DJ129" s="68"/>
      <c r="DK129" s="68"/>
      <c r="DL129" s="68"/>
      <c r="DM129" s="68"/>
      <c r="DN129" s="68"/>
      <c r="DO129" s="68"/>
      <c r="DP129" s="68"/>
      <c r="DQ129" s="99"/>
      <c r="DR129" s="99"/>
      <c r="DS129" s="68"/>
      <c r="DT129" s="68"/>
      <c r="DU129" s="68"/>
      <c r="DV129" s="68"/>
      <c r="DW129" s="68"/>
      <c r="DX129" s="68"/>
      <c r="DY129" s="68"/>
      <c r="DZ129" s="68"/>
      <c r="EA129" s="68"/>
      <c r="EB129" s="68"/>
      <c r="EC129" s="68"/>
      <c r="ED129" s="68"/>
      <c r="EE129" s="68"/>
      <c r="EF129" s="68"/>
      <c r="EG129" s="68"/>
      <c r="EH129" s="68"/>
      <c r="EI129" s="68"/>
      <c r="EJ129" s="68"/>
      <c r="EK129" s="68"/>
      <c r="EL129" s="68"/>
      <c r="EM129" s="68"/>
      <c r="EN129" s="68"/>
      <c r="EO129" s="68"/>
      <c r="EP129" s="68"/>
      <c r="EQ129" s="68"/>
      <c r="ER129" s="3"/>
      <c r="ES129" s="3"/>
      <c r="EW129"/>
      <c r="EX129"/>
      <c r="EY129"/>
      <c r="FB129" s="1"/>
    </row>
    <row r="130" spans="3:158" ht="20.25" customHeight="1" x14ac:dyDescent="0.25">
      <c r="C130" s="1"/>
      <c r="D130" s="97"/>
      <c r="E130" s="97"/>
      <c r="F130" s="9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108"/>
      <c r="AO130" s="68"/>
      <c r="AP130" s="68"/>
      <c r="AQ130" s="68"/>
      <c r="AR130" s="68"/>
      <c r="AS130" s="68"/>
      <c r="AT130" s="66"/>
      <c r="AU130" s="68"/>
      <c r="AV130" s="68"/>
      <c r="AW130" s="68"/>
      <c r="AX130" s="66"/>
      <c r="AY130" s="68"/>
      <c r="AZ130" s="66"/>
      <c r="BA130" s="68"/>
      <c r="BB130" s="68"/>
      <c r="BC130" s="68"/>
      <c r="BD130" s="68"/>
      <c r="BE130" s="68"/>
      <c r="BF130" s="66"/>
      <c r="BG130" s="66"/>
      <c r="BH130" s="66"/>
      <c r="BI130" s="66"/>
      <c r="BJ130" s="66"/>
      <c r="BK130" s="66"/>
      <c r="BL130" s="66"/>
      <c r="BM130" s="66"/>
      <c r="BN130" s="66"/>
      <c r="BO130" s="66"/>
      <c r="BP130" s="66"/>
      <c r="BQ130" s="66"/>
      <c r="BR130" s="66"/>
      <c r="BS130" s="66"/>
      <c r="BT130" s="66"/>
      <c r="BU130" s="66"/>
      <c r="BV130" s="66"/>
      <c r="BW130" s="66"/>
      <c r="BX130" s="66"/>
      <c r="BY130" s="66"/>
      <c r="BZ130" s="66"/>
      <c r="CA130" s="66"/>
      <c r="CB130" s="66"/>
      <c r="CC130" s="66"/>
      <c r="CD130" s="66"/>
      <c r="CE130" s="66"/>
      <c r="CF130" s="68"/>
      <c r="CG130" s="68"/>
      <c r="CH130" s="66"/>
      <c r="CI130" s="66"/>
      <c r="CJ130" s="68"/>
      <c r="CK130" s="68"/>
      <c r="CL130" s="68"/>
      <c r="CM130" s="68"/>
      <c r="CN130" s="66"/>
      <c r="CO130" s="68"/>
      <c r="CP130" s="66"/>
      <c r="CQ130" s="68"/>
      <c r="CR130" s="68"/>
      <c r="CS130" s="68"/>
      <c r="CT130" s="68"/>
      <c r="CU130" s="68"/>
      <c r="CV130" s="68"/>
      <c r="CW130" s="68"/>
      <c r="CX130" s="68"/>
      <c r="CY130" s="68"/>
      <c r="CZ130" s="68"/>
      <c r="DA130" s="68"/>
      <c r="DB130" s="68"/>
      <c r="DC130" s="68"/>
      <c r="DD130" s="68"/>
      <c r="DE130" s="68"/>
      <c r="DF130" s="68"/>
      <c r="DG130" s="68"/>
      <c r="DH130" s="68"/>
      <c r="DI130" s="68"/>
      <c r="DJ130" s="68"/>
      <c r="DK130" s="68"/>
      <c r="DL130" s="68"/>
      <c r="DM130" s="68"/>
      <c r="DN130" s="68"/>
      <c r="DO130" s="68"/>
      <c r="DP130" s="68"/>
      <c r="DQ130" s="99"/>
      <c r="DR130" s="99"/>
      <c r="DS130" s="68"/>
      <c r="DT130" s="68"/>
      <c r="DU130" s="68"/>
      <c r="DV130" s="68"/>
      <c r="DW130" s="68"/>
      <c r="DX130" s="68"/>
      <c r="DY130" s="68"/>
      <c r="DZ130" s="68"/>
      <c r="EA130" s="68"/>
      <c r="EB130" s="68"/>
      <c r="EC130" s="68"/>
      <c r="ED130" s="68"/>
      <c r="EE130" s="68"/>
      <c r="EF130" s="68"/>
      <c r="EG130" s="68"/>
      <c r="EH130" s="68"/>
      <c r="EI130" s="68"/>
      <c r="EJ130" s="68"/>
      <c r="EK130" s="68"/>
      <c r="EL130" s="68"/>
      <c r="EM130" s="68"/>
      <c r="EN130" s="68"/>
      <c r="EO130" s="68"/>
      <c r="EP130" s="68"/>
      <c r="EQ130" s="68"/>
      <c r="ER130" s="3"/>
      <c r="ES130" s="3"/>
      <c r="EW130"/>
      <c r="EX130"/>
      <c r="EY130"/>
      <c r="FB130" s="1"/>
    </row>
    <row r="131" spans="3:158" ht="20.25" customHeight="1" x14ac:dyDescent="0.25">
      <c r="C131" s="1"/>
      <c r="D131" s="97"/>
      <c r="E131" s="97"/>
      <c r="F131" s="9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108"/>
      <c r="AO131" s="68"/>
      <c r="AP131" s="68"/>
      <c r="AQ131" s="68"/>
      <c r="AR131" s="68"/>
      <c r="AS131" s="68"/>
      <c r="AT131" s="66"/>
      <c r="AU131" s="68"/>
      <c r="AV131" s="68"/>
      <c r="AW131" s="68"/>
      <c r="AX131" s="66"/>
      <c r="AY131" s="68"/>
      <c r="AZ131" s="66"/>
      <c r="BA131" s="68"/>
      <c r="BB131" s="68"/>
      <c r="BC131" s="68"/>
      <c r="BD131" s="68"/>
      <c r="BE131" s="68"/>
      <c r="BF131" s="66"/>
      <c r="BG131" s="66"/>
      <c r="BH131" s="66"/>
      <c r="BI131" s="66"/>
      <c r="BJ131" s="66"/>
      <c r="BK131" s="66"/>
      <c r="BL131" s="66"/>
      <c r="BM131" s="66"/>
      <c r="BN131" s="66"/>
      <c r="BO131" s="66"/>
      <c r="BP131" s="66"/>
      <c r="BQ131" s="66"/>
      <c r="BR131" s="66"/>
      <c r="BS131" s="66"/>
      <c r="BT131" s="66"/>
      <c r="BU131" s="66"/>
      <c r="BV131" s="66"/>
      <c r="BW131" s="66"/>
      <c r="BX131" s="66"/>
      <c r="BY131" s="66"/>
      <c r="BZ131" s="66"/>
      <c r="CA131" s="66"/>
      <c r="CB131" s="66"/>
      <c r="CC131" s="66"/>
      <c r="CD131" s="66"/>
      <c r="CE131" s="66"/>
      <c r="CF131" s="68"/>
      <c r="CG131" s="68"/>
      <c r="CH131" s="66"/>
      <c r="CI131" s="66"/>
      <c r="CJ131" s="68"/>
      <c r="CK131" s="68"/>
      <c r="CL131" s="68"/>
      <c r="CM131" s="68"/>
      <c r="CN131" s="66"/>
      <c r="CO131" s="68"/>
      <c r="CP131" s="66"/>
      <c r="CQ131" s="68"/>
      <c r="CR131" s="68"/>
      <c r="CS131" s="68"/>
      <c r="CT131" s="68"/>
      <c r="CU131" s="68"/>
      <c r="CV131" s="68"/>
      <c r="CW131" s="68"/>
      <c r="CX131" s="68"/>
      <c r="CY131" s="68"/>
      <c r="CZ131" s="68"/>
      <c r="DA131" s="68"/>
      <c r="DB131" s="68"/>
      <c r="DC131" s="68"/>
      <c r="DD131" s="68"/>
      <c r="DE131" s="68"/>
      <c r="DF131" s="68"/>
      <c r="DG131" s="68"/>
      <c r="DH131" s="68"/>
      <c r="DI131" s="68"/>
      <c r="DJ131" s="68"/>
      <c r="DK131" s="68"/>
      <c r="DL131" s="68"/>
      <c r="DM131" s="68"/>
      <c r="DN131" s="68"/>
      <c r="DO131" s="68"/>
      <c r="DP131" s="68"/>
      <c r="DQ131" s="99"/>
      <c r="DR131" s="99"/>
      <c r="DS131" s="68"/>
      <c r="DT131" s="68"/>
      <c r="DU131" s="68"/>
      <c r="DV131" s="68"/>
      <c r="DW131" s="68"/>
      <c r="DX131" s="68"/>
      <c r="DY131" s="68"/>
      <c r="DZ131" s="68"/>
      <c r="EA131" s="68"/>
      <c r="EB131" s="68"/>
      <c r="EC131" s="68"/>
      <c r="ED131" s="68"/>
      <c r="EE131" s="68"/>
      <c r="EF131" s="68"/>
      <c r="EG131" s="68"/>
      <c r="EH131" s="68"/>
      <c r="EI131" s="68"/>
      <c r="EJ131" s="68"/>
      <c r="EK131" s="68"/>
      <c r="EL131" s="68"/>
      <c r="EM131" s="68"/>
      <c r="EN131" s="68"/>
      <c r="EO131" s="68"/>
      <c r="EP131" s="68"/>
      <c r="EQ131" s="68"/>
      <c r="ER131" s="3"/>
      <c r="ES131" s="3"/>
      <c r="EW131"/>
      <c r="EX131"/>
      <c r="EY131"/>
      <c r="FB131" s="1"/>
    </row>
    <row r="132" spans="3:158" ht="20.25" customHeight="1" x14ac:dyDescent="0.25">
      <c r="C132" s="1"/>
      <c r="D132" s="97"/>
      <c r="E132" s="97"/>
      <c r="F132" s="9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108"/>
      <c r="AO132" s="68"/>
      <c r="AP132" s="68"/>
      <c r="AQ132" s="68"/>
      <c r="AR132" s="68"/>
      <c r="AS132" s="68"/>
      <c r="AT132" s="66"/>
      <c r="AU132" s="68"/>
      <c r="AV132" s="68"/>
      <c r="AW132" s="68"/>
      <c r="AX132" s="66"/>
      <c r="AY132" s="68"/>
      <c r="AZ132" s="66"/>
      <c r="BA132" s="68"/>
      <c r="BB132" s="68"/>
      <c r="BC132" s="68"/>
      <c r="BD132" s="68"/>
      <c r="BE132" s="68"/>
      <c r="BF132" s="66"/>
      <c r="BG132" s="66"/>
      <c r="BH132" s="66"/>
      <c r="BI132" s="66"/>
      <c r="BJ132" s="66"/>
      <c r="BK132" s="66"/>
      <c r="BL132" s="66"/>
      <c r="BM132" s="66"/>
      <c r="BN132" s="66"/>
      <c r="BO132" s="66"/>
      <c r="BP132" s="66"/>
      <c r="BQ132" s="66"/>
      <c r="BR132" s="66"/>
      <c r="BS132" s="66"/>
      <c r="BT132" s="66"/>
      <c r="BU132" s="66"/>
      <c r="BV132" s="66"/>
      <c r="BW132" s="66"/>
      <c r="BX132" s="66"/>
      <c r="BY132" s="66"/>
      <c r="BZ132" s="66"/>
      <c r="CA132" s="66"/>
      <c r="CB132" s="66"/>
      <c r="CC132" s="66"/>
      <c r="CD132" s="66"/>
      <c r="CE132" s="66"/>
      <c r="CF132" s="68"/>
      <c r="CG132" s="68"/>
      <c r="CH132" s="66"/>
      <c r="CI132" s="66"/>
      <c r="CJ132" s="68"/>
      <c r="CK132" s="68"/>
      <c r="CL132" s="68"/>
      <c r="CM132" s="68"/>
      <c r="CN132" s="66"/>
      <c r="CO132" s="68"/>
      <c r="CP132" s="66"/>
      <c r="CQ132" s="68"/>
      <c r="CR132" s="68"/>
      <c r="CS132" s="68"/>
      <c r="CT132" s="68"/>
      <c r="CU132" s="68"/>
      <c r="CV132" s="68"/>
      <c r="CW132" s="68"/>
      <c r="CX132" s="68"/>
      <c r="CY132" s="68"/>
      <c r="CZ132" s="68"/>
      <c r="DA132" s="68"/>
      <c r="DB132" s="68"/>
      <c r="DC132" s="68"/>
      <c r="DD132" s="68"/>
      <c r="DE132" s="68"/>
      <c r="DF132" s="68"/>
      <c r="DG132" s="68"/>
      <c r="DH132" s="68"/>
      <c r="DI132" s="68"/>
      <c r="DJ132" s="68"/>
      <c r="DK132" s="68"/>
      <c r="DL132" s="68"/>
      <c r="DM132" s="68"/>
      <c r="DN132" s="68"/>
      <c r="DO132" s="68"/>
      <c r="DP132" s="68"/>
      <c r="DQ132" s="99"/>
      <c r="DR132" s="99"/>
      <c r="DS132" s="68"/>
      <c r="DT132" s="68"/>
      <c r="DU132" s="68"/>
      <c r="DV132" s="68"/>
      <c r="DW132" s="68"/>
      <c r="DX132" s="68"/>
      <c r="DY132" s="68"/>
      <c r="DZ132" s="68"/>
      <c r="EA132" s="68"/>
      <c r="EB132" s="68"/>
      <c r="EC132" s="68"/>
      <c r="ED132" s="68"/>
      <c r="EE132" s="68"/>
      <c r="EF132" s="68"/>
      <c r="EG132" s="68"/>
      <c r="EH132" s="68"/>
      <c r="EI132" s="68"/>
      <c r="EJ132" s="68"/>
      <c r="EK132" s="68"/>
      <c r="EL132" s="68"/>
      <c r="EM132" s="68"/>
      <c r="EN132" s="68"/>
      <c r="EO132" s="68"/>
      <c r="EP132" s="68"/>
      <c r="EQ132" s="68"/>
      <c r="ER132" s="3"/>
      <c r="ES132" s="3"/>
      <c r="EW132"/>
      <c r="EX132"/>
      <c r="EY132"/>
      <c r="FB132" s="1"/>
    </row>
    <row r="133" spans="3:158" ht="20.25" customHeight="1" x14ac:dyDescent="0.25">
      <c r="C133" s="1"/>
      <c r="D133" s="97"/>
      <c r="E133" s="97"/>
      <c r="F133" s="9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108"/>
      <c r="AO133" s="68"/>
      <c r="AP133" s="68"/>
      <c r="AQ133" s="68"/>
      <c r="AR133" s="68"/>
      <c r="AS133" s="68"/>
      <c r="AT133" s="66"/>
      <c r="AU133" s="68"/>
      <c r="AV133" s="68"/>
      <c r="AW133" s="68"/>
      <c r="AX133" s="66"/>
      <c r="AY133" s="68"/>
      <c r="AZ133" s="66"/>
      <c r="BA133" s="68"/>
      <c r="BB133" s="68"/>
      <c r="BC133" s="68"/>
      <c r="BD133" s="68"/>
      <c r="BE133" s="68"/>
      <c r="BF133" s="66"/>
      <c r="BG133" s="66"/>
      <c r="BH133" s="66"/>
      <c r="BI133" s="66"/>
      <c r="BJ133" s="66"/>
      <c r="BK133" s="66"/>
      <c r="BL133" s="66"/>
      <c r="BM133" s="66"/>
      <c r="BN133" s="66"/>
      <c r="BO133" s="66"/>
      <c r="BP133" s="66"/>
      <c r="BQ133" s="66"/>
      <c r="BR133" s="66"/>
      <c r="BS133" s="66"/>
      <c r="BT133" s="66"/>
      <c r="BU133" s="66"/>
      <c r="BV133" s="66"/>
      <c r="BW133" s="66"/>
      <c r="BX133" s="66"/>
      <c r="BY133" s="66"/>
      <c r="BZ133" s="66"/>
      <c r="CA133" s="66"/>
      <c r="CB133" s="66"/>
      <c r="CC133" s="66"/>
      <c r="CD133" s="66"/>
      <c r="CE133" s="66"/>
      <c r="CF133" s="68"/>
      <c r="CG133" s="68"/>
      <c r="CH133" s="66"/>
      <c r="CI133" s="66"/>
      <c r="CJ133" s="68"/>
      <c r="CK133" s="68"/>
      <c r="CL133" s="68"/>
      <c r="CM133" s="68"/>
      <c r="CN133" s="66"/>
      <c r="CO133" s="68"/>
      <c r="CP133" s="66"/>
      <c r="CQ133" s="68"/>
      <c r="CR133" s="68"/>
      <c r="CS133" s="68"/>
      <c r="CT133" s="68"/>
      <c r="CU133" s="68"/>
      <c r="CV133" s="68"/>
      <c r="CW133" s="68"/>
      <c r="CX133" s="68"/>
      <c r="CY133" s="68"/>
      <c r="CZ133" s="68"/>
      <c r="DA133" s="68"/>
      <c r="DB133" s="68"/>
      <c r="DC133" s="68"/>
      <c r="DD133" s="68"/>
      <c r="DE133" s="68"/>
      <c r="DF133" s="68"/>
      <c r="DG133" s="68"/>
      <c r="DH133" s="68"/>
      <c r="DI133" s="68"/>
      <c r="DJ133" s="68"/>
      <c r="DK133" s="68"/>
      <c r="DL133" s="68"/>
      <c r="DM133" s="68"/>
      <c r="DN133" s="68"/>
      <c r="DO133" s="68"/>
      <c r="DP133" s="68"/>
      <c r="DQ133" s="99"/>
      <c r="DR133" s="99"/>
      <c r="DS133" s="68"/>
      <c r="DT133" s="68"/>
      <c r="DU133" s="68"/>
      <c r="DV133" s="68"/>
      <c r="DW133" s="68"/>
      <c r="DX133" s="68"/>
      <c r="DY133" s="68"/>
      <c r="DZ133" s="68"/>
      <c r="EA133" s="68"/>
      <c r="EB133" s="68"/>
      <c r="EC133" s="68"/>
      <c r="ED133" s="68"/>
      <c r="EE133" s="68"/>
      <c r="EF133" s="68"/>
      <c r="EG133" s="68"/>
      <c r="EH133" s="68"/>
      <c r="EI133" s="68"/>
      <c r="EJ133" s="68"/>
      <c r="EK133" s="68"/>
      <c r="EL133" s="68"/>
      <c r="EM133" s="68"/>
      <c r="EN133" s="68"/>
      <c r="EO133" s="68"/>
      <c r="EP133" s="68"/>
      <c r="EQ133" s="68"/>
      <c r="ER133" s="3"/>
      <c r="ES133" s="3"/>
      <c r="EW133"/>
      <c r="EX133"/>
      <c r="EY133"/>
      <c r="FB133" s="1"/>
    </row>
    <row r="134" spans="3:158" ht="20.25" customHeight="1" x14ac:dyDescent="0.25">
      <c r="C134" s="1"/>
      <c r="D134" s="97"/>
      <c r="E134" s="97"/>
      <c r="F134" s="9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108"/>
      <c r="AO134" s="68"/>
      <c r="AP134" s="68"/>
      <c r="AQ134" s="68"/>
      <c r="AR134" s="68"/>
      <c r="AS134" s="68"/>
      <c r="AT134" s="66"/>
      <c r="AU134" s="68"/>
      <c r="AV134" s="68"/>
      <c r="AW134" s="68"/>
      <c r="AX134" s="66"/>
      <c r="AY134" s="68"/>
      <c r="AZ134" s="66"/>
      <c r="BA134" s="68"/>
      <c r="BB134" s="68"/>
      <c r="BC134" s="68"/>
      <c r="BD134" s="68"/>
      <c r="BE134" s="68"/>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8"/>
      <c r="CG134" s="68"/>
      <c r="CH134" s="66"/>
      <c r="CI134" s="66"/>
      <c r="CJ134" s="68"/>
      <c r="CK134" s="68"/>
      <c r="CL134" s="68"/>
      <c r="CM134" s="68"/>
      <c r="CN134" s="66"/>
      <c r="CO134" s="68"/>
      <c r="CP134" s="66"/>
      <c r="CQ134" s="68"/>
      <c r="CR134" s="68"/>
      <c r="CS134" s="68"/>
      <c r="CT134" s="68"/>
      <c r="CU134" s="68"/>
      <c r="CV134" s="68"/>
      <c r="CW134" s="68"/>
      <c r="CX134" s="68"/>
      <c r="CY134" s="68"/>
      <c r="CZ134" s="68"/>
      <c r="DA134" s="68"/>
      <c r="DB134" s="68"/>
      <c r="DC134" s="68"/>
      <c r="DD134" s="68"/>
      <c r="DE134" s="68"/>
      <c r="DF134" s="68"/>
      <c r="DG134" s="68"/>
      <c r="DH134" s="68"/>
      <c r="DI134" s="68"/>
      <c r="DJ134" s="68"/>
      <c r="DK134" s="68"/>
      <c r="DL134" s="68"/>
      <c r="DM134" s="68"/>
      <c r="DN134" s="68"/>
      <c r="DO134" s="68"/>
      <c r="DP134" s="68"/>
      <c r="DQ134" s="99"/>
      <c r="DR134" s="99"/>
      <c r="DS134" s="68"/>
      <c r="DT134" s="68"/>
      <c r="DU134" s="68"/>
      <c r="DV134" s="68"/>
      <c r="DW134" s="68"/>
      <c r="DX134" s="68"/>
      <c r="DY134" s="68"/>
      <c r="DZ134" s="68"/>
      <c r="EA134" s="68"/>
      <c r="EB134" s="68"/>
      <c r="EC134" s="68"/>
      <c r="ED134" s="68"/>
      <c r="EE134" s="68"/>
      <c r="EF134" s="68"/>
      <c r="EG134" s="68"/>
      <c r="EH134" s="68"/>
      <c r="EI134" s="68"/>
      <c r="EJ134" s="68"/>
      <c r="EK134" s="68"/>
      <c r="EL134" s="68"/>
      <c r="EM134" s="68"/>
      <c r="EN134" s="68"/>
      <c r="EO134" s="68"/>
      <c r="EP134" s="68"/>
      <c r="EQ134" s="68"/>
      <c r="ER134" s="3"/>
      <c r="ES134" s="3"/>
      <c r="EW134"/>
      <c r="EX134"/>
      <c r="EY134"/>
      <c r="FB134" s="1"/>
    </row>
    <row r="135" spans="3:158" ht="20.25" customHeight="1" x14ac:dyDescent="0.25">
      <c r="C135" s="1"/>
      <c r="D135" s="97"/>
      <c r="E135" s="97"/>
      <c r="F135" s="9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108"/>
      <c r="AO135" s="68"/>
      <c r="AP135" s="68"/>
      <c r="AQ135" s="68"/>
      <c r="AR135" s="68"/>
      <c r="AS135" s="68"/>
      <c r="AT135" s="66"/>
      <c r="AU135" s="68"/>
      <c r="AV135" s="68"/>
      <c r="AW135" s="68"/>
      <c r="AX135" s="66"/>
      <c r="AY135" s="68"/>
      <c r="AZ135" s="66"/>
      <c r="BA135" s="68"/>
      <c r="BB135" s="68"/>
      <c r="BC135" s="68"/>
      <c r="BD135" s="68"/>
      <c r="BE135" s="68"/>
      <c r="BF135" s="66"/>
      <c r="BG135" s="66"/>
      <c r="BH135" s="66"/>
      <c r="BI135" s="66"/>
      <c r="BJ135" s="66"/>
      <c r="BK135" s="66"/>
      <c r="BL135" s="66"/>
      <c r="BM135" s="66"/>
      <c r="BN135" s="66"/>
      <c r="BO135" s="66"/>
      <c r="BP135" s="66"/>
      <c r="BQ135" s="66"/>
      <c r="BR135" s="66"/>
      <c r="BS135" s="66"/>
      <c r="BT135" s="66"/>
      <c r="BU135" s="66"/>
      <c r="BV135" s="66"/>
      <c r="BW135" s="66"/>
      <c r="BX135" s="66"/>
      <c r="BY135" s="66"/>
      <c r="BZ135" s="66"/>
      <c r="CA135" s="66"/>
      <c r="CB135" s="66"/>
      <c r="CC135" s="66"/>
      <c r="CD135" s="66"/>
      <c r="CE135" s="66"/>
      <c r="CF135" s="68"/>
      <c r="CG135" s="68"/>
      <c r="CH135" s="66"/>
      <c r="CI135" s="66"/>
      <c r="CJ135" s="68"/>
      <c r="CK135" s="68"/>
      <c r="CL135" s="68"/>
      <c r="CM135" s="68"/>
      <c r="CN135" s="66"/>
      <c r="CO135" s="68"/>
      <c r="CP135" s="66"/>
      <c r="CQ135" s="68"/>
      <c r="CR135" s="68"/>
      <c r="CS135" s="68"/>
      <c r="CT135" s="68"/>
      <c r="CU135" s="68"/>
      <c r="CV135" s="68"/>
      <c r="CW135" s="68"/>
      <c r="CX135" s="68"/>
      <c r="CY135" s="68"/>
      <c r="CZ135" s="68"/>
      <c r="DA135" s="68"/>
      <c r="DB135" s="68"/>
      <c r="DC135" s="68"/>
      <c r="DD135" s="68"/>
      <c r="DE135" s="68"/>
      <c r="DF135" s="68"/>
      <c r="DG135" s="68"/>
      <c r="DH135" s="68"/>
      <c r="DI135" s="68"/>
      <c r="DJ135" s="68"/>
      <c r="DK135" s="68"/>
      <c r="DL135" s="68"/>
      <c r="DM135" s="68"/>
      <c r="DN135" s="68"/>
      <c r="DO135" s="68"/>
      <c r="DP135" s="68"/>
      <c r="DQ135" s="99"/>
      <c r="DR135" s="99"/>
      <c r="DS135" s="68"/>
      <c r="DT135" s="68"/>
      <c r="DU135" s="68"/>
      <c r="DV135" s="68"/>
      <c r="DW135" s="68"/>
      <c r="DX135" s="68"/>
      <c r="DY135" s="68"/>
      <c r="DZ135" s="68"/>
      <c r="EA135" s="68"/>
      <c r="EB135" s="68"/>
      <c r="EC135" s="68"/>
      <c r="ED135" s="68"/>
      <c r="EE135" s="68"/>
      <c r="EF135" s="68"/>
      <c r="EG135" s="68"/>
      <c r="EH135" s="68"/>
      <c r="EI135" s="68"/>
      <c r="EJ135" s="68"/>
      <c r="EK135" s="68"/>
      <c r="EL135" s="68"/>
      <c r="EM135" s="68"/>
      <c r="EN135" s="68"/>
      <c r="EO135" s="68"/>
      <c r="EP135" s="68"/>
      <c r="EQ135" s="68"/>
      <c r="ER135" s="3"/>
      <c r="ES135" s="3"/>
      <c r="EW135"/>
      <c r="EX135"/>
      <c r="EY135"/>
      <c r="FB135" s="1"/>
    </row>
    <row r="136" spans="3:158" ht="20.25" customHeight="1" x14ac:dyDescent="0.25">
      <c r="C136" s="1"/>
      <c r="D136" s="97"/>
      <c r="E136" s="97"/>
      <c r="F136" s="9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108"/>
      <c r="AO136" s="68"/>
      <c r="AP136" s="68"/>
      <c r="AQ136" s="68"/>
      <c r="AR136" s="68"/>
      <c r="AS136" s="68"/>
      <c r="AT136" s="66"/>
      <c r="AU136" s="68"/>
      <c r="AV136" s="68"/>
      <c r="AW136" s="68"/>
      <c r="AX136" s="66"/>
      <c r="AY136" s="68"/>
      <c r="AZ136" s="66"/>
      <c r="BA136" s="68"/>
      <c r="BB136" s="68"/>
      <c r="BC136" s="68"/>
      <c r="BD136" s="68"/>
      <c r="BE136" s="68"/>
      <c r="BF136" s="66"/>
      <c r="BG136" s="66"/>
      <c r="BH136" s="66"/>
      <c r="BI136" s="66"/>
      <c r="BJ136" s="66"/>
      <c r="BK136" s="66"/>
      <c r="BL136" s="66"/>
      <c r="BM136" s="66"/>
      <c r="BN136" s="66"/>
      <c r="BO136" s="66"/>
      <c r="BP136" s="66"/>
      <c r="BQ136" s="66"/>
      <c r="BR136" s="66"/>
      <c r="BS136" s="66"/>
      <c r="BT136" s="66"/>
      <c r="BU136" s="66"/>
      <c r="BV136" s="66"/>
      <c r="BW136" s="66"/>
      <c r="BX136" s="66"/>
      <c r="BY136" s="66"/>
      <c r="BZ136" s="66"/>
      <c r="CA136" s="66"/>
      <c r="CB136" s="66"/>
      <c r="CC136" s="66"/>
      <c r="CD136" s="66"/>
      <c r="CE136" s="66"/>
      <c r="CF136" s="68"/>
      <c r="CG136" s="68"/>
      <c r="CH136" s="66"/>
      <c r="CI136" s="66"/>
      <c r="CJ136" s="68"/>
      <c r="CK136" s="68"/>
      <c r="CL136" s="68"/>
      <c r="CM136" s="68"/>
      <c r="CN136" s="66"/>
      <c r="CO136" s="68"/>
      <c r="CP136" s="66"/>
      <c r="CQ136" s="68"/>
      <c r="CR136" s="68"/>
      <c r="CS136" s="68"/>
      <c r="CT136" s="68"/>
      <c r="CU136" s="68"/>
      <c r="CV136" s="68"/>
      <c r="CW136" s="68"/>
      <c r="CX136" s="68"/>
      <c r="CY136" s="68"/>
      <c r="CZ136" s="68"/>
      <c r="DA136" s="68"/>
      <c r="DB136" s="68"/>
      <c r="DC136" s="68"/>
      <c r="DD136" s="68"/>
      <c r="DE136" s="68"/>
      <c r="DF136" s="68"/>
      <c r="DG136" s="68"/>
      <c r="DH136" s="68"/>
      <c r="DI136" s="68"/>
      <c r="DJ136" s="68"/>
      <c r="DK136" s="68"/>
      <c r="DL136" s="68"/>
      <c r="DM136" s="68"/>
      <c r="DN136" s="68"/>
      <c r="DO136" s="68"/>
      <c r="DP136" s="68"/>
      <c r="DQ136" s="99"/>
      <c r="DR136" s="99"/>
      <c r="DS136" s="68"/>
      <c r="DT136" s="68"/>
      <c r="DU136" s="68"/>
      <c r="DV136" s="68"/>
      <c r="DW136" s="68"/>
      <c r="DX136" s="68"/>
      <c r="DY136" s="68"/>
      <c r="DZ136" s="68"/>
      <c r="EA136" s="68"/>
      <c r="EB136" s="68"/>
      <c r="EC136" s="68"/>
      <c r="ED136" s="68"/>
      <c r="EE136" s="68"/>
      <c r="EF136" s="68"/>
      <c r="EG136" s="68"/>
      <c r="EH136" s="68"/>
      <c r="EI136" s="68"/>
      <c r="EJ136" s="68"/>
      <c r="EK136" s="68"/>
      <c r="EL136" s="68"/>
      <c r="EM136" s="68"/>
      <c r="EN136" s="68"/>
      <c r="EO136" s="68"/>
      <c r="EP136" s="68"/>
      <c r="EQ136" s="68"/>
      <c r="ER136" s="3"/>
      <c r="ES136" s="3"/>
      <c r="EW136"/>
      <c r="EX136"/>
      <c r="EY136"/>
      <c r="FB136" s="1"/>
    </row>
    <row r="137" spans="3:158" ht="20.25" customHeight="1" x14ac:dyDescent="0.25">
      <c r="C137" s="1"/>
      <c r="D137" s="97"/>
      <c r="E137" s="97"/>
      <c r="F137" s="9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108"/>
      <c r="AO137" s="68"/>
      <c r="AP137" s="68"/>
      <c r="AQ137" s="68"/>
      <c r="AR137" s="68"/>
      <c r="AS137" s="68"/>
      <c r="AT137" s="66"/>
      <c r="AU137" s="68"/>
      <c r="AV137" s="68"/>
      <c r="AW137" s="68"/>
      <c r="AX137" s="66"/>
      <c r="AY137" s="68"/>
      <c r="AZ137" s="66"/>
      <c r="BA137" s="68"/>
      <c r="BB137" s="68"/>
      <c r="BC137" s="68"/>
      <c r="BD137" s="68"/>
      <c r="BE137" s="68"/>
      <c r="BF137" s="66"/>
      <c r="BG137" s="66"/>
      <c r="BH137" s="66"/>
      <c r="BI137" s="66"/>
      <c r="BJ137" s="66"/>
      <c r="BK137" s="66"/>
      <c r="BL137" s="66"/>
      <c r="BM137" s="66"/>
      <c r="BN137" s="66"/>
      <c r="BO137" s="66"/>
      <c r="BP137" s="66"/>
      <c r="BQ137" s="66"/>
      <c r="BR137" s="66"/>
      <c r="BS137" s="66"/>
      <c r="BT137" s="66"/>
      <c r="BU137" s="66"/>
      <c r="BV137" s="66"/>
      <c r="BW137" s="66"/>
      <c r="BX137" s="66"/>
      <c r="BY137" s="66"/>
      <c r="BZ137" s="66"/>
      <c r="CA137" s="66"/>
      <c r="CB137" s="66"/>
      <c r="CC137" s="66"/>
      <c r="CD137" s="66"/>
      <c r="CE137" s="66"/>
      <c r="CF137" s="68"/>
      <c r="CG137" s="68"/>
      <c r="CH137" s="66"/>
      <c r="CI137" s="66"/>
      <c r="CJ137" s="68"/>
      <c r="CK137" s="68"/>
      <c r="CL137" s="68"/>
      <c r="CM137" s="68"/>
      <c r="CN137" s="66"/>
      <c r="CO137" s="68"/>
      <c r="CP137" s="66"/>
      <c r="CQ137" s="68"/>
      <c r="CR137" s="68"/>
      <c r="CS137" s="68"/>
      <c r="CT137" s="68"/>
      <c r="CU137" s="68"/>
      <c r="CV137" s="68"/>
      <c r="CW137" s="68"/>
      <c r="CX137" s="68"/>
      <c r="CY137" s="68"/>
      <c r="CZ137" s="68"/>
      <c r="DA137" s="68"/>
      <c r="DB137" s="68"/>
      <c r="DC137" s="68"/>
      <c r="DD137" s="68"/>
      <c r="DE137" s="68"/>
      <c r="DF137" s="68"/>
      <c r="DG137" s="68"/>
      <c r="DH137" s="68"/>
      <c r="DI137" s="68"/>
      <c r="DJ137" s="68"/>
      <c r="DK137" s="68"/>
      <c r="DL137" s="68"/>
      <c r="DM137" s="68"/>
      <c r="DN137" s="68"/>
      <c r="DO137" s="68"/>
      <c r="DP137" s="68"/>
      <c r="DQ137" s="99"/>
      <c r="DR137" s="99"/>
      <c r="DS137" s="68"/>
      <c r="DT137" s="68"/>
      <c r="DU137" s="68"/>
      <c r="DV137" s="68"/>
      <c r="DW137" s="68"/>
      <c r="DX137" s="68"/>
      <c r="DY137" s="68"/>
      <c r="DZ137" s="68"/>
      <c r="EA137" s="68"/>
      <c r="EB137" s="68"/>
      <c r="EC137" s="68"/>
      <c r="ED137" s="68"/>
      <c r="EE137" s="68"/>
      <c r="EF137" s="68"/>
      <c r="EG137" s="68"/>
      <c r="EH137" s="68"/>
      <c r="EI137" s="68"/>
      <c r="EJ137" s="68"/>
      <c r="EK137" s="68"/>
      <c r="EL137" s="68"/>
      <c r="EM137" s="68"/>
      <c r="EN137" s="68"/>
      <c r="EO137" s="68"/>
      <c r="EP137" s="68"/>
      <c r="EQ137" s="68"/>
      <c r="ER137" s="3"/>
      <c r="ES137" s="3"/>
      <c r="EW137"/>
      <c r="EX137"/>
      <c r="EY137"/>
      <c r="FB137" s="1"/>
    </row>
    <row r="138" spans="3:158" ht="20.25" customHeight="1" x14ac:dyDescent="0.25">
      <c r="C138" s="1"/>
      <c r="D138" s="97"/>
      <c r="E138" s="97"/>
      <c r="F138" s="9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108"/>
      <c r="AO138" s="68"/>
      <c r="AP138" s="68"/>
      <c r="AQ138" s="68"/>
      <c r="AR138" s="68"/>
      <c r="AS138" s="68"/>
      <c r="AT138" s="66"/>
      <c r="AU138" s="68"/>
      <c r="AV138" s="68"/>
      <c r="AW138" s="68"/>
      <c r="AX138" s="66"/>
      <c r="AY138" s="68"/>
      <c r="AZ138" s="66"/>
      <c r="BA138" s="68"/>
      <c r="BB138" s="68"/>
      <c r="BC138" s="68"/>
      <c r="BD138" s="68"/>
      <c r="BE138" s="68"/>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8"/>
      <c r="CG138" s="68"/>
      <c r="CH138" s="66"/>
      <c r="CI138" s="66"/>
      <c r="CJ138" s="68"/>
      <c r="CK138" s="68"/>
      <c r="CL138" s="68"/>
      <c r="CM138" s="68"/>
      <c r="CN138" s="66"/>
      <c r="CO138" s="68"/>
      <c r="CP138" s="66"/>
      <c r="CQ138" s="68"/>
      <c r="CR138" s="68"/>
      <c r="CS138" s="68"/>
      <c r="CT138" s="68"/>
      <c r="CU138" s="68"/>
      <c r="CV138" s="68"/>
      <c r="CW138" s="68"/>
      <c r="CX138" s="68"/>
      <c r="CY138" s="68"/>
      <c r="CZ138" s="68"/>
      <c r="DA138" s="68"/>
      <c r="DB138" s="68"/>
      <c r="DC138" s="68"/>
      <c r="DD138" s="68"/>
      <c r="DE138" s="68"/>
      <c r="DF138" s="68"/>
      <c r="DG138" s="68"/>
      <c r="DH138" s="68"/>
      <c r="DI138" s="68"/>
      <c r="DJ138" s="68"/>
      <c r="DK138" s="68"/>
      <c r="DL138" s="68"/>
      <c r="DM138" s="68"/>
      <c r="DN138" s="68"/>
      <c r="DO138" s="68"/>
      <c r="DP138" s="68"/>
      <c r="DQ138" s="99"/>
      <c r="DR138" s="99"/>
      <c r="DS138" s="68"/>
      <c r="DT138" s="68"/>
      <c r="DU138" s="68"/>
      <c r="DV138" s="68"/>
      <c r="DW138" s="68"/>
      <c r="DX138" s="68"/>
      <c r="DY138" s="68"/>
      <c r="DZ138" s="68"/>
      <c r="EA138" s="68"/>
      <c r="EB138" s="68"/>
      <c r="EC138" s="68"/>
      <c r="ED138" s="68"/>
      <c r="EE138" s="68"/>
      <c r="EF138" s="68"/>
      <c r="EG138" s="68"/>
      <c r="EH138" s="68"/>
      <c r="EI138" s="68"/>
      <c r="EJ138" s="68"/>
      <c r="EK138" s="68"/>
      <c r="EL138" s="68"/>
      <c r="EM138" s="68"/>
      <c r="EN138" s="68"/>
      <c r="EO138" s="68"/>
      <c r="EP138" s="68"/>
      <c r="EQ138" s="68"/>
      <c r="ER138" s="3"/>
      <c r="ES138" s="3"/>
      <c r="EW138"/>
      <c r="EX138"/>
      <c r="EY138"/>
      <c r="FB138" s="1"/>
    </row>
    <row r="139" spans="3:158" ht="20.25" customHeight="1" x14ac:dyDescent="0.25">
      <c r="C139" s="1"/>
      <c r="D139" s="97"/>
      <c r="E139" s="97"/>
      <c r="F139" s="9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108"/>
      <c r="AO139" s="68"/>
      <c r="AP139" s="68"/>
      <c r="AQ139" s="68"/>
      <c r="AR139" s="68"/>
      <c r="AS139" s="68"/>
      <c r="AT139" s="66"/>
      <c r="AU139" s="68"/>
      <c r="AV139" s="68"/>
      <c r="AW139" s="68"/>
      <c r="AX139" s="66"/>
      <c r="AY139" s="68"/>
      <c r="AZ139" s="66"/>
      <c r="BA139" s="68"/>
      <c r="BB139" s="68"/>
      <c r="BC139" s="68"/>
      <c r="BD139" s="68"/>
      <c r="BE139" s="68"/>
      <c r="BF139" s="66"/>
      <c r="BG139" s="66"/>
      <c r="BH139" s="66"/>
      <c r="BI139" s="66"/>
      <c r="BJ139" s="66"/>
      <c r="BK139" s="66"/>
      <c r="BL139" s="66"/>
      <c r="BM139" s="66"/>
      <c r="BN139" s="66"/>
      <c r="BO139" s="66"/>
      <c r="BP139" s="66"/>
      <c r="BQ139" s="66"/>
      <c r="BR139" s="66"/>
      <c r="BS139" s="66"/>
      <c r="BT139" s="66"/>
      <c r="BU139" s="66"/>
      <c r="BV139" s="66"/>
      <c r="BW139" s="66"/>
      <c r="BX139" s="66"/>
      <c r="BY139" s="66"/>
      <c r="BZ139" s="66"/>
      <c r="CA139" s="66"/>
      <c r="CB139" s="66"/>
      <c r="CC139" s="66"/>
      <c r="CD139" s="66"/>
      <c r="CE139" s="66"/>
      <c r="CF139" s="68"/>
      <c r="CG139" s="68"/>
      <c r="CH139" s="66"/>
      <c r="CI139" s="66"/>
      <c r="CJ139" s="68"/>
      <c r="CK139" s="68"/>
      <c r="CL139" s="68"/>
      <c r="CM139" s="68"/>
      <c r="CN139" s="66"/>
      <c r="CO139" s="68"/>
      <c r="CP139" s="66"/>
      <c r="CQ139" s="68"/>
      <c r="CR139" s="68"/>
      <c r="CS139" s="68"/>
      <c r="CT139" s="68"/>
      <c r="CU139" s="68"/>
      <c r="CV139" s="68"/>
      <c r="CW139" s="68"/>
      <c r="CX139" s="68"/>
      <c r="CY139" s="68"/>
      <c r="CZ139" s="68"/>
      <c r="DA139" s="68"/>
      <c r="DB139" s="68"/>
      <c r="DC139" s="68"/>
      <c r="DD139" s="68"/>
      <c r="DE139" s="68"/>
      <c r="DF139" s="68"/>
      <c r="DG139" s="68"/>
      <c r="DH139" s="68"/>
      <c r="DI139" s="68"/>
      <c r="DJ139" s="68"/>
      <c r="DK139" s="68"/>
      <c r="DL139" s="68"/>
      <c r="DM139" s="68"/>
      <c r="DN139" s="68"/>
      <c r="DO139" s="68"/>
      <c r="DP139" s="68"/>
      <c r="DQ139" s="99"/>
      <c r="DR139" s="99"/>
      <c r="DS139" s="68"/>
      <c r="DT139" s="68"/>
      <c r="DU139" s="68"/>
      <c r="DV139" s="68"/>
      <c r="DW139" s="68"/>
      <c r="DX139" s="68"/>
      <c r="DY139" s="68"/>
      <c r="DZ139" s="68"/>
      <c r="EA139" s="68"/>
      <c r="EB139" s="68"/>
      <c r="EC139" s="68"/>
      <c r="ED139" s="68"/>
      <c r="EE139" s="68"/>
      <c r="EF139" s="68"/>
      <c r="EG139" s="68"/>
      <c r="EH139" s="68"/>
      <c r="EI139" s="68"/>
      <c r="EJ139" s="68"/>
      <c r="EK139" s="68"/>
      <c r="EL139" s="68"/>
      <c r="EM139" s="68"/>
      <c r="EN139" s="68"/>
      <c r="EO139" s="68"/>
      <c r="EP139" s="68"/>
      <c r="EQ139" s="68"/>
      <c r="ER139" s="3"/>
      <c r="ES139" s="3"/>
      <c r="EW139"/>
      <c r="EX139"/>
      <c r="EY139"/>
      <c r="FB139" s="1"/>
    </row>
    <row r="140" spans="3:158" ht="20.25" customHeight="1" x14ac:dyDescent="0.25">
      <c r="C140" s="1"/>
      <c r="D140" s="97"/>
      <c r="E140" s="97"/>
      <c r="F140" s="9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108"/>
      <c r="AO140" s="68"/>
      <c r="AP140" s="68"/>
      <c r="AQ140" s="68"/>
      <c r="AR140" s="68"/>
      <c r="AS140" s="68"/>
      <c r="AT140" s="66"/>
      <c r="AU140" s="68"/>
      <c r="AV140" s="68"/>
      <c r="AW140" s="68"/>
      <c r="AX140" s="66"/>
      <c r="AY140" s="68"/>
      <c r="AZ140" s="66"/>
      <c r="BA140" s="68"/>
      <c r="BB140" s="68"/>
      <c r="BC140" s="68"/>
      <c r="BD140" s="68"/>
      <c r="BE140" s="68"/>
      <c r="BF140" s="66"/>
      <c r="BG140" s="66"/>
      <c r="BH140" s="66"/>
      <c r="BI140" s="66"/>
      <c r="BJ140" s="66"/>
      <c r="BK140" s="66"/>
      <c r="BL140" s="66"/>
      <c r="BM140" s="66"/>
      <c r="BN140" s="66"/>
      <c r="BO140" s="66"/>
      <c r="BP140" s="66"/>
      <c r="BQ140" s="66"/>
      <c r="BR140" s="66"/>
      <c r="BS140" s="66"/>
      <c r="BT140" s="66"/>
      <c r="BU140" s="66"/>
      <c r="BV140" s="66"/>
      <c r="BW140" s="66"/>
      <c r="BX140" s="66"/>
      <c r="BY140" s="66"/>
      <c r="BZ140" s="66"/>
      <c r="CA140" s="66"/>
      <c r="CB140" s="66"/>
      <c r="CC140" s="66"/>
      <c r="CD140" s="66"/>
      <c r="CE140" s="66"/>
      <c r="CF140" s="68"/>
      <c r="CG140" s="68"/>
      <c r="CH140" s="66"/>
      <c r="CI140" s="66"/>
      <c r="CJ140" s="68"/>
      <c r="CK140" s="68"/>
      <c r="CL140" s="68"/>
      <c r="CM140" s="68"/>
      <c r="CN140" s="66"/>
      <c r="CO140" s="68"/>
      <c r="CP140" s="66"/>
      <c r="CQ140" s="68"/>
      <c r="CR140" s="68"/>
      <c r="CS140" s="68"/>
      <c r="CT140" s="68"/>
      <c r="CU140" s="68"/>
      <c r="CV140" s="68"/>
      <c r="CW140" s="68"/>
      <c r="CX140" s="68"/>
      <c r="CY140" s="68"/>
      <c r="CZ140" s="68"/>
      <c r="DA140" s="68"/>
      <c r="DB140" s="68"/>
      <c r="DC140" s="68"/>
      <c r="DD140" s="68"/>
      <c r="DE140" s="68"/>
      <c r="DF140" s="68"/>
      <c r="DG140" s="68"/>
      <c r="DH140" s="68"/>
      <c r="DI140" s="68"/>
      <c r="DJ140" s="68"/>
      <c r="DK140" s="68"/>
      <c r="DL140" s="68"/>
      <c r="DM140" s="68"/>
      <c r="DN140" s="68"/>
      <c r="DO140" s="68"/>
      <c r="DP140" s="68"/>
      <c r="DQ140" s="99"/>
      <c r="DR140" s="99"/>
      <c r="DS140" s="68"/>
      <c r="DT140" s="68"/>
      <c r="DU140" s="68"/>
      <c r="DV140" s="68"/>
      <c r="DW140" s="68"/>
      <c r="DX140" s="68"/>
      <c r="DY140" s="68"/>
      <c r="DZ140" s="68"/>
      <c r="EA140" s="68"/>
      <c r="EB140" s="68"/>
      <c r="EC140" s="68"/>
      <c r="ED140" s="68"/>
      <c r="EE140" s="68"/>
      <c r="EF140" s="68"/>
      <c r="EG140" s="68"/>
      <c r="EH140" s="68"/>
      <c r="EI140" s="68"/>
      <c r="EJ140" s="68"/>
      <c r="EK140" s="68"/>
      <c r="EL140" s="68"/>
      <c r="EM140" s="68"/>
      <c r="EN140" s="68"/>
      <c r="EO140" s="68"/>
      <c r="EP140" s="68"/>
      <c r="EQ140" s="68"/>
      <c r="ER140" s="3"/>
      <c r="ES140" s="3"/>
      <c r="EW140"/>
      <c r="EX140"/>
      <c r="EY140"/>
      <c r="FB140" s="1"/>
    </row>
    <row r="141" spans="3:158" ht="20.25" customHeight="1" x14ac:dyDescent="0.25">
      <c r="C141" s="1"/>
      <c r="D141" s="97"/>
      <c r="E141" s="97"/>
      <c r="F141" s="9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108"/>
      <c r="AO141" s="68"/>
      <c r="AP141" s="68"/>
      <c r="AQ141" s="68"/>
      <c r="AR141" s="68"/>
      <c r="AS141" s="68"/>
      <c r="AT141" s="66"/>
      <c r="AU141" s="68"/>
      <c r="AV141" s="68"/>
      <c r="AW141" s="68"/>
      <c r="AX141" s="66"/>
      <c r="AY141" s="68"/>
      <c r="AZ141" s="66"/>
      <c r="BA141" s="68"/>
      <c r="BB141" s="68"/>
      <c r="BC141" s="68"/>
      <c r="BD141" s="68"/>
      <c r="BE141" s="68"/>
      <c r="BF141" s="66"/>
      <c r="BG141" s="66"/>
      <c r="BH141" s="66"/>
      <c r="BI141" s="66"/>
      <c r="BJ141" s="66"/>
      <c r="BK141" s="66"/>
      <c r="BL141" s="66"/>
      <c r="BM141" s="66"/>
      <c r="BN141" s="66"/>
      <c r="BO141" s="66"/>
      <c r="BP141" s="66"/>
      <c r="BQ141" s="66"/>
      <c r="BR141" s="66"/>
      <c r="BS141" s="66"/>
      <c r="BT141" s="66"/>
      <c r="BU141" s="66"/>
      <c r="BV141" s="66"/>
      <c r="BW141" s="66"/>
      <c r="BX141" s="66"/>
      <c r="BY141" s="66"/>
      <c r="BZ141" s="66"/>
      <c r="CA141" s="66"/>
      <c r="CB141" s="66"/>
      <c r="CC141" s="66"/>
      <c r="CD141" s="66"/>
      <c r="CE141" s="66"/>
      <c r="CF141" s="68"/>
      <c r="CG141" s="68"/>
      <c r="CH141" s="66"/>
      <c r="CI141" s="66"/>
      <c r="CJ141" s="68"/>
      <c r="CK141" s="68"/>
      <c r="CL141" s="68"/>
      <c r="CM141" s="68"/>
      <c r="CN141" s="66"/>
      <c r="CO141" s="68"/>
      <c r="CP141" s="66"/>
      <c r="CQ141" s="68"/>
      <c r="CR141" s="68"/>
      <c r="CS141" s="68"/>
      <c r="CT141" s="68"/>
      <c r="CU141" s="68"/>
      <c r="CV141" s="68"/>
      <c r="CW141" s="68"/>
      <c r="CX141" s="68"/>
      <c r="CY141" s="68"/>
      <c r="CZ141" s="68"/>
      <c r="DA141" s="68"/>
      <c r="DB141" s="68"/>
      <c r="DC141" s="68"/>
      <c r="DD141" s="68"/>
      <c r="DE141" s="68"/>
      <c r="DF141" s="68"/>
      <c r="DG141" s="68"/>
      <c r="DH141" s="68"/>
      <c r="DI141" s="68"/>
      <c r="DJ141" s="68"/>
      <c r="DK141" s="68"/>
      <c r="DL141" s="68"/>
      <c r="DM141" s="68"/>
      <c r="DN141" s="68"/>
      <c r="DO141" s="68"/>
      <c r="DP141" s="68"/>
      <c r="DQ141" s="99"/>
      <c r="DR141" s="99"/>
      <c r="DS141" s="68"/>
      <c r="DT141" s="68"/>
      <c r="DU141" s="68"/>
      <c r="DV141" s="68"/>
      <c r="DW141" s="68"/>
      <c r="DX141" s="68"/>
      <c r="DY141" s="68"/>
      <c r="DZ141" s="68"/>
      <c r="EA141" s="68"/>
      <c r="EB141" s="68"/>
      <c r="EC141" s="68"/>
      <c r="ED141" s="68"/>
      <c r="EE141" s="68"/>
      <c r="EF141" s="68"/>
      <c r="EG141" s="68"/>
      <c r="EH141" s="68"/>
      <c r="EI141" s="68"/>
      <c r="EJ141" s="68"/>
      <c r="EK141" s="68"/>
      <c r="EL141" s="68"/>
      <c r="EM141" s="68"/>
      <c r="EN141" s="68"/>
      <c r="EO141" s="68"/>
      <c r="EP141" s="68"/>
      <c r="EQ141" s="68"/>
      <c r="ER141" s="3"/>
      <c r="ES141" s="3"/>
      <c r="EW141"/>
      <c r="EX141"/>
      <c r="EY141"/>
      <c r="FB141" s="1"/>
    </row>
    <row r="142" spans="3:158" ht="20.25" customHeight="1" x14ac:dyDescent="0.25">
      <c r="C142" s="1"/>
      <c r="D142" s="97"/>
      <c r="E142" s="97"/>
      <c r="F142" s="9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108"/>
      <c r="AO142" s="68"/>
      <c r="AP142" s="68"/>
      <c r="AQ142" s="68"/>
      <c r="AR142" s="68"/>
      <c r="AS142" s="68"/>
      <c r="AT142" s="66"/>
      <c r="AU142" s="68"/>
      <c r="AV142" s="68"/>
      <c r="AW142" s="68"/>
      <c r="AX142" s="66"/>
      <c r="AY142" s="68"/>
      <c r="AZ142" s="66"/>
      <c r="BA142" s="68"/>
      <c r="BB142" s="68"/>
      <c r="BC142" s="68"/>
      <c r="BD142" s="68"/>
      <c r="BE142" s="68"/>
      <c r="BF142" s="66"/>
      <c r="BG142" s="66"/>
      <c r="BH142" s="66"/>
      <c r="BI142" s="66"/>
      <c r="BJ142" s="66"/>
      <c r="BK142" s="66"/>
      <c r="BL142" s="66"/>
      <c r="BM142" s="66"/>
      <c r="BN142" s="66"/>
      <c r="BO142" s="66"/>
      <c r="BP142" s="66"/>
      <c r="BQ142" s="66"/>
      <c r="BR142" s="66"/>
      <c r="BS142" s="66"/>
      <c r="BT142" s="66"/>
      <c r="BU142" s="66"/>
      <c r="BV142" s="66"/>
      <c r="BW142" s="66"/>
      <c r="BX142" s="66"/>
      <c r="BY142" s="66"/>
      <c r="BZ142" s="66"/>
      <c r="CA142" s="66"/>
      <c r="CB142" s="66"/>
      <c r="CC142" s="66"/>
      <c r="CD142" s="66"/>
      <c r="CE142" s="66"/>
      <c r="CF142" s="68"/>
      <c r="CG142" s="68"/>
      <c r="CH142" s="66"/>
      <c r="CI142" s="66"/>
      <c r="CJ142" s="68"/>
      <c r="CK142" s="68"/>
      <c r="CL142" s="68"/>
      <c r="CM142" s="68"/>
      <c r="CN142" s="66"/>
      <c r="CO142" s="68"/>
      <c r="CP142" s="66"/>
      <c r="CQ142" s="68"/>
      <c r="CR142" s="68"/>
      <c r="CS142" s="68"/>
      <c r="CT142" s="68"/>
      <c r="CU142" s="68"/>
      <c r="CV142" s="68"/>
      <c r="CW142" s="68"/>
      <c r="CX142" s="68"/>
      <c r="CY142" s="68"/>
      <c r="CZ142" s="68"/>
      <c r="DA142" s="68"/>
      <c r="DB142" s="68"/>
      <c r="DC142" s="68"/>
      <c r="DD142" s="68"/>
      <c r="DE142" s="68"/>
      <c r="DF142" s="68"/>
      <c r="DG142" s="68"/>
      <c r="DH142" s="68"/>
      <c r="DI142" s="68"/>
      <c r="DJ142" s="68"/>
      <c r="DK142" s="68"/>
      <c r="DL142" s="68"/>
      <c r="DM142" s="68"/>
      <c r="DN142" s="68"/>
      <c r="DO142" s="68"/>
      <c r="DP142" s="68"/>
      <c r="DQ142" s="99"/>
      <c r="DR142" s="99"/>
      <c r="DS142" s="68"/>
      <c r="DT142" s="68"/>
      <c r="DU142" s="68"/>
      <c r="DV142" s="68"/>
      <c r="DW142" s="68"/>
      <c r="DX142" s="68"/>
      <c r="DY142" s="68"/>
      <c r="DZ142" s="68"/>
      <c r="EA142" s="68"/>
      <c r="EB142" s="68"/>
      <c r="EC142" s="68"/>
      <c r="ED142" s="68"/>
      <c r="EE142" s="68"/>
      <c r="EF142" s="68"/>
      <c r="EG142" s="68"/>
      <c r="EH142" s="68"/>
      <c r="EI142" s="68"/>
      <c r="EJ142" s="68"/>
      <c r="EK142" s="68"/>
      <c r="EL142" s="68"/>
      <c r="EM142" s="68"/>
      <c r="EN142" s="68"/>
      <c r="EO142" s="68"/>
      <c r="EP142" s="68"/>
      <c r="EQ142" s="68"/>
      <c r="ER142" s="3"/>
      <c r="ES142" s="3"/>
      <c r="EW142"/>
      <c r="EX142"/>
      <c r="EY142"/>
      <c r="FB142" s="1"/>
    </row>
    <row r="143" spans="3:158" ht="20.25" customHeight="1" x14ac:dyDescent="0.25">
      <c r="C143" s="1"/>
      <c r="D143" s="97"/>
      <c r="E143" s="97"/>
      <c r="F143" s="9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108"/>
      <c r="AO143" s="68"/>
      <c r="AP143" s="68"/>
      <c r="AQ143" s="68"/>
      <c r="AR143" s="68"/>
      <c r="AS143" s="68"/>
      <c r="AT143" s="66"/>
      <c r="AU143" s="68"/>
      <c r="AV143" s="68"/>
      <c r="AW143" s="68"/>
      <c r="AX143" s="66"/>
      <c r="AY143" s="68"/>
      <c r="AZ143" s="66"/>
      <c r="BA143" s="68"/>
      <c r="BB143" s="68"/>
      <c r="BC143" s="68"/>
      <c r="BD143" s="68"/>
      <c r="BE143" s="68"/>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66"/>
      <c r="CB143" s="66"/>
      <c r="CC143" s="66"/>
      <c r="CD143" s="66"/>
      <c r="CE143" s="66"/>
      <c r="CF143" s="68"/>
      <c r="CG143" s="68"/>
      <c r="CH143" s="66"/>
      <c r="CI143" s="66"/>
      <c r="CJ143" s="68"/>
      <c r="CK143" s="68"/>
      <c r="CL143" s="68"/>
      <c r="CM143" s="68"/>
      <c r="CN143" s="66"/>
      <c r="CO143" s="68"/>
      <c r="CP143" s="66"/>
      <c r="CQ143" s="68"/>
      <c r="CR143" s="68"/>
      <c r="CS143" s="68"/>
      <c r="CT143" s="68"/>
      <c r="CU143" s="68"/>
      <c r="CV143" s="68"/>
      <c r="CW143" s="68"/>
      <c r="CX143" s="68"/>
      <c r="CY143" s="68"/>
      <c r="CZ143" s="68"/>
      <c r="DA143" s="68"/>
      <c r="DB143" s="68"/>
      <c r="DC143" s="68"/>
      <c r="DD143" s="68"/>
      <c r="DE143" s="68"/>
      <c r="DF143" s="68"/>
      <c r="DG143" s="68"/>
      <c r="DH143" s="68"/>
      <c r="DI143" s="68"/>
      <c r="DJ143" s="68"/>
      <c r="DK143" s="68"/>
      <c r="DL143" s="68"/>
      <c r="DM143" s="68"/>
      <c r="DN143" s="68"/>
      <c r="DO143" s="68"/>
      <c r="DP143" s="68"/>
      <c r="DQ143" s="99"/>
      <c r="DR143" s="99"/>
      <c r="DS143" s="68"/>
      <c r="DT143" s="68"/>
      <c r="DU143" s="68"/>
      <c r="DV143" s="68"/>
      <c r="DW143" s="68"/>
      <c r="DX143" s="68"/>
      <c r="DY143" s="68"/>
      <c r="DZ143" s="68"/>
      <c r="EA143" s="68"/>
      <c r="EB143" s="68"/>
      <c r="EC143" s="68"/>
      <c r="ED143" s="68"/>
      <c r="EE143" s="68"/>
      <c r="EF143" s="68"/>
      <c r="EG143" s="68"/>
      <c r="EH143" s="68"/>
      <c r="EI143" s="68"/>
      <c r="EJ143" s="68"/>
      <c r="EK143" s="68"/>
      <c r="EL143" s="68"/>
      <c r="EM143" s="68"/>
      <c r="EN143" s="68"/>
      <c r="EO143" s="68"/>
      <c r="EP143" s="68"/>
      <c r="EQ143" s="68"/>
      <c r="ER143" s="3"/>
      <c r="ES143" s="3"/>
      <c r="EW143"/>
      <c r="EX143"/>
      <c r="EY143"/>
      <c r="FB143" s="1"/>
    </row>
    <row r="144" spans="3:158" ht="20.25" customHeight="1" x14ac:dyDescent="0.25">
      <c r="C144" s="1"/>
      <c r="D144" s="97"/>
      <c r="E144" s="97"/>
      <c r="F144" s="9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108"/>
      <c r="AO144" s="68"/>
      <c r="AP144" s="68"/>
      <c r="AQ144" s="68"/>
      <c r="AR144" s="68"/>
      <c r="AS144" s="68"/>
      <c r="AT144" s="66"/>
      <c r="AU144" s="68"/>
      <c r="AV144" s="68"/>
      <c r="AW144" s="68"/>
      <c r="AX144" s="66"/>
      <c r="AY144" s="68"/>
      <c r="AZ144" s="66"/>
      <c r="BA144" s="68"/>
      <c r="BB144" s="68"/>
      <c r="BC144" s="68"/>
      <c r="BD144" s="68"/>
      <c r="BE144" s="68"/>
      <c r="BF144" s="66"/>
      <c r="BG144" s="66"/>
      <c r="BH144" s="66"/>
      <c r="BI144" s="66"/>
      <c r="BJ144" s="66"/>
      <c r="BK144" s="66"/>
      <c r="BL144" s="66"/>
      <c r="BM144" s="66"/>
      <c r="BN144" s="66"/>
      <c r="BO144" s="66"/>
      <c r="BP144" s="66"/>
      <c r="BQ144" s="66"/>
      <c r="BR144" s="66"/>
      <c r="BS144" s="66"/>
      <c r="BT144" s="66"/>
      <c r="BU144" s="66"/>
      <c r="BV144" s="66"/>
      <c r="BW144" s="66"/>
      <c r="BX144" s="66"/>
      <c r="BY144" s="66"/>
      <c r="BZ144" s="66"/>
      <c r="CA144" s="66"/>
      <c r="CB144" s="66"/>
      <c r="CC144" s="66"/>
      <c r="CD144" s="66"/>
      <c r="CE144" s="66"/>
      <c r="CF144" s="68"/>
      <c r="CG144" s="68"/>
      <c r="CH144" s="66"/>
      <c r="CI144" s="66"/>
      <c r="CJ144" s="68"/>
      <c r="CK144" s="68"/>
      <c r="CL144" s="68"/>
      <c r="CM144" s="68"/>
      <c r="CN144" s="66"/>
      <c r="CO144" s="68"/>
      <c r="CP144" s="66"/>
      <c r="CQ144" s="68"/>
      <c r="CR144" s="68"/>
      <c r="CS144" s="68"/>
      <c r="CT144" s="68"/>
      <c r="CU144" s="68"/>
      <c r="CV144" s="68"/>
      <c r="CW144" s="68"/>
      <c r="CX144" s="68"/>
      <c r="CY144" s="68"/>
      <c r="CZ144" s="68"/>
      <c r="DA144" s="68"/>
      <c r="DB144" s="68"/>
      <c r="DC144" s="68"/>
      <c r="DD144" s="68"/>
      <c r="DE144" s="68"/>
      <c r="DF144" s="68"/>
      <c r="DG144" s="68"/>
      <c r="DH144" s="68"/>
      <c r="DI144" s="68"/>
      <c r="DJ144" s="68"/>
      <c r="DK144" s="68"/>
      <c r="DL144" s="68"/>
      <c r="DM144" s="68"/>
      <c r="DN144" s="68"/>
      <c r="DO144" s="68"/>
      <c r="DP144" s="68"/>
      <c r="DQ144" s="99"/>
      <c r="DR144" s="99"/>
      <c r="DS144" s="68"/>
      <c r="DT144" s="68"/>
      <c r="DU144" s="68"/>
      <c r="DV144" s="68"/>
      <c r="DW144" s="68"/>
      <c r="DX144" s="68"/>
      <c r="DY144" s="68"/>
      <c r="DZ144" s="68"/>
      <c r="EA144" s="68"/>
      <c r="EB144" s="68"/>
      <c r="EC144" s="68"/>
      <c r="ED144" s="68"/>
      <c r="EE144" s="68"/>
      <c r="EF144" s="68"/>
      <c r="EG144" s="68"/>
      <c r="EH144" s="68"/>
      <c r="EI144" s="68"/>
      <c r="EJ144" s="68"/>
      <c r="EK144" s="68"/>
      <c r="EL144" s="68"/>
      <c r="EM144" s="68"/>
      <c r="EN144" s="68"/>
      <c r="EO144" s="68"/>
      <c r="EP144" s="68"/>
      <c r="EQ144" s="68"/>
      <c r="ER144" s="3"/>
      <c r="ES144" s="3"/>
      <c r="EW144"/>
      <c r="EX144"/>
      <c r="EY144"/>
      <c r="FB144" s="1"/>
    </row>
    <row r="145" spans="3:158" ht="20.25" customHeight="1" x14ac:dyDescent="0.25">
      <c r="C145" s="1"/>
      <c r="D145" s="97"/>
      <c r="E145" s="97"/>
      <c r="F145" s="9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108"/>
      <c r="AO145" s="68"/>
      <c r="AP145" s="68"/>
      <c r="AQ145" s="68"/>
      <c r="AR145" s="68"/>
      <c r="AS145" s="68"/>
      <c r="AT145" s="66"/>
      <c r="AU145" s="68"/>
      <c r="AV145" s="68"/>
      <c r="AW145" s="68"/>
      <c r="AX145" s="66"/>
      <c r="AY145" s="68"/>
      <c r="AZ145" s="66"/>
      <c r="BA145" s="68"/>
      <c r="BB145" s="68"/>
      <c r="BC145" s="68"/>
      <c r="BD145" s="68"/>
      <c r="BE145" s="68"/>
      <c r="BF145" s="66"/>
      <c r="BG145" s="66"/>
      <c r="BH145" s="66"/>
      <c r="BI145" s="66"/>
      <c r="BJ145" s="66"/>
      <c r="BK145" s="66"/>
      <c r="BL145" s="66"/>
      <c r="BM145" s="66"/>
      <c r="BN145" s="66"/>
      <c r="BO145" s="66"/>
      <c r="BP145" s="66"/>
      <c r="BQ145" s="66"/>
      <c r="BR145" s="66"/>
      <c r="BS145" s="66"/>
      <c r="BT145" s="66"/>
      <c r="BU145" s="66"/>
      <c r="BV145" s="66"/>
      <c r="BW145" s="66"/>
      <c r="BX145" s="66"/>
      <c r="BY145" s="66"/>
      <c r="BZ145" s="66"/>
      <c r="CA145" s="66"/>
      <c r="CB145" s="66"/>
      <c r="CC145" s="66"/>
      <c r="CD145" s="66"/>
      <c r="CE145" s="66"/>
      <c r="CF145" s="68"/>
      <c r="CG145" s="68"/>
      <c r="CH145" s="66"/>
      <c r="CI145" s="66"/>
      <c r="CJ145" s="68"/>
      <c r="CK145" s="68"/>
      <c r="CL145" s="68"/>
      <c r="CM145" s="68"/>
      <c r="CN145" s="66"/>
      <c r="CO145" s="68"/>
      <c r="CP145" s="66"/>
      <c r="CQ145" s="68"/>
      <c r="CR145" s="68"/>
      <c r="CS145" s="68"/>
      <c r="CT145" s="68"/>
      <c r="CU145" s="68"/>
      <c r="CV145" s="68"/>
      <c r="CW145" s="68"/>
      <c r="CX145" s="68"/>
      <c r="CY145" s="68"/>
      <c r="CZ145" s="68"/>
      <c r="DA145" s="68"/>
      <c r="DB145" s="68"/>
      <c r="DC145" s="68"/>
      <c r="DD145" s="68"/>
      <c r="DE145" s="68"/>
      <c r="DF145" s="68"/>
      <c r="DG145" s="68"/>
      <c r="DH145" s="68"/>
      <c r="DI145" s="68"/>
      <c r="DJ145" s="68"/>
      <c r="DK145" s="68"/>
      <c r="DL145" s="68"/>
      <c r="DM145" s="68"/>
      <c r="DN145" s="68"/>
      <c r="DO145" s="68"/>
      <c r="DP145" s="68"/>
      <c r="DQ145" s="99"/>
      <c r="DR145" s="99"/>
      <c r="DS145" s="68"/>
      <c r="DT145" s="68"/>
      <c r="DU145" s="68"/>
      <c r="DV145" s="68"/>
      <c r="DW145" s="68"/>
      <c r="DX145" s="68"/>
      <c r="DY145" s="68"/>
      <c r="DZ145" s="68"/>
      <c r="EA145" s="68"/>
      <c r="EB145" s="68"/>
      <c r="EC145" s="68"/>
      <c r="ED145" s="68"/>
      <c r="EE145" s="68"/>
      <c r="EF145" s="68"/>
      <c r="EG145" s="68"/>
      <c r="EH145" s="68"/>
      <c r="EI145" s="68"/>
      <c r="EJ145" s="68"/>
      <c r="EK145" s="68"/>
      <c r="EL145" s="68"/>
      <c r="EM145" s="68"/>
      <c r="EN145" s="68"/>
      <c r="EO145" s="68"/>
      <c r="EP145" s="68"/>
      <c r="EQ145" s="68"/>
      <c r="ER145" s="3"/>
      <c r="ES145" s="3"/>
      <c r="EW145"/>
      <c r="EX145"/>
      <c r="EY145"/>
      <c r="FB145" s="1"/>
    </row>
    <row r="146" spans="3:158" ht="20.25" customHeight="1" x14ac:dyDescent="0.25">
      <c r="C146" s="1"/>
      <c r="D146" s="97"/>
      <c r="E146" s="97"/>
      <c r="F146" s="9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108"/>
      <c r="AO146" s="68"/>
      <c r="AP146" s="68"/>
      <c r="AQ146" s="68"/>
      <c r="AR146" s="68"/>
      <c r="AS146" s="68"/>
      <c r="AT146" s="66"/>
      <c r="AU146" s="68"/>
      <c r="AV146" s="68"/>
      <c r="AW146" s="68"/>
      <c r="AX146" s="66"/>
      <c r="AY146" s="68"/>
      <c r="AZ146" s="66"/>
      <c r="BA146" s="68"/>
      <c r="BB146" s="68"/>
      <c r="BC146" s="68"/>
      <c r="BD146" s="68"/>
      <c r="BE146" s="68"/>
      <c r="BF146" s="66"/>
      <c r="BG146" s="66"/>
      <c r="BH146" s="66"/>
      <c r="BI146" s="66"/>
      <c r="BJ146" s="66"/>
      <c r="BK146" s="66"/>
      <c r="BL146" s="66"/>
      <c r="BM146" s="66"/>
      <c r="BN146" s="66"/>
      <c r="BO146" s="66"/>
      <c r="BP146" s="66"/>
      <c r="BQ146" s="66"/>
      <c r="BR146" s="66"/>
      <c r="BS146" s="66"/>
      <c r="BT146" s="66"/>
      <c r="BU146" s="66"/>
      <c r="BV146" s="66"/>
      <c r="BW146" s="66"/>
      <c r="BX146" s="66"/>
      <c r="BY146" s="66"/>
      <c r="BZ146" s="66"/>
      <c r="CA146" s="66"/>
      <c r="CB146" s="66"/>
      <c r="CC146" s="66"/>
      <c r="CD146" s="66"/>
      <c r="CE146" s="66"/>
      <c r="CF146" s="68"/>
      <c r="CG146" s="68"/>
      <c r="CH146" s="66"/>
      <c r="CI146" s="66"/>
      <c r="CJ146" s="68"/>
      <c r="CK146" s="68"/>
      <c r="CL146" s="68"/>
      <c r="CM146" s="68"/>
      <c r="CN146" s="66"/>
      <c r="CO146" s="68"/>
      <c r="CP146" s="66"/>
      <c r="CQ146" s="68"/>
      <c r="CR146" s="68"/>
      <c r="CS146" s="68"/>
      <c r="CT146" s="68"/>
      <c r="CU146" s="68"/>
      <c r="CV146" s="68"/>
      <c r="CW146" s="68"/>
      <c r="CX146" s="68"/>
      <c r="CY146" s="68"/>
      <c r="CZ146" s="68"/>
      <c r="DA146" s="68"/>
      <c r="DB146" s="68"/>
      <c r="DC146" s="68"/>
      <c r="DD146" s="68"/>
      <c r="DE146" s="68"/>
      <c r="DF146" s="68"/>
      <c r="DG146" s="68"/>
      <c r="DH146" s="68"/>
      <c r="DI146" s="68"/>
      <c r="DJ146" s="68"/>
      <c r="DK146" s="68"/>
      <c r="DL146" s="68"/>
      <c r="DM146" s="68"/>
      <c r="DN146" s="68"/>
      <c r="DO146" s="68"/>
      <c r="DP146" s="68"/>
      <c r="DQ146" s="99"/>
      <c r="DR146" s="99"/>
      <c r="DS146" s="68"/>
      <c r="DT146" s="68"/>
      <c r="DU146" s="68"/>
      <c r="DV146" s="68"/>
      <c r="DW146" s="68"/>
      <c r="DX146" s="68"/>
      <c r="DY146" s="68"/>
      <c r="DZ146" s="68"/>
      <c r="EA146" s="68"/>
      <c r="EB146" s="68"/>
      <c r="EC146" s="68"/>
      <c r="ED146" s="68"/>
      <c r="EE146" s="68"/>
      <c r="EF146" s="68"/>
      <c r="EG146" s="68"/>
      <c r="EH146" s="68"/>
      <c r="EI146" s="68"/>
      <c r="EJ146" s="68"/>
      <c r="EK146" s="68"/>
      <c r="EL146" s="68"/>
      <c r="EM146" s="68"/>
      <c r="EN146" s="68"/>
      <c r="EO146" s="68"/>
      <c r="EP146" s="68"/>
      <c r="EQ146" s="68"/>
      <c r="ER146" s="3"/>
      <c r="ES146" s="3"/>
      <c r="EW146"/>
      <c r="EX146"/>
      <c r="EY146"/>
      <c r="FB146" s="1"/>
    </row>
    <row r="147" spans="3:158" ht="20.25" customHeight="1" x14ac:dyDescent="0.25">
      <c r="C147" s="1"/>
      <c r="D147" s="97"/>
      <c r="E147" s="97"/>
      <c r="F147" s="9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108"/>
      <c r="AO147" s="68"/>
      <c r="AP147" s="68"/>
      <c r="AQ147" s="68"/>
      <c r="AR147" s="68"/>
      <c r="AS147" s="68"/>
      <c r="AT147" s="66"/>
      <c r="AU147" s="68"/>
      <c r="AV147" s="68"/>
      <c r="AW147" s="68"/>
      <c r="AX147" s="66"/>
      <c r="AY147" s="68"/>
      <c r="AZ147" s="66"/>
      <c r="BA147" s="68"/>
      <c r="BB147" s="68"/>
      <c r="BC147" s="68"/>
      <c r="BD147" s="68"/>
      <c r="BE147" s="68"/>
      <c r="BF147" s="66"/>
      <c r="BG147" s="66"/>
      <c r="BH147" s="66"/>
      <c r="BI147" s="66"/>
      <c r="BJ147" s="66"/>
      <c r="BK147" s="66"/>
      <c r="BL147" s="66"/>
      <c r="BM147" s="66"/>
      <c r="BN147" s="66"/>
      <c r="BO147" s="66"/>
      <c r="BP147" s="66"/>
      <c r="BQ147" s="66"/>
      <c r="BR147" s="66"/>
      <c r="BS147" s="66"/>
      <c r="BT147" s="66"/>
      <c r="BU147" s="66"/>
      <c r="BV147" s="66"/>
      <c r="BW147" s="66"/>
      <c r="BX147" s="66"/>
      <c r="BY147" s="66"/>
      <c r="BZ147" s="66"/>
      <c r="CA147" s="66"/>
      <c r="CB147" s="66"/>
      <c r="CC147" s="66"/>
      <c r="CD147" s="66"/>
      <c r="CE147" s="66"/>
      <c r="CF147" s="68"/>
      <c r="CG147" s="68"/>
      <c r="CH147" s="66"/>
      <c r="CI147" s="66"/>
      <c r="CJ147" s="68"/>
      <c r="CK147" s="68"/>
      <c r="CL147" s="68"/>
      <c r="CM147" s="68"/>
      <c r="CN147" s="66"/>
      <c r="CO147" s="68"/>
      <c r="CP147" s="66"/>
      <c r="CQ147" s="68"/>
      <c r="CR147" s="68"/>
      <c r="CS147" s="68"/>
      <c r="CT147" s="68"/>
      <c r="CU147" s="68"/>
      <c r="CV147" s="68"/>
      <c r="CW147" s="68"/>
      <c r="CX147" s="68"/>
      <c r="CY147" s="68"/>
      <c r="CZ147" s="68"/>
      <c r="DA147" s="68"/>
      <c r="DB147" s="68"/>
      <c r="DC147" s="68"/>
      <c r="DD147" s="68"/>
      <c r="DE147" s="68"/>
      <c r="DF147" s="68"/>
      <c r="DG147" s="68"/>
      <c r="DH147" s="68"/>
      <c r="DI147" s="68"/>
      <c r="DJ147" s="68"/>
      <c r="DK147" s="68"/>
      <c r="DL147" s="68"/>
      <c r="DM147" s="68"/>
      <c r="DN147" s="68"/>
      <c r="DO147" s="68"/>
      <c r="DP147" s="68"/>
      <c r="DQ147" s="99"/>
      <c r="DR147" s="99"/>
      <c r="DS147" s="68"/>
      <c r="DT147" s="68"/>
      <c r="DU147" s="68"/>
      <c r="DV147" s="68"/>
      <c r="DW147" s="68"/>
      <c r="DX147" s="68"/>
      <c r="DY147" s="68"/>
      <c r="DZ147" s="68"/>
      <c r="EA147" s="68"/>
      <c r="EB147" s="68"/>
      <c r="EC147" s="68"/>
      <c r="ED147" s="68"/>
      <c r="EE147" s="68"/>
      <c r="EF147" s="68"/>
      <c r="EG147" s="68"/>
      <c r="EH147" s="68"/>
      <c r="EI147" s="68"/>
      <c r="EJ147" s="68"/>
      <c r="EK147" s="68"/>
      <c r="EL147" s="68"/>
      <c r="EM147" s="68"/>
      <c r="EN147" s="68"/>
      <c r="EO147" s="68"/>
      <c r="EP147" s="68"/>
      <c r="EQ147" s="68"/>
      <c r="ER147" s="3"/>
      <c r="ES147" s="3"/>
      <c r="EW147"/>
      <c r="EX147"/>
      <c r="EY147"/>
      <c r="FB147" s="1"/>
    </row>
    <row r="148" spans="3:158" ht="20.25" customHeight="1" x14ac:dyDescent="0.25">
      <c r="C148" s="1"/>
      <c r="D148" s="97"/>
      <c r="E148" s="97"/>
      <c r="F148" s="9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108"/>
      <c r="AO148" s="68"/>
      <c r="AP148" s="68"/>
      <c r="AQ148" s="68"/>
      <c r="AR148" s="68"/>
      <c r="AS148" s="68"/>
      <c r="AT148" s="66"/>
      <c r="AU148" s="68"/>
      <c r="AV148" s="68"/>
      <c r="AW148" s="68"/>
      <c r="AX148" s="66"/>
      <c r="AY148" s="68"/>
      <c r="AZ148" s="66"/>
      <c r="BA148" s="68"/>
      <c r="BB148" s="68"/>
      <c r="BC148" s="68"/>
      <c r="BD148" s="68"/>
      <c r="BE148" s="68"/>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66"/>
      <c r="CB148" s="66"/>
      <c r="CC148" s="66"/>
      <c r="CD148" s="66"/>
      <c r="CE148" s="66"/>
      <c r="CF148" s="68"/>
      <c r="CG148" s="68"/>
      <c r="CH148" s="66"/>
      <c r="CI148" s="66"/>
      <c r="CJ148" s="68"/>
      <c r="CK148" s="68"/>
      <c r="CL148" s="68"/>
      <c r="CM148" s="68"/>
      <c r="CN148" s="66"/>
      <c r="CO148" s="68"/>
      <c r="CP148" s="66"/>
      <c r="CQ148" s="68"/>
      <c r="CR148" s="68"/>
      <c r="CS148" s="68"/>
      <c r="CT148" s="68"/>
      <c r="CU148" s="68"/>
      <c r="CV148" s="68"/>
      <c r="CW148" s="68"/>
      <c r="CX148" s="68"/>
      <c r="CY148" s="68"/>
      <c r="CZ148" s="68"/>
      <c r="DA148" s="68"/>
      <c r="DB148" s="68"/>
      <c r="DC148" s="68"/>
      <c r="DD148" s="68"/>
      <c r="DE148" s="68"/>
      <c r="DF148" s="68"/>
      <c r="DG148" s="68"/>
      <c r="DH148" s="68"/>
      <c r="DI148" s="68"/>
      <c r="DJ148" s="68"/>
      <c r="DK148" s="68"/>
      <c r="DL148" s="68"/>
      <c r="DM148" s="68"/>
      <c r="DN148" s="68"/>
      <c r="DO148" s="68"/>
      <c r="DP148" s="68"/>
      <c r="DQ148" s="99"/>
      <c r="DR148" s="99"/>
      <c r="DS148" s="68"/>
      <c r="DT148" s="68"/>
      <c r="DU148" s="68"/>
      <c r="DV148" s="68"/>
      <c r="DW148" s="68"/>
      <c r="DX148" s="68"/>
      <c r="DY148" s="68"/>
      <c r="DZ148" s="68"/>
      <c r="EA148" s="68"/>
      <c r="EB148" s="68"/>
      <c r="EC148" s="68"/>
      <c r="ED148" s="68"/>
      <c r="EE148" s="68"/>
      <c r="EF148" s="68"/>
      <c r="EG148" s="68"/>
      <c r="EH148" s="68"/>
      <c r="EI148" s="68"/>
      <c r="EJ148" s="68"/>
      <c r="EK148" s="68"/>
      <c r="EL148" s="68"/>
      <c r="EM148" s="68"/>
      <c r="EN148" s="68"/>
      <c r="EO148" s="68"/>
      <c r="EP148" s="68"/>
      <c r="EQ148" s="68"/>
      <c r="ER148" s="3"/>
      <c r="ES148" s="3"/>
      <c r="EW148"/>
      <c r="EX148"/>
      <c r="EY148"/>
      <c r="FB148" s="1"/>
    </row>
    <row r="149" spans="3:158" ht="20.25" customHeight="1" x14ac:dyDescent="0.25">
      <c r="C149" s="1"/>
      <c r="D149" s="97"/>
      <c r="E149" s="97"/>
      <c r="F149" s="9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108"/>
      <c r="AO149" s="68"/>
      <c r="AP149" s="68"/>
      <c r="AQ149" s="68"/>
      <c r="AR149" s="68"/>
      <c r="AS149" s="68"/>
      <c r="AT149" s="66"/>
      <c r="AU149" s="68"/>
      <c r="AV149" s="68"/>
      <c r="AW149" s="68"/>
      <c r="AX149" s="66"/>
      <c r="AY149" s="68"/>
      <c r="AZ149" s="66"/>
      <c r="BA149" s="68"/>
      <c r="BB149" s="68"/>
      <c r="BC149" s="68"/>
      <c r="BD149" s="68"/>
      <c r="BE149" s="68"/>
      <c r="BF149" s="66"/>
      <c r="BG149" s="66"/>
      <c r="BH149" s="66"/>
      <c r="BI149" s="66"/>
      <c r="BJ149" s="66"/>
      <c r="BK149" s="66"/>
      <c r="BL149" s="66"/>
      <c r="BM149" s="66"/>
      <c r="BN149" s="66"/>
      <c r="BO149" s="66"/>
      <c r="BP149" s="66"/>
      <c r="BQ149" s="66"/>
      <c r="BR149" s="66"/>
      <c r="BS149" s="66"/>
      <c r="BT149" s="66"/>
      <c r="BU149" s="66"/>
      <c r="BV149" s="66"/>
      <c r="BW149" s="66"/>
      <c r="BX149" s="66"/>
      <c r="BY149" s="66"/>
      <c r="BZ149" s="66"/>
      <c r="CA149" s="66"/>
      <c r="CB149" s="66"/>
      <c r="CC149" s="66"/>
      <c r="CD149" s="66"/>
      <c r="CE149" s="66"/>
      <c r="CF149" s="68"/>
      <c r="CG149" s="68"/>
      <c r="CH149" s="66"/>
      <c r="CI149" s="66"/>
      <c r="CJ149" s="68"/>
      <c r="CK149" s="68"/>
      <c r="CL149" s="68"/>
      <c r="CM149" s="68"/>
      <c r="CN149" s="66"/>
      <c r="CO149" s="68"/>
      <c r="CP149" s="66"/>
      <c r="CQ149" s="68"/>
      <c r="CR149" s="68"/>
      <c r="CS149" s="68"/>
      <c r="CT149" s="68"/>
      <c r="CU149" s="68"/>
      <c r="CV149" s="68"/>
      <c r="CW149" s="68"/>
      <c r="CX149" s="68"/>
      <c r="CY149" s="68"/>
      <c r="CZ149" s="68"/>
      <c r="DA149" s="68"/>
      <c r="DB149" s="68"/>
      <c r="DC149" s="68"/>
      <c r="DD149" s="68"/>
      <c r="DE149" s="68"/>
      <c r="DF149" s="68"/>
      <c r="DG149" s="68"/>
      <c r="DH149" s="68"/>
      <c r="DI149" s="68"/>
      <c r="DJ149" s="68"/>
      <c r="DK149" s="68"/>
      <c r="DL149" s="68"/>
      <c r="DM149" s="68"/>
      <c r="DN149" s="68"/>
      <c r="DO149" s="68"/>
      <c r="DP149" s="68"/>
      <c r="DQ149" s="99"/>
      <c r="DR149" s="99"/>
      <c r="DS149" s="68"/>
      <c r="DT149" s="68"/>
      <c r="DU149" s="68"/>
      <c r="DV149" s="68"/>
      <c r="DW149" s="68"/>
      <c r="DX149" s="68"/>
      <c r="DY149" s="68"/>
      <c r="DZ149" s="68"/>
      <c r="EA149" s="68"/>
      <c r="EB149" s="68"/>
      <c r="EC149" s="68"/>
      <c r="ED149" s="68"/>
      <c r="EE149" s="68"/>
      <c r="EF149" s="68"/>
      <c r="EG149" s="68"/>
      <c r="EH149" s="68"/>
      <c r="EI149" s="68"/>
      <c r="EJ149" s="68"/>
      <c r="EK149" s="68"/>
      <c r="EL149" s="68"/>
      <c r="EM149" s="68"/>
      <c r="EN149" s="68"/>
      <c r="EO149" s="68"/>
      <c r="EP149" s="68"/>
      <c r="EQ149" s="68"/>
      <c r="ER149" s="3"/>
      <c r="ES149" s="3"/>
      <c r="EW149"/>
      <c r="EX149"/>
      <c r="EY149"/>
      <c r="FB149" s="1"/>
    </row>
    <row r="150" spans="3:158" ht="20.25" customHeight="1" x14ac:dyDescent="0.25">
      <c r="C150" s="1"/>
      <c r="D150" s="97"/>
      <c r="E150" s="97"/>
      <c r="F150" s="9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108"/>
      <c r="AO150" s="68"/>
      <c r="AP150" s="68"/>
      <c r="AQ150" s="68"/>
      <c r="AR150" s="68"/>
      <c r="AS150" s="68"/>
      <c r="AT150" s="66"/>
      <c r="AU150" s="68"/>
      <c r="AV150" s="68"/>
      <c r="AW150" s="68"/>
      <c r="AX150" s="66"/>
      <c r="AY150" s="68"/>
      <c r="AZ150" s="66"/>
      <c r="BA150" s="68"/>
      <c r="BB150" s="68"/>
      <c r="BC150" s="68"/>
      <c r="BD150" s="68"/>
      <c r="BE150" s="68"/>
      <c r="BF150" s="66"/>
      <c r="BG150" s="66"/>
      <c r="BH150" s="66"/>
      <c r="BI150" s="66"/>
      <c r="BJ150" s="66"/>
      <c r="BK150" s="66"/>
      <c r="BL150" s="66"/>
      <c r="BM150" s="66"/>
      <c r="BN150" s="66"/>
      <c r="BO150" s="66"/>
      <c r="BP150" s="66"/>
      <c r="BQ150" s="66"/>
      <c r="BR150" s="66"/>
      <c r="BS150" s="66"/>
      <c r="BT150" s="66"/>
      <c r="BU150" s="66"/>
      <c r="BV150" s="66"/>
      <c r="BW150" s="66"/>
      <c r="BX150" s="66"/>
      <c r="BY150" s="66"/>
      <c r="BZ150" s="66"/>
      <c r="CA150" s="66"/>
      <c r="CB150" s="66"/>
      <c r="CC150" s="66"/>
      <c r="CD150" s="66"/>
      <c r="CE150" s="66"/>
      <c r="CF150" s="68"/>
      <c r="CG150" s="68"/>
      <c r="CH150" s="66"/>
      <c r="CI150" s="66"/>
      <c r="CJ150" s="68"/>
      <c r="CK150" s="68"/>
      <c r="CL150" s="68"/>
      <c r="CM150" s="68"/>
      <c r="CN150" s="66"/>
      <c r="CO150" s="68"/>
      <c r="CP150" s="66"/>
      <c r="CQ150" s="68"/>
      <c r="CR150" s="68"/>
      <c r="CS150" s="68"/>
      <c r="CT150" s="68"/>
      <c r="CU150" s="68"/>
      <c r="CV150" s="68"/>
      <c r="CW150" s="68"/>
      <c r="CX150" s="68"/>
      <c r="CY150" s="68"/>
      <c r="CZ150" s="68"/>
      <c r="DA150" s="68"/>
      <c r="DB150" s="68"/>
      <c r="DC150" s="68"/>
      <c r="DD150" s="68"/>
      <c r="DE150" s="68"/>
      <c r="DF150" s="68"/>
      <c r="DG150" s="68"/>
      <c r="DH150" s="68"/>
      <c r="DI150" s="68"/>
      <c r="DJ150" s="68"/>
      <c r="DK150" s="68"/>
      <c r="DL150" s="68"/>
      <c r="DM150" s="68"/>
      <c r="DN150" s="68"/>
      <c r="DO150" s="68"/>
      <c r="DP150" s="68"/>
      <c r="DQ150" s="99"/>
      <c r="DR150" s="99"/>
      <c r="DS150" s="68"/>
      <c r="DT150" s="68"/>
      <c r="DU150" s="68"/>
      <c r="DV150" s="68"/>
      <c r="DW150" s="68"/>
      <c r="DX150" s="68"/>
      <c r="DY150" s="68"/>
      <c r="DZ150" s="68"/>
      <c r="EA150" s="68"/>
      <c r="EB150" s="68"/>
      <c r="EC150" s="68"/>
      <c r="ED150" s="68"/>
      <c r="EE150" s="68"/>
      <c r="EF150" s="68"/>
      <c r="EG150" s="68"/>
      <c r="EH150" s="68"/>
      <c r="EI150" s="68"/>
      <c r="EJ150" s="68"/>
      <c r="EK150" s="68"/>
      <c r="EL150" s="68"/>
      <c r="EM150" s="68"/>
      <c r="EN150" s="68"/>
      <c r="EO150" s="68"/>
      <c r="EP150" s="68"/>
      <c r="EQ150" s="68"/>
      <c r="ER150" s="3"/>
      <c r="ES150" s="3"/>
      <c r="EW150"/>
      <c r="EX150"/>
      <c r="EY150"/>
      <c r="FB150" s="1"/>
    </row>
    <row r="151" spans="3:158" ht="20.25" customHeight="1" x14ac:dyDescent="0.25">
      <c r="C151" s="1"/>
      <c r="D151" s="97"/>
      <c r="E151" s="97"/>
      <c r="F151" s="9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108"/>
      <c r="AO151" s="68"/>
      <c r="AP151" s="68"/>
      <c r="AQ151" s="68"/>
      <c r="AR151" s="68"/>
      <c r="AS151" s="68"/>
      <c r="AT151" s="66"/>
      <c r="AU151" s="68"/>
      <c r="AV151" s="68"/>
      <c r="AW151" s="68"/>
      <c r="AX151" s="66"/>
      <c r="AY151" s="68"/>
      <c r="AZ151" s="66"/>
      <c r="BA151" s="68"/>
      <c r="BB151" s="68"/>
      <c r="BC151" s="68"/>
      <c r="BD151" s="68"/>
      <c r="BE151" s="68"/>
      <c r="BF151" s="66"/>
      <c r="BG151" s="66"/>
      <c r="BH151" s="66"/>
      <c r="BI151" s="66"/>
      <c r="BJ151" s="66"/>
      <c r="BK151" s="66"/>
      <c r="BL151" s="66"/>
      <c r="BM151" s="66"/>
      <c r="BN151" s="66"/>
      <c r="BO151" s="66"/>
      <c r="BP151" s="66"/>
      <c r="BQ151" s="66"/>
      <c r="BR151" s="66"/>
      <c r="BS151" s="66"/>
      <c r="BT151" s="66"/>
      <c r="BU151" s="66"/>
      <c r="BV151" s="66"/>
      <c r="BW151" s="66"/>
      <c r="BX151" s="66"/>
      <c r="BY151" s="66"/>
      <c r="BZ151" s="66"/>
      <c r="CA151" s="66"/>
      <c r="CB151" s="66"/>
      <c r="CC151" s="66"/>
      <c r="CD151" s="66"/>
      <c r="CE151" s="66"/>
      <c r="CF151" s="68"/>
      <c r="CG151" s="68"/>
      <c r="CH151" s="66"/>
      <c r="CI151" s="66"/>
      <c r="CJ151" s="68"/>
      <c r="CK151" s="68"/>
      <c r="CL151" s="68"/>
      <c r="CM151" s="68"/>
      <c r="CN151" s="66"/>
      <c r="CO151" s="68"/>
      <c r="CP151" s="66"/>
      <c r="CQ151" s="68"/>
      <c r="CR151" s="68"/>
      <c r="CS151" s="68"/>
      <c r="CT151" s="68"/>
      <c r="CU151" s="68"/>
      <c r="CV151" s="68"/>
      <c r="CW151" s="68"/>
      <c r="CX151" s="68"/>
      <c r="CY151" s="68"/>
      <c r="CZ151" s="68"/>
      <c r="DA151" s="68"/>
      <c r="DB151" s="68"/>
      <c r="DC151" s="68"/>
      <c r="DD151" s="68"/>
      <c r="DE151" s="68"/>
      <c r="DF151" s="68"/>
      <c r="DG151" s="68"/>
      <c r="DH151" s="68"/>
      <c r="DI151" s="68"/>
      <c r="DJ151" s="68"/>
      <c r="DK151" s="68"/>
      <c r="DL151" s="68"/>
      <c r="DM151" s="68"/>
      <c r="DN151" s="68"/>
      <c r="DO151" s="68"/>
      <c r="DP151" s="68"/>
      <c r="DQ151" s="99"/>
      <c r="DR151" s="99"/>
      <c r="DS151" s="68"/>
      <c r="DT151" s="68"/>
      <c r="DU151" s="68"/>
      <c r="DV151" s="68"/>
      <c r="DW151" s="68"/>
      <c r="DX151" s="68"/>
      <c r="DY151" s="68"/>
      <c r="DZ151" s="68"/>
      <c r="EA151" s="68"/>
      <c r="EB151" s="68"/>
      <c r="EC151" s="68"/>
      <c r="ED151" s="68"/>
      <c r="EE151" s="68"/>
      <c r="EF151" s="68"/>
      <c r="EG151" s="68"/>
      <c r="EH151" s="68"/>
      <c r="EI151" s="68"/>
      <c r="EJ151" s="68"/>
      <c r="EK151" s="68"/>
      <c r="EL151" s="68"/>
      <c r="EM151" s="68"/>
      <c r="EN151" s="68"/>
      <c r="EO151" s="68"/>
      <c r="EP151" s="68"/>
      <c r="EQ151" s="68"/>
      <c r="ER151" s="3"/>
      <c r="ES151" s="3"/>
      <c r="EW151"/>
      <c r="EX151"/>
      <c r="EY151"/>
      <c r="FB151" s="1"/>
    </row>
    <row r="152" spans="3:158" ht="20.25" customHeight="1" x14ac:dyDescent="0.25">
      <c r="C152" s="1"/>
      <c r="D152" s="97"/>
      <c r="E152" s="97"/>
      <c r="F152" s="9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108"/>
      <c r="AO152" s="68"/>
      <c r="AP152" s="68"/>
      <c r="AQ152" s="68"/>
      <c r="AR152" s="68"/>
      <c r="AS152" s="68"/>
      <c r="AT152" s="66"/>
      <c r="AU152" s="68"/>
      <c r="AV152" s="68"/>
      <c r="AW152" s="68"/>
      <c r="AX152" s="66"/>
      <c r="AY152" s="68"/>
      <c r="AZ152" s="66"/>
      <c r="BA152" s="68"/>
      <c r="BB152" s="68"/>
      <c r="BC152" s="68"/>
      <c r="BD152" s="68"/>
      <c r="BE152" s="68"/>
      <c r="BF152" s="66"/>
      <c r="BG152" s="66"/>
      <c r="BH152" s="66"/>
      <c r="BI152" s="66"/>
      <c r="BJ152" s="66"/>
      <c r="BK152" s="66"/>
      <c r="BL152" s="66"/>
      <c r="BM152" s="66"/>
      <c r="BN152" s="66"/>
      <c r="BO152" s="66"/>
      <c r="BP152" s="66"/>
      <c r="BQ152" s="66"/>
      <c r="BR152" s="66"/>
      <c r="BS152" s="66"/>
      <c r="BT152" s="66"/>
      <c r="BU152" s="66"/>
      <c r="BV152" s="66"/>
      <c r="BW152" s="66"/>
      <c r="BX152" s="66"/>
      <c r="BY152" s="66"/>
      <c r="BZ152" s="66"/>
      <c r="CA152" s="66"/>
      <c r="CB152" s="66"/>
      <c r="CC152" s="66"/>
      <c r="CD152" s="66"/>
      <c r="CE152" s="66"/>
      <c r="CF152" s="68"/>
      <c r="CG152" s="68"/>
      <c r="CH152" s="66"/>
      <c r="CI152" s="66"/>
      <c r="CJ152" s="68"/>
      <c r="CK152" s="68"/>
      <c r="CL152" s="68"/>
      <c r="CM152" s="68"/>
      <c r="CN152" s="66"/>
      <c r="CO152" s="68"/>
      <c r="CP152" s="66"/>
      <c r="CQ152" s="68"/>
      <c r="CR152" s="68"/>
      <c r="CS152" s="68"/>
      <c r="CT152" s="68"/>
      <c r="CU152" s="68"/>
      <c r="CV152" s="68"/>
      <c r="CW152" s="68"/>
      <c r="CX152" s="68"/>
      <c r="CY152" s="68"/>
      <c r="CZ152" s="68"/>
      <c r="DA152" s="68"/>
      <c r="DB152" s="68"/>
      <c r="DC152" s="68"/>
      <c r="DD152" s="68"/>
      <c r="DE152" s="68"/>
      <c r="DF152" s="68"/>
      <c r="DG152" s="68"/>
      <c r="DH152" s="68"/>
      <c r="DI152" s="68"/>
      <c r="DJ152" s="68"/>
      <c r="DK152" s="68"/>
      <c r="DL152" s="68"/>
      <c r="DM152" s="68"/>
      <c r="DN152" s="68"/>
      <c r="DO152" s="68"/>
      <c r="DP152" s="68"/>
      <c r="DQ152" s="99"/>
      <c r="DR152" s="99"/>
      <c r="DS152" s="68"/>
      <c r="DT152" s="68"/>
      <c r="DU152" s="68"/>
      <c r="DV152" s="68"/>
      <c r="DW152" s="68"/>
      <c r="DX152" s="68"/>
      <c r="DY152" s="68"/>
      <c r="DZ152" s="68"/>
      <c r="EA152" s="68"/>
      <c r="EB152" s="68"/>
      <c r="EC152" s="68"/>
      <c r="ED152" s="68"/>
      <c r="EE152" s="68"/>
      <c r="EF152" s="68"/>
      <c r="EG152" s="68"/>
      <c r="EH152" s="68"/>
      <c r="EI152" s="68"/>
      <c r="EJ152" s="68"/>
      <c r="EK152" s="68"/>
      <c r="EL152" s="68"/>
      <c r="EM152" s="68"/>
      <c r="EN152" s="68"/>
      <c r="EO152" s="68"/>
      <c r="EP152" s="68"/>
      <c r="EQ152" s="68"/>
      <c r="ER152" s="3"/>
      <c r="ES152" s="3"/>
      <c r="EW152"/>
      <c r="EX152"/>
      <c r="EY152"/>
      <c r="FB152" s="1"/>
    </row>
    <row r="153" spans="3:158" ht="20.25" customHeight="1" x14ac:dyDescent="0.25">
      <c r="C153" s="1"/>
      <c r="D153" s="97"/>
      <c r="E153" s="97"/>
      <c r="F153" s="9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108"/>
      <c r="AO153" s="68"/>
      <c r="AP153" s="68"/>
      <c r="AQ153" s="68"/>
      <c r="AR153" s="68"/>
      <c r="AS153" s="68"/>
      <c r="AT153" s="66"/>
      <c r="AU153" s="68"/>
      <c r="AV153" s="68"/>
      <c r="AW153" s="68"/>
      <c r="AX153" s="66"/>
      <c r="AY153" s="68"/>
      <c r="AZ153" s="66"/>
      <c r="BA153" s="68"/>
      <c r="BB153" s="68"/>
      <c r="BC153" s="68"/>
      <c r="BD153" s="68"/>
      <c r="BE153" s="68"/>
      <c r="BF153" s="66"/>
      <c r="BG153" s="66"/>
      <c r="BH153" s="66"/>
      <c r="BI153" s="66"/>
      <c r="BJ153" s="66"/>
      <c r="BK153" s="66"/>
      <c r="BL153" s="66"/>
      <c r="BM153" s="66"/>
      <c r="BN153" s="66"/>
      <c r="BO153" s="66"/>
      <c r="BP153" s="66"/>
      <c r="BQ153" s="66"/>
      <c r="BR153" s="66"/>
      <c r="BS153" s="66"/>
      <c r="BT153" s="66"/>
      <c r="BU153" s="66"/>
      <c r="BV153" s="66"/>
      <c r="BW153" s="66"/>
      <c r="BX153" s="66"/>
      <c r="BY153" s="66"/>
      <c r="BZ153" s="66"/>
      <c r="CA153" s="66"/>
      <c r="CB153" s="66"/>
      <c r="CC153" s="66"/>
      <c r="CD153" s="66"/>
      <c r="CE153" s="66"/>
      <c r="CF153" s="68"/>
      <c r="CG153" s="68"/>
      <c r="CH153" s="66"/>
      <c r="CI153" s="66"/>
      <c r="CJ153" s="68"/>
      <c r="CK153" s="68"/>
      <c r="CL153" s="68"/>
      <c r="CM153" s="68"/>
      <c r="CN153" s="66"/>
      <c r="CO153" s="68"/>
      <c r="CP153" s="66"/>
      <c r="CQ153" s="68"/>
      <c r="CR153" s="68"/>
      <c r="CS153" s="68"/>
      <c r="CT153" s="68"/>
      <c r="CU153" s="68"/>
      <c r="CV153" s="68"/>
      <c r="CW153" s="68"/>
      <c r="CX153" s="68"/>
      <c r="CY153" s="68"/>
      <c r="CZ153" s="68"/>
      <c r="DA153" s="68"/>
      <c r="DB153" s="68"/>
      <c r="DC153" s="68"/>
      <c r="DD153" s="68"/>
      <c r="DE153" s="68"/>
      <c r="DF153" s="68"/>
      <c r="DG153" s="68"/>
      <c r="DH153" s="68"/>
      <c r="DI153" s="68"/>
      <c r="DJ153" s="68"/>
      <c r="DK153" s="68"/>
      <c r="DL153" s="68"/>
      <c r="DM153" s="68"/>
      <c r="DN153" s="68"/>
      <c r="DO153" s="68"/>
      <c r="DP153" s="68"/>
      <c r="DQ153" s="99"/>
      <c r="DR153" s="99"/>
      <c r="DS153" s="68"/>
      <c r="DT153" s="68"/>
      <c r="DU153" s="68"/>
      <c r="DV153" s="68"/>
      <c r="DW153" s="68"/>
      <c r="DX153" s="68"/>
      <c r="DY153" s="68"/>
      <c r="DZ153" s="68"/>
      <c r="EA153" s="68"/>
      <c r="EB153" s="68"/>
      <c r="EC153" s="68"/>
      <c r="ED153" s="68"/>
      <c r="EE153" s="68"/>
      <c r="EF153" s="68"/>
      <c r="EG153" s="68"/>
      <c r="EH153" s="68"/>
      <c r="EI153" s="68"/>
      <c r="EJ153" s="68"/>
      <c r="EK153" s="68"/>
      <c r="EL153" s="68"/>
      <c r="EM153" s="68"/>
      <c r="EN153" s="68"/>
      <c r="EO153" s="68"/>
      <c r="EP153" s="68"/>
      <c r="EQ153" s="68"/>
      <c r="ER153" s="3"/>
      <c r="ES153" s="3"/>
      <c r="EW153"/>
      <c r="EX153"/>
      <c r="EY153"/>
      <c r="FB153" s="1"/>
    </row>
    <row r="154" spans="3:158" ht="20.25" customHeight="1" x14ac:dyDescent="0.25">
      <c r="C154" s="1"/>
      <c r="D154" s="97"/>
      <c r="E154" s="97"/>
      <c r="F154" s="9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108"/>
      <c r="AO154" s="68"/>
      <c r="AP154" s="68"/>
      <c r="AQ154" s="68"/>
      <c r="AR154" s="68"/>
      <c r="AS154" s="68"/>
      <c r="AT154" s="66"/>
      <c r="AU154" s="68"/>
      <c r="AV154" s="68"/>
      <c r="AW154" s="68"/>
      <c r="AX154" s="66"/>
      <c r="AY154" s="68"/>
      <c r="AZ154" s="66"/>
      <c r="BA154" s="68"/>
      <c r="BB154" s="68"/>
      <c r="BC154" s="68"/>
      <c r="BD154" s="68"/>
      <c r="BE154" s="68"/>
      <c r="BF154" s="66"/>
      <c r="BG154" s="66"/>
      <c r="BH154" s="66"/>
      <c r="BI154" s="66"/>
      <c r="BJ154" s="66"/>
      <c r="BK154" s="66"/>
      <c r="BL154" s="66"/>
      <c r="BM154" s="66"/>
      <c r="BN154" s="66"/>
      <c r="BO154" s="66"/>
      <c r="BP154" s="66"/>
      <c r="BQ154" s="66"/>
      <c r="BR154" s="66"/>
      <c r="BS154" s="66"/>
      <c r="BT154" s="66"/>
      <c r="BU154" s="66"/>
      <c r="BV154" s="66"/>
      <c r="BW154" s="66"/>
      <c r="BX154" s="66"/>
      <c r="BY154" s="66"/>
      <c r="BZ154" s="66"/>
      <c r="CA154" s="66"/>
      <c r="CB154" s="66"/>
      <c r="CC154" s="66"/>
      <c r="CD154" s="66"/>
      <c r="CE154" s="66"/>
      <c r="CF154" s="68"/>
      <c r="CG154" s="68"/>
      <c r="CH154" s="66"/>
      <c r="CI154" s="66"/>
      <c r="CJ154" s="68"/>
      <c r="CK154" s="68"/>
      <c r="CL154" s="68"/>
      <c r="CM154" s="68"/>
      <c r="CN154" s="66"/>
      <c r="CO154" s="68"/>
      <c r="CP154" s="66"/>
      <c r="CQ154" s="68"/>
      <c r="CR154" s="68"/>
      <c r="CS154" s="68"/>
      <c r="CT154" s="68"/>
      <c r="CU154" s="68"/>
      <c r="CV154" s="68"/>
      <c r="CW154" s="68"/>
      <c r="CX154" s="68"/>
      <c r="CY154" s="68"/>
      <c r="CZ154" s="68"/>
      <c r="DA154" s="68"/>
      <c r="DB154" s="68"/>
      <c r="DC154" s="68"/>
      <c r="DD154" s="68"/>
      <c r="DE154" s="68"/>
      <c r="DF154" s="68"/>
      <c r="DG154" s="68"/>
      <c r="DH154" s="68"/>
      <c r="DI154" s="68"/>
      <c r="DJ154" s="68"/>
      <c r="DK154" s="68"/>
      <c r="DL154" s="68"/>
      <c r="DM154" s="68"/>
      <c r="DN154" s="68"/>
      <c r="DO154" s="68"/>
      <c r="DP154" s="68"/>
      <c r="DQ154" s="99"/>
      <c r="DR154" s="99"/>
      <c r="DS154" s="68"/>
      <c r="DT154" s="68"/>
      <c r="DU154" s="68"/>
      <c r="DV154" s="68"/>
      <c r="DW154" s="68"/>
      <c r="DX154" s="68"/>
      <c r="DY154" s="68"/>
      <c r="DZ154" s="68"/>
      <c r="EA154" s="68"/>
      <c r="EB154" s="68"/>
      <c r="EC154" s="68"/>
      <c r="ED154" s="68"/>
      <c r="EE154" s="68"/>
      <c r="EF154" s="68"/>
      <c r="EG154" s="68"/>
      <c r="EH154" s="68"/>
      <c r="EI154" s="68"/>
      <c r="EJ154" s="68"/>
      <c r="EK154" s="68"/>
      <c r="EL154" s="68"/>
      <c r="EM154" s="68"/>
      <c r="EN154" s="68"/>
      <c r="EO154" s="68"/>
      <c r="EP154" s="68"/>
      <c r="EQ154" s="68"/>
      <c r="ER154" s="3"/>
      <c r="ES154" s="3"/>
      <c r="EW154"/>
      <c r="EX154"/>
      <c r="EY154"/>
      <c r="FB154" s="1"/>
    </row>
    <row r="155" spans="3:158" ht="20.25" customHeight="1" x14ac:dyDescent="0.25">
      <c r="C155" s="1"/>
      <c r="D155" s="97"/>
      <c r="E155" s="97"/>
      <c r="F155" s="9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108"/>
      <c r="AO155" s="68"/>
      <c r="AP155" s="68"/>
      <c r="AQ155" s="68"/>
      <c r="AR155" s="68"/>
      <c r="AS155" s="68"/>
      <c r="AT155" s="66"/>
      <c r="AU155" s="68"/>
      <c r="AV155" s="68"/>
      <c r="AW155" s="68"/>
      <c r="AX155" s="66"/>
      <c r="AY155" s="68"/>
      <c r="AZ155" s="66"/>
      <c r="BA155" s="68"/>
      <c r="BB155" s="68"/>
      <c r="BC155" s="68"/>
      <c r="BD155" s="68"/>
      <c r="BE155" s="68"/>
      <c r="BF155" s="66"/>
      <c r="BG155" s="66"/>
      <c r="BH155" s="66"/>
      <c r="BI155" s="66"/>
      <c r="BJ155" s="66"/>
      <c r="BK155" s="66"/>
      <c r="BL155" s="66"/>
      <c r="BM155" s="66"/>
      <c r="BN155" s="66"/>
      <c r="BO155" s="66"/>
      <c r="BP155" s="66"/>
      <c r="BQ155" s="66"/>
      <c r="BR155" s="66"/>
      <c r="BS155" s="66"/>
      <c r="BT155" s="66"/>
      <c r="BU155" s="66"/>
      <c r="BV155" s="66"/>
      <c r="BW155" s="66"/>
      <c r="BX155" s="66"/>
      <c r="BY155" s="66"/>
      <c r="BZ155" s="66"/>
      <c r="CA155" s="66"/>
      <c r="CB155" s="66"/>
      <c r="CC155" s="66"/>
      <c r="CD155" s="66"/>
      <c r="CE155" s="66"/>
      <c r="CF155" s="68"/>
      <c r="CG155" s="68"/>
      <c r="CH155" s="66"/>
      <c r="CI155" s="66"/>
      <c r="CJ155" s="68"/>
      <c r="CK155" s="68"/>
      <c r="CL155" s="68"/>
      <c r="CM155" s="68"/>
      <c r="CN155" s="66"/>
      <c r="CO155" s="68"/>
      <c r="CP155" s="66"/>
      <c r="CQ155" s="68"/>
      <c r="CR155" s="68"/>
      <c r="CS155" s="68"/>
      <c r="CT155" s="68"/>
      <c r="CU155" s="68"/>
      <c r="CV155" s="68"/>
      <c r="CW155" s="68"/>
      <c r="CX155" s="68"/>
      <c r="CY155" s="68"/>
      <c r="CZ155" s="68"/>
      <c r="DA155" s="68"/>
      <c r="DB155" s="68"/>
      <c r="DC155" s="68"/>
      <c r="DD155" s="68"/>
      <c r="DE155" s="68"/>
      <c r="DF155" s="68"/>
      <c r="DG155" s="68"/>
      <c r="DH155" s="68"/>
      <c r="DI155" s="68"/>
      <c r="DJ155" s="68"/>
      <c r="DK155" s="68"/>
      <c r="DL155" s="68"/>
      <c r="DM155" s="68"/>
      <c r="DN155" s="68"/>
      <c r="DO155" s="68"/>
      <c r="DP155" s="68"/>
      <c r="DQ155" s="99"/>
      <c r="DR155" s="99"/>
      <c r="DS155" s="68"/>
      <c r="DT155" s="68"/>
      <c r="DU155" s="68"/>
      <c r="DV155" s="68"/>
      <c r="DW155" s="68"/>
      <c r="DX155" s="68"/>
      <c r="DY155" s="68"/>
      <c r="DZ155" s="68"/>
      <c r="EA155" s="68"/>
      <c r="EB155" s="68"/>
      <c r="EC155" s="68"/>
      <c r="ED155" s="68"/>
      <c r="EE155" s="68"/>
      <c r="EF155" s="68"/>
      <c r="EG155" s="68"/>
      <c r="EH155" s="68"/>
      <c r="EI155" s="68"/>
      <c r="EJ155" s="68"/>
      <c r="EK155" s="68"/>
      <c r="EL155" s="68"/>
      <c r="EM155" s="68"/>
      <c r="EN155" s="68"/>
      <c r="EO155" s="68"/>
      <c r="EP155" s="68"/>
      <c r="EQ155" s="68"/>
      <c r="ER155" s="3"/>
      <c r="ES155" s="3"/>
      <c r="EW155"/>
      <c r="EX155"/>
      <c r="EY155"/>
      <c r="FB155" s="1"/>
    </row>
    <row r="156" spans="3:158" ht="20.25" customHeight="1" x14ac:dyDescent="0.25">
      <c r="C156" s="1"/>
      <c r="D156" s="97"/>
      <c r="E156" s="97"/>
      <c r="F156" s="9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108"/>
      <c r="AO156" s="68"/>
      <c r="AP156" s="68"/>
      <c r="AQ156" s="68"/>
      <c r="AR156" s="68"/>
      <c r="AS156" s="68"/>
      <c r="AT156" s="66"/>
      <c r="AU156" s="68"/>
      <c r="AV156" s="68"/>
      <c r="AW156" s="68"/>
      <c r="AX156" s="66"/>
      <c r="AY156" s="68"/>
      <c r="AZ156" s="66"/>
      <c r="BA156" s="68"/>
      <c r="BB156" s="68"/>
      <c r="BC156" s="68"/>
      <c r="BD156" s="68"/>
      <c r="BE156" s="68"/>
      <c r="BF156" s="66"/>
      <c r="BG156" s="66"/>
      <c r="BH156" s="66"/>
      <c r="BI156" s="66"/>
      <c r="BJ156" s="66"/>
      <c r="BK156" s="66"/>
      <c r="BL156" s="66"/>
      <c r="BM156" s="66"/>
      <c r="BN156" s="66"/>
      <c r="BO156" s="66"/>
      <c r="BP156" s="66"/>
      <c r="BQ156" s="66"/>
      <c r="BR156" s="66"/>
      <c r="BS156" s="66"/>
      <c r="BT156" s="66"/>
      <c r="BU156" s="66"/>
      <c r="BV156" s="66"/>
      <c r="BW156" s="66"/>
      <c r="BX156" s="66"/>
      <c r="BY156" s="66"/>
      <c r="BZ156" s="66"/>
      <c r="CA156" s="66"/>
      <c r="CB156" s="66"/>
      <c r="CC156" s="66"/>
      <c r="CD156" s="66"/>
      <c r="CE156" s="66"/>
      <c r="CF156" s="68"/>
      <c r="CG156" s="68"/>
      <c r="CH156" s="66"/>
      <c r="CI156" s="66"/>
      <c r="CJ156" s="68"/>
      <c r="CK156" s="68"/>
      <c r="CL156" s="68"/>
      <c r="CM156" s="68"/>
      <c r="CN156" s="66"/>
      <c r="CO156" s="68"/>
      <c r="CP156" s="66"/>
      <c r="CQ156" s="68"/>
      <c r="CR156" s="68"/>
      <c r="CS156" s="68"/>
      <c r="CT156" s="68"/>
      <c r="CU156" s="68"/>
      <c r="CV156" s="68"/>
      <c r="CW156" s="68"/>
      <c r="CX156" s="68"/>
      <c r="CY156" s="68"/>
      <c r="CZ156" s="68"/>
      <c r="DA156" s="68"/>
      <c r="DB156" s="68"/>
      <c r="DC156" s="68"/>
      <c r="DD156" s="68"/>
      <c r="DE156" s="68"/>
      <c r="DF156" s="68"/>
      <c r="DG156" s="68"/>
      <c r="DH156" s="68"/>
      <c r="DI156" s="68"/>
      <c r="DJ156" s="68"/>
      <c r="DK156" s="68"/>
      <c r="DL156" s="68"/>
      <c r="DM156" s="68"/>
      <c r="DN156" s="68"/>
      <c r="DO156" s="68"/>
      <c r="DP156" s="68"/>
      <c r="DQ156" s="99"/>
      <c r="DR156" s="99"/>
      <c r="DS156" s="68"/>
      <c r="DT156" s="68"/>
      <c r="DU156" s="68"/>
      <c r="DV156" s="68"/>
      <c r="DW156" s="68"/>
      <c r="DX156" s="68"/>
      <c r="DY156" s="68"/>
      <c r="DZ156" s="68"/>
      <c r="EA156" s="68"/>
      <c r="EB156" s="68"/>
      <c r="EC156" s="68"/>
      <c r="ED156" s="68"/>
      <c r="EE156" s="68"/>
      <c r="EF156" s="68"/>
      <c r="EG156" s="68"/>
      <c r="EH156" s="68"/>
      <c r="EI156" s="68"/>
      <c r="EJ156" s="68"/>
      <c r="EK156" s="68"/>
      <c r="EL156" s="68"/>
      <c r="EM156" s="68"/>
      <c r="EN156" s="68"/>
      <c r="EO156" s="68"/>
      <c r="EP156" s="68"/>
      <c r="EQ156" s="68"/>
      <c r="ER156" s="3"/>
      <c r="ES156" s="3"/>
      <c r="EW156"/>
      <c r="EX156"/>
      <c r="EY156"/>
      <c r="FB156" s="1"/>
    </row>
    <row r="157" spans="3:158" ht="20.25" customHeight="1" x14ac:dyDescent="0.25">
      <c r="C157" s="1"/>
      <c r="D157" s="97"/>
      <c r="E157" s="97"/>
      <c r="F157" s="9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108"/>
      <c r="AO157" s="68"/>
      <c r="AP157" s="68"/>
      <c r="AQ157" s="68"/>
      <c r="AR157" s="68"/>
      <c r="AS157" s="68"/>
      <c r="AT157" s="66"/>
      <c r="AU157" s="68"/>
      <c r="AV157" s="68"/>
      <c r="AW157" s="68"/>
      <c r="AX157" s="66"/>
      <c r="AY157" s="68"/>
      <c r="AZ157" s="66"/>
      <c r="BA157" s="68"/>
      <c r="BB157" s="68"/>
      <c r="BC157" s="68"/>
      <c r="BD157" s="68"/>
      <c r="BE157" s="68"/>
      <c r="BF157" s="66"/>
      <c r="BG157" s="66"/>
      <c r="BH157" s="66"/>
      <c r="BI157" s="66"/>
      <c r="BJ157" s="66"/>
      <c r="BK157" s="66"/>
      <c r="BL157" s="66"/>
      <c r="BM157" s="66"/>
      <c r="BN157" s="66"/>
      <c r="BO157" s="66"/>
      <c r="BP157" s="66"/>
      <c r="BQ157" s="66"/>
      <c r="BR157" s="66"/>
      <c r="BS157" s="66"/>
      <c r="BT157" s="66"/>
      <c r="BU157" s="66"/>
      <c r="BV157" s="66"/>
      <c r="BW157" s="66"/>
      <c r="BX157" s="66"/>
      <c r="BY157" s="66"/>
      <c r="BZ157" s="66"/>
      <c r="CA157" s="66"/>
      <c r="CB157" s="66"/>
      <c r="CC157" s="66"/>
      <c r="CD157" s="66"/>
      <c r="CE157" s="66"/>
      <c r="CF157" s="68"/>
      <c r="CG157" s="68"/>
      <c r="CH157" s="66"/>
      <c r="CI157" s="66"/>
      <c r="CJ157" s="68"/>
      <c r="CK157" s="68"/>
      <c r="CL157" s="68"/>
      <c r="CM157" s="68"/>
      <c r="CN157" s="66"/>
      <c r="CO157" s="68"/>
      <c r="CP157" s="66"/>
      <c r="CQ157" s="68"/>
      <c r="CR157" s="68"/>
      <c r="CS157" s="68"/>
      <c r="CT157" s="68"/>
      <c r="CU157" s="68"/>
      <c r="CV157" s="68"/>
      <c r="CW157" s="68"/>
      <c r="CX157" s="68"/>
      <c r="CY157" s="68"/>
      <c r="CZ157" s="68"/>
      <c r="DA157" s="68"/>
      <c r="DB157" s="68"/>
      <c r="DC157" s="68"/>
      <c r="DD157" s="68"/>
      <c r="DE157" s="68"/>
      <c r="DF157" s="68"/>
      <c r="DG157" s="68"/>
      <c r="DH157" s="68"/>
      <c r="DI157" s="68"/>
      <c r="DJ157" s="68"/>
      <c r="DK157" s="68"/>
      <c r="DL157" s="68"/>
      <c r="DM157" s="68"/>
      <c r="DN157" s="68"/>
      <c r="DO157" s="68"/>
      <c r="DP157" s="68"/>
      <c r="DQ157" s="99"/>
      <c r="DR157" s="99"/>
      <c r="DS157" s="68"/>
      <c r="DT157" s="68"/>
      <c r="DU157" s="68"/>
      <c r="DV157" s="68"/>
      <c r="DW157" s="68"/>
      <c r="DX157" s="68"/>
      <c r="DY157" s="68"/>
      <c r="DZ157" s="68"/>
      <c r="EA157" s="68"/>
      <c r="EB157" s="68"/>
      <c r="EC157" s="68"/>
      <c r="ED157" s="68"/>
      <c r="EE157" s="68"/>
      <c r="EF157" s="68"/>
      <c r="EG157" s="68"/>
      <c r="EH157" s="68"/>
      <c r="EI157" s="68"/>
      <c r="EJ157" s="68"/>
      <c r="EK157" s="68"/>
      <c r="EL157" s="68"/>
      <c r="EM157" s="68"/>
      <c r="EN157" s="68"/>
      <c r="EO157" s="68"/>
      <c r="EP157" s="68"/>
      <c r="EQ157" s="68"/>
      <c r="ER157" s="3"/>
      <c r="ES157" s="3"/>
      <c r="EW157"/>
      <c r="EX157"/>
      <c r="EY157"/>
      <c r="FB157" s="1"/>
    </row>
    <row r="158" spans="3:158" ht="20.25" customHeight="1" x14ac:dyDescent="0.25">
      <c r="C158" s="1"/>
      <c r="D158" s="97"/>
      <c r="E158" s="97"/>
      <c r="F158" s="9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108"/>
      <c r="AO158" s="68"/>
      <c r="AP158" s="68"/>
      <c r="AQ158" s="68"/>
      <c r="AR158" s="68"/>
      <c r="AS158" s="68"/>
      <c r="AT158" s="66"/>
      <c r="AU158" s="68"/>
      <c r="AV158" s="68"/>
      <c r="AW158" s="68"/>
      <c r="AX158" s="66"/>
      <c r="AY158" s="68"/>
      <c r="AZ158" s="66"/>
      <c r="BA158" s="68"/>
      <c r="BB158" s="68"/>
      <c r="BC158" s="68"/>
      <c r="BD158" s="68"/>
      <c r="BE158" s="68"/>
      <c r="BF158" s="66"/>
      <c r="BG158" s="66"/>
      <c r="BH158" s="66"/>
      <c r="BI158" s="66"/>
      <c r="BJ158" s="66"/>
      <c r="BK158" s="66"/>
      <c r="BL158" s="66"/>
      <c r="BM158" s="66"/>
      <c r="BN158" s="66"/>
      <c r="BO158" s="66"/>
      <c r="BP158" s="66"/>
      <c r="BQ158" s="66"/>
      <c r="BR158" s="66"/>
      <c r="BS158" s="66"/>
      <c r="BT158" s="66"/>
      <c r="BU158" s="66"/>
      <c r="BV158" s="66"/>
      <c r="BW158" s="66"/>
      <c r="BX158" s="66"/>
      <c r="BY158" s="66"/>
      <c r="BZ158" s="66"/>
      <c r="CA158" s="66"/>
      <c r="CB158" s="66"/>
      <c r="CC158" s="66"/>
      <c r="CD158" s="66"/>
      <c r="CE158" s="66"/>
      <c r="CF158" s="68"/>
      <c r="CG158" s="68"/>
      <c r="CH158" s="66"/>
      <c r="CI158" s="66"/>
      <c r="CJ158" s="68"/>
      <c r="CK158" s="68"/>
      <c r="CL158" s="68"/>
      <c r="CM158" s="68"/>
      <c r="CN158" s="66"/>
      <c r="CO158" s="68"/>
      <c r="CP158" s="66"/>
      <c r="CQ158" s="68"/>
      <c r="CR158" s="68"/>
      <c r="CS158" s="68"/>
      <c r="CT158" s="68"/>
      <c r="CU158" s="68"/>
      <c r="CV158" s="68"/>
      <c r="CW158" s="68"/>
      <c r="CX158" s="68"/>
      <c r="CY158" s="68"/>
      <c r="CZ158" s="68"/>
      <c r="DA158" s="68"/>
      <c r="DB158" s="68"/>
      <c r="DC158" s="68"/>
      <c r="DD158" s="68"/>
      <c r="DE158" s="68"/>
      <c r="DF158" s="68"/>
      <c r="DG158" s="68"/>
      <c r="DH158" s="68"/>
      <c r="DI158" s="68"/>
      <c r="DJ158" s="68"/>
      <c r="DK158" s="68"/>
      <c r="DL158" s="68"/>
      <c r="DM158" s="68"/>
      <c r="DN158" s="68"/>
      <c r="DO158" s="68"/>
      <c r="DP158" s="68"/>
      <c r="DQ158" s="99"/>
      <c r="DR158" s="99"/>
      <c r="DS158" s="68"/>
      <c r="DT158" s="68"/>
      <c r="DU158" s="68"/>
      <c r="DV158" s="68"/>
      <c r="DW158" s="68"/>
      <c r="DX158" s="68"/>
      <c r="DY158" s="68"/>
      <c r="DZ158" s="68"/>
      <c r="EA158" s="68"/>
      <c r="EB158" s="68"/>
      <c r="EC158" s="68"/>
      <c r="ED158" s="68"/>
      <c r="EE158" s="68"/>
      <c r="EF158" s="68"/>
      <c r="EG158" s="68"/>
      <c r="EH158" s="68"/>
      <c r="EI158" s="68"/>
      <c r="EJ158" s="68"/>
      <c r="EK158" s="68"/>
      <c r="EL158" s="68"/>
      <c r="EM158" s="68"/>
      <c r="EN158" s="68"/>
      <c r="EO158" s="68"/>
      <c r="EP158" s="68"/>
      <c r="EQ158" s="68"/>
      <c r="ER158" s="3"/>
      <c r="ES158" s="3"/>
      <c r="EW158"/>
      <c r="EX158"/>
      <c r="EY158"/>
      <c r="FB158" s="1"/>
    </row>
    <row r="159" spans="3:158" ht="20.25" customHeight="1" x14ac:dyDescent="0.25">
      <c r="C159" s="1"/>
      <c r="D159" s="97"/>
      <c r="E159" s="97"/>
      <c r="F159" s="9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108"/>
      <c r="AO159" s="68"/>
      <c r="AP159" s="68"/>
      <c r="AQ159" s="68"/>
      <c r="AR159" s="68"/>
      <c r="AS159" s="68"/>
      <c r="AT159" s="66"/>
      <c r="AU159" s="68"/>
      <c r="AV159" s="68"/>
      <c r="AW159" s="68"/>
      <c r="AX159" s="66"/>
      <c r="AY159" s="68"/>
      <c r="AZ159" s="66"/>
      <c r="BA159" s="68"/>
      <c r="BB159" s="68"/>
      <c r="BC159" s="68"/>
      <c r="BD159" s="68"/>
      <c r="BE159" s="68"/>
      <c r="BF159" s="66"/>
      <c r="BG159" s="66"/>
      <c r="BH159" s="66"/>
      <c r="BI159" s="66"/>
      <c r="BJ159" s="66"/>
      <c r="BK159" s="66"/>
      <c r="BL159" s="66"/>
      <c r="BM159" s="66"/>
      <c r="BN159" s="66"/>
      <c r="BO159" s="66"/>
      <c r="BP159" s="66"/>
      <c r="BQ159" s="66"/>
      <c r="BR159" s="66"/>
      <c r="BS159" s="66"/>
      <c r="BT159" s="66"/>
      <c r="BU159" s="66"/>
      <c r="BV159" s="66"/>
      <c r="BW159" s="66"/>
      <c r="BX159" s="66"/>
      <c r="BY159" s="66"/>
      <c r="BZ159" s="66"/>
      <c r="CA159" s="66"/>
      <c r="CB159" s="66"/>
      <c r="CC159" s="66"/>
      <c r="CD159" s="66"/>
      <c r="CE159" s="66"/>
      <c r="CF159" s="68"/>
      <c r="CG159" s="68"/>
      <c r="CH159" s="66"/>
      <c r="CI159" s="66"/>
      <c r="CJ159" s="68"/>
      <c r="CK159" s="68"/>
      <c r="CL159" s="68"/>
      <c r="CM159" s="68"/>
      <c r="CN159" s="66"/>
      <c r="CO159" s="68"/>
      <c r="CP159" s="66"/>
      <c r="CQ159" s="68"/>
      <c r="CR159" s="68"/>
      <c r="CS159" s="68"/>
      <c r="CT159" s="68"/>
      <c r="CU159" s="68"/>
      <c r="CV159" s="68"/>
      <c r="CW159" s="68"/>
      <c r="CX159" s="68"/>
      <c r="CY159" s="68"/>
      <c r="CZ159" s="68"/>
      <c r="DA159" s="68"/>
      <c r="DB159" s="68"/>
      <c r="DC159" s="68"/>
      <c r="DD159" s="68"/>
      <c r="DE159" s="68"/>
      <c r="DF159" s="68"/>
      <c r="DG159" s="68"/>
      <c r="DH159" s="68"/>
      <c r="DI159" s="68"/>
      <c r="DJ159" s="68"/>
      <c r="DK159" s="68"/>
      <c r="DL159" s="68"/>
      <c r="DM159" s="68"/>
      <c r="DN159" s="68"/>
      <c r="DO159" s="68"/>
      <c r="DP159" s="68"/>
      <c r="DQ159" s="99"/>
      <c r="DR159" s="99"/>
      <c r="DS159" s="68"/>
      <c r="DT159" s="68"/>
      <c r="DU159" s="68"/>
      <c r="DV159" s="68"/>
      <c r="DW159" s="68"/>
      <c r="DX159" s="68"/>
      <c r="DY159" s="68"/>
      <c r="DZ159" s="68"/>
      <c r="EA159" s="68"/>
      <c r="EB159" s="68"/>
      <c r="EC159" s="68"/>
      <c r="ED159" s="68"/>
      <c r="EE159" s="68"/>
      <c r="EF159" s="68"/>
      <c r="EG159" s="68"/>
      <c r="EH159" s="68"/>
      <c r="EI159" s="68"/>
      <c r="EJ159" s="68"/>
      <c r="EK159" s="68"/>
      <c r="EL159" s="68"/>
      <c r="EM159" s="68"/>
      <c r="EN159" s="68"/>
      <c r="EO159" s="68"/>
      <c r="EP159" s="68"/>
      <c r="EQ159" s="68"/>
      <c r="ER159" s="3"/>
      <c r="ES159" s="3"/>
      <c r="EW159"/>
      <c r="EX159"/>
      <c r="EY159"/>
      <c r="FB159" s="1"/>
    </row>
    <row r="160" spans="3:158" ht="20.25" customHeight="1" x14ac:dyDescent="0.25">
      <c r="C160" s="1"/>
      <c r="D160" s="97"/>
      <c r="E160" s="97"/>
      <c r="F160" s="9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108"/>
      <c r="AO160" s="68"/>
      <c r="AP160" s="68"/>
      <c r="AQ160" s="68"/>
      <c r="AR160" s="68"/>
      <c r="AS160" s="68"/>
      <c r="AT160" s="66"/>
      <c r="AU160" s="68"/>
      <c r="AV160" s="68"/>
      <c r="AW160" s="68"/>
      <c r="AX160" s="66"/>
      <c r="AY160" s="68"/>
      <c r="AZ160" s="66"/>
      <c r="BA160" s="68"/>
      <c r="BB160" s="68"/>
      <c r="BC160" s="68"/>
      <c r="BD160" s="68"/>
      <c r="BE160" s="68"/>
      <c r="BF160" s="66"/>
      <c r="BG160" s="66"/>
      <c r="BH160" s="66"/>
      <c r="BI160" s="66"/>
      <c r="BJ160" s="66"/>
      <c r="BK160" s="66"/>
      <c r="BL160" s="66"/>
      <c r="BM160" s="66"/>
      <c r="BN160" s="66"/>
      <c r="BO160" s="66"/>
      <c r="BP160" s="66"/>
      <c r="BQ160" s="66"/>
      <c r="BR160" s="66"/>
      <c r="BS160" s="66"/>
      <c r="BT160" s="66"/>
      <c r="BU160" s="66"/>
      <c r="BV160" s="66"/>
      <c r="BW160" s="66"/>
      <c r="BX160" s="66"/>
      <c r="BY160" s="66"/>
      <c r="BZ160" s="66"/>
      <c r="CA160" s="66"/>
      <c r="CB160" s="66"/>
      <c r="CC160" s="66"/>
      <c r="CD160" s="66"/>
      <c r="CE160" s="66"/>
      <c r="CF160" s="68"/>
      <c r="CG160" s="68"/>
      <c r="CH160" s="66"/>
      <c r="CI160" s="66"/>
      <c r="CJ160" s="68"/>
      <c r="CK160" s="68"/>
      <c r="CL160" s="68"/>
      <c r="CM160" s="68"/>
      <c r="CN160" s="66"/>
      <c r="CO160" s="68"/>
      <c r="CP160" s="66"/>
      <c r="CQ160" s="68"/>
      <c r="CR160" s="68"/>
      <c r="CS160" s="68"/>
      <c r="CT160" s="68"/>
      <c r="CU160" s="68"/>
      <c r="CV160" s="68"/>
      <c r="CW160" s="68"/>
      <c r="CX160" s="68"/>
      <c r="CY160" s="68"/>
      <c r="CZ160" s="68"/>
      <c r="DA160" s="68"/>
      <c r="DB160" s="68"/>
      <c r="DC160" s="68"/>
      <c r="DD160" s="68"/>
      <c r="DE160" s="68"/>
      <c r="DF160" s="68"/>
      <c r="DG160" s="68"/>
      <c r="DH160" s="68"/>
      <c r="DI160" s="68"/>
      <c r="DJ160" s="68"/>
      <c r="DK160" s="68"/>
      <c r="DL160" s="68"/>
      <c r="DM160" s="68"/>
      <c r="DN160" s="68"/>
      <c r="DO160" s="68"/>
      <c r="DP160" s="68"/>
      <c r="DQ160" s="99"/>
      <c r="DR160" s="99"/>
      <c r="DS160" s="68"/>
      <c r="DT160" s="68"/>
      <c r="DU160" s="68"/>
      <c r="DV160" s="68"/>
      <c r="DW160" s="68"/>
      <c r="DX160" s="68"/>
      <c r="DY160" s="68"/>
      <c r="DZ160" s="68"/>
      <c r="EA160" s="68"/>
      <c r="EB160" s="68"/>
      <c r="EC160" s="68"/>
      <c r="ED160" s="68"/>
      <c r="EE160" s="68"/>
      <c r="EF160" s="68"/>
      <c r="EG160" s="68"/>
      <c r="EH160" s="68"/>
      <c r="EI160" s="68"/>
      <c r="EJ160" s="68"/>
      <c r="EK160" s="68"/>
      <c r="EL160" s="68"/>
      <c r="EM160" s="68"/>
      <c r="EN160" s="68"/>
      <c r="EO160" s="68"/>
      <c r="EP160" s="68"/>
      <c r="EQ160" s="68"/>
      <c r="ER160" s="3"/>
      <c r="ES160" s="3"/>
      <c r="EW160"/>
      <c r="EX160"/>
      <c r="EY160"/>
      <c r="FB160" s="1"/>
    </row>
    <row r="161" spans="3:158" ht="20.25" customHeight="1" x14ac:dyDescent="0.25">
      <c r="C161" s="1"/>
      <c r="D161" s="97"/>
      <c r="E161" s="97"/>
      <c r="F161" s="9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108"/>
      <c r="AO161" s="68"/>
      <c r="AP161" s="68"/>
      <c r="AQ161" s="68"/>
      <c r="AR161" s="68"/>
      <c r="AS161" s="68"/>
      <c r="AT161" s="66"/>
      <c r="AU161" s="68"/>
      <c r="AV161" s="68"/>
      <c r="AW161" s="68"/>
      <c r="AX161" s="66"/>
      <c r="AY161" s="68"/>
      <c r="AZ161" s="66"/>
      <c r="BA161" s="68"/>
      <c r="BB161" s="68"/>
      <c r="BC161" s="68"/>
      <c r="BD161" s="68"/>
      <c r="BE161" s="68"/>
      <c r="BF161" s="66"/>
      <c r="BG161" s="66"/>
      <c r="BH161" s="66"/>
      <c r="BI161" s="66"/>
      <c r="BJ161" s="66"/>
      <c r="BK161" s="66"/>
      <c r="BL161" s="66"/>
      <c r="BM161" s="66"/>
      <c r="BN161" s="66"/>
      <c r="BO161" s="66"/>
      <c r="BP161" s="66"/>
      <c r="BQ161" s="66"/>
      <c r="BR161" s="66"/>
      <c r="BS161" s="66"/>
      <c r="BT161" s="66"/>
      <c r="BU161" s="66"/>
      <c r="BV161" s="66"/>
      <c r="BW161" s="66"/>
      <c r="BX161" s="66"/>
      <c r="BY161" s="66"/>
      <c r="BZ161" s="66"/>
      <c r="CA161" s="66"/>
      <c r="CB161" s="66"/>
      <c r="CC161" s="66"/>
      <c r="CD161" s="66"/>
      <c r="CE161" s="66"/>
      <c r="CF161" s="68"/>
      <c r="CG161" s="68"/>
      <c r="CH161" s="66"/>
      <c r="CI161" s="66"/>
      <c r="CJ161" s="68"/>
      <c r="CK161" s="68"/>
      <c r="CL161" s="68"/>
      <c r="CM161" s="68"/>
      <c r="CN161" s="66"/>
      <c r="CO161" s="68"/>
      <c r="CP161" s="66"/>
      <c r="CQ161" s="68"/>
      <c r="CR161" s="68"/>
      <c r="CS161" s="68"/>
      <c r="CT161" s="68"/>
      <c r="CU161" s="68"/>
      <c r="CV161" s="68"/>
      <c r="CW161" s="68"/>
      <c r="CX161" s="68"/>
      <c r="CY161" s="68"/>
      <c r="CZ161" s="68"/>
      <c r="DA161" s="68"/>
      <c r="DB161" s="68"/>
      <c r="DC161" s="68"/>
      <c r="DD161" s="68"/>
      <c r="DE161" s="68"/>
      <c r="DF161" s="68"/>
      <c r="DG161" s="68"/>
      <c r="DH161" s="68"/>
      <c r="DI161" s="68"/>
      <c r="DJ161" s="68"/>
      <c r="DK161" s="68"/>
      <c r="DL161" s="68"/>
      <c r="DM161" s="68"/>
      <c r="DN161" s="68"/>
      <c r="DO161" s="68"/>
      <c r="DP161" s="68"/>
      <c r="DQ161" s="99"/>
      <c r="DR161" s="99"/>
      <c r="DS161" s="68"/>
      <c r="DT161" s="68"/>
      <c r="DU161" s="68"/>
      <c r="DV161" s="68"/>
      <c r="DW161" s="68"/>
      <c r="DX161" s="68"/>
      <c r="DY161" s="68"/>
      <c r="DZ161" s="68"/>
      <c r="EA161" s="68"/>
      <c r="EB161" s="68"/>
      <c r="EC161" s="68"/>
      <c r="ED161" s="68"/>
      <c r="EE161" s="68"/>
      <c r="EF161" s="68"/>
      <c r="EG161" s="68"/>
      <c r="EH161" s="68"/>
      <c r="EI161" s="68"/>
      <c r="EJ161" s="68"/>
      <c r="EK161" s="68"/>
      <c r="EL161" s="68"/>
      <c r="EM161" s="68"/>
      <c r="EN161" s="68"/>
      <c r="EO161" s="68"/>
      <c r="EP161" s="68"/>
      <c r="EQ161" s="68"/>
      <c r="ER161" s="3"/>
      <c r="ES161" s="3"/>
      <c r="EW161"/>
      <c r="EX161"/>
      <c r="EY161"/>
      <c r="FB161" s="1"/>
    </row>
    <row r="162" spans="3:158" ht="20.25" customHeight="1" x14ac:dyDescent="0.25">
      <c r="C162" s="1"/>
      <c r="D162" s="97"/>
      <c r="E162" s="97"/>
      <c r="F162" s="9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108"/>
      <c r="AO162" s="68"/>
      <c r="AP162" s="68"/>
      <c r="AQ162" s="68"/>
      <c r="AR162" s="68"/>
      <c r="AS162" s="68"/>
      <c r="AT162" s="66"/>
      <c r="AU162" s="68"/>
      <c r="AV162" s="68"/>
      <c r="AW162" s="68"/>
      <c r="AX162" s="66"/>
      <c r="AY162" s="68"/>
      <c r="AZ162" s="66"/>
      <c r="BA162" s="68"/>
      <c r="BB162" s="68"/>
      <c r="BC162" s="68"/>
      <c r="BD162" s="68"/>
      <c r="BE162" s="68"/>
      <c r="BF162" s="66"/>
      <c r="BG162" s="66"/>
      <c r="BH162" s="66"/>
      <c r="BI162" s="66"/>
      <c r="BJ162" s="66"/>
      <c r="BK162" s="66"/>
      <c r="BL162" s="66"/>
      <c r="BM162" s="66"/>
      <c r="BN162" s="66"/>
      <c r="BO162" s="66"/>
      <c r="BP162" s="66"/>
      <c r="BQ162" s="66"/>
      <c r="BR162" s="66"/>
      <c r="BS162" s="66"/>
      <c r="BT162" s="66"/>
      <c r="BU162" s="66"/>
      <c r="BV162" s="66"/>
      <c r="BW162" s="66"/>
      <c r="BX162" s="66"/>
      <c r="BY162" s="66"/>
      <c r="BZ162" s="66"/>
      <c r="CA162" s="66"/>
      <c r="CB162" s="66"/>
      <c r="CC162" s="66"/>
      <c r="CD162" s="66"/>
      <c r="CE162" s="66"/>
      <c r="CF162" s="68"/>
      <c r="CG162" s="68"/>
      <c r="CH162" s="66"/>
      <c r="CI162" s="66"/>
      <c r="CJ162" s="68"/>
      <c r="CK162" s="68"/>
      <c r="CL162" s="68"/>
      <c r="CM162" s="68"/>
      <c r="CN162" s="66"/>
      <c r="CO162" s="68"/>
      <c r="CP162" s="66"/>
      <c r="CQ162" s="68"/>
      <c r="CR162" s="68"/>
      <c r="CS162" s="68"/>
      <c r="CT162" s="68"/>
      <c r="CU162" s="68"/>
      <c r="CV162" s="68"/>
      <c r="CW162" s="68"/>
      <c r="CX162" s="68"/>
      <c r="CY162" s="68"/>
      <c r="CZ162" s="68"/>
      <c r="DA162" s="68"/>
      <c r="DB162" s="68"/>
      <c r="DC162" s="68"/>
      <c r="DD162" s="68"/>
      <c r="DE162" s="68"/>
      <c r="DF162" s="68"/>
      <c r="DG162" s="68"/>
      <c r="DH162" s="68"/>
      <c r="DI162" s="68"/>
      <c r="DJ162" s="68"/>
      <c r="DK162" s="68"/>
      <c r="DL162" s="68"/>
      <c r="DM162" s="68"/>
      <c r="DN162" s="68"/>
      <c r="DO162" s="68"/>
      <c r="DP162" s="68"/>
      <c r="DQ162" s="99"/>
      <c r="DR162" s="99"/>
      <c r="DS162" s="68"/>
      <c r="DT162" s="68"/>
      <c r="DU162" s="68"/>
      <c r="DV162" s="68"/>
      <c r="DW162" s="68"/>
      <c r="DX162" s="68"/>
      <c r="DY162" s="68"/>
      <c r="DZ162" s="68"/>
      <c r="EA162" s="68"/>
      <c r="EB162" s="68"/>
      <c r="EC162" s="68"/>
      <c r="ED162" s="68"/>
      <c r="EE162" s="68"/>
      <c r="EF162" s="68"/>
      <c r="EG162" s="68"/>
      <c r="EH162" s="68"/>
      <c r="EI162" s="68"/>
      <c r="EJ162" s="68"/>
      <c r="EK162" s="68"/>
      <c r="EL162" s="68"/>
      <c r="EM162" s="68"/>
      <c r="EN162" s="68"/>
      <c r="EO162" s="68"/>
      <c r="EP162" s="68"/>
      <c r="EQ162" s="68"/>
      <c r="ER162" s="3"/>
      <c r="ES162" s="3"/>
      <c r="EW162"/>
      <c r="EX162"/>
      <c r="EY162"/>
      <c r="FB162" s="1"/>
    </row>
    <row r="163" spans="3:158" ht="20.25" customHeight="1" x14ac:dyDescent="0.25">
      <c r="C163" s="1"/>
      <c r="D163" s="97"/>
      <c r="E163" s="97"/>
      <c r="F163" s="9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108"/>
      <c r="AO163" s="68"/>
      <c r="AP163" s="68"/>
      <c r="AQ163" s="68"/>
      <c r="AR163" s="68"/>
      <c r="AS163" s="68"/>
      <c r="AT163" s="66"/>
      <c r="AU163" s="68"/>
      <c r="AV163" s="68"/>
      <c r="AW163" s="68"/>
      <c r="AX163" s="66"/>
      <c r="AY163" s="68"/>
      <c r="AZ163" s="66"/>
      <c r="BA163" s="68"/>
      <c r="BB163" s="68"/>
      <c r="BC163" s="68"/>
      <c r="BD163" s="68"/>
      <c r="BE163" s="68"/>
      <c r="BF163" s="66"/>
      <c r="BG163" s="66"/>
      <c r="BH163" s="66"/>
      <c r="BI163" s="66"/>
      <c r="BJ163" s="66"/>
      <c r="BK163" s="66"/>
      <c r="BL163" s="66"/>
      <c r="BM163" s="66"/>
      <c r="BN163" s="66"/>
      <c r="BO163" s="66"/>
      <c r="BP163" s="66"/>
      <c r="BQ163" s="66"/>
      <c r="BR163" s="66"/>
      <c r="BS163" s="66"/>
      <c r="BT163" s="66"/>
      <c r="BU163" s="66"/>
      <c r="BV163" s="66"/>
      <c r="BW163" s="66"/>
      <c r="BX163" s="66"/>
      <c r="BY163" s="66"/>
      <c r="BZ163" s="66"/>
      <c r="CA163" s="66"/>
      <c r="CB163" s="66"/>
      <c r="CC163" s="66"/>
      <c r="CD163" s="66"/>
      <c r="CE163" s="66"/>
      <c r="CF163" s="68"/>
      <c r="CG163" s="68"/>
      <c r="CH163" s="66"/>
      <c r="CI163" s="66"/>
      <c r="CJ163" s="68"/>
      <c r="CK163" s="68"/>
      <c r="CL163" s="68"/>
      <c r="CM163" s="68"/>
      <c r="CN163" s="66"/>
      <c r="CO163" s="68"/>
      <c r="CP163" s="66"/>
      <c r="CQ163" s="68"/>
      <c r="CR163" s="68"/>
      <c r="CS163" s="68"/>
      <c r="CT163" s="68"/>
      <c r="CU163" s="68"/>
      <c r="CV163" s="68"/>
      <c r="CW163" s="68"/>
      <c r="CX163" s="68"/>
      <c r="CY163" s="68"/>
      <c r="CZ163" s="68"/>
      <c r="DA163" s="68"/>
      <c r="DB163" s="68"/>
      <c r="DC163" s="68"/>
      <c r="DD163" s="68"/>
      <c r="DE163" s="68"/>
      <c r="DF163" s="68"/>
      <c r="DG163" s="68"/>
      <c r="DH163" s="68"/>
      <c r="DI163" s="68"/>
      <c r="DJ163" s="68"/>
      <c r="DK163" s="68"/>
      <c r="DL163" s="68"/>
      <c r="DM163" s="68"/>
      <c r="DN163" s="68"/>
      <c r="DO163" s="68"/>
      <c r="DP163" s="68"/>
      <c r="DQ163" s="99"/>
      <c r="DR163" s="99"/>
      <c r="DS163" s="68"/>
      <c r="DT163" s="68"/>
      <c r="DU163" s="68"/>
      <c r="DV163" s="68"/>
      <c r="DW163" s="68"/>
      <c r="DX163" s="68"/>
      <c r="DY163" s="68"/>
      <c r="DZ163" s="68"/>
      <c r="EA163" s="68"/>
      <c r="EB163" s="68"/>
      <c r="EC163" s="68"/>
      <c r="ED163" s="68"/>
      <c r="EE163" s="68"/>
      <c r="EF163" s="68"/>
      <c r="EG163" s="68"/>
      <c r="EH163" s="68"/>
      <c r="EI163" s="68"/>
      <c r="EJ163" s="68"/>
      <c r="EK163" s="68"/>
      <c r="EL163" s="68"/>
      <c r="EM163" s="68"/>
      <c r="EN163" s="68"/>
      <c r="EO163" s="68"/>
      <c r="EP163" s="68"/>
      <c r="EQ163" s="68"/>
      <c r="ER163" s="3"/>
      <c r="ES163" s="3"/>
      <c r="EW163"/>
      <c r="EX163"/>
      <c r="EY163"/>
      <c r="FB163" s="1"/>
    </row>
    <row r="164" spans="3:158" ht="20.25" customHeight="1" x14ac:dyDescent="0.25">
      <c r="C164" s="1"/>
      <c r="D164" s="97"/>
      <c r="E164" s="97"/>
      <c r="F164" s="9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108"/>
      <c r="AO164" s="68"/>
      <c r="AP164" s="68"/>
      <c r="AQ164" s="68"/>
      <c r="AR164" s="68"/>
      <c r="AS164" s="68"/>
      <c r="AT164" s="66"/>
      <c r="AU164" s="68"/>
      <c r="AV164" s="68"/>
      <c r="AW164" s="68"/>
      <c r="AX164" s="66"/>
      <c r="AY164" s="68"/>
      <c r="AZ164" s="66"/>
      <c r="BA164" s="68"/>
      <c r="BB164" s="68"/>
      <c r="BC164" s="68"/>
      <c r="BD164" s="68"/>
      <c r="BE164" s="68"/>
      <c r="BF164" s="66"/>
      <c r="BG164" s="66"/>
      <c r="BH164" s="66"/>
      <c r="BI164" s="66"/>
      <c r="BJ164" s="66"/>
      <c r="BK164" s="66"/>
      <c r="BL164" s="66"/>
      <c r="BM164" s="66"/>
      <c r="BN164" s="66"/>
      <c r="BO164" s="66"/>
      <c r="BP164" s="66"/>
      <c r="BQ164" s="66"/>
      <c r="BR164" s="66"/>
      <c r="BS164" s="66"/>
      <c r="BT164" s="66"/>
      <c r="BU164" s="66"/>
      <c r="BV164" s="66"/>
      <c r="BW164" s="66"/>
      <c r="BX164" s="66"/>
      <c r="BY164" s="66"/>
      <c r="BZ164" s="66"/>
      <c r="CA164" s="66"/>
      <c r="CB164" s="66"/>
      <c r="CC164" s="66"/>
      <c r="CD164" s="66"/>
      <c r="CE164" s="66"/>
      <c r="CF164" s="68"/>
      <c r="CG164" s="68"/>
      <c r="CH164" s="66"/>
      <c r="CI164" s="66"/>
      <c r="CJ164" s="68"/>
      <c r="CK164" s="68"/>
      <c r="CL164" s="68"/>
      <c r="CM164" s="68"/>
      <c r="CN164" s="66"/>
      <c r="CO164" s="68"/>
      <c r="CP164" s="66"/>
      <c r="CQ164" s="68"/>
      <c r="CR164" s="68"/>
      <c r="CS164" s="68"/>
      <c r="CT164" s="68"/>
      <c r="CU164" s="68"/>
      <c r="CV164" s="68"/>
      <c r="CW164" s="68"/>
      <c r="CX164" s="68"/>
      <c r="CY164" s="68"/>
      <c r="CZ164" s="68"/>
      <c r="DA164" s="68"/>
      <c r="DB164" s="68"/>
      <c r="DC164" s="68"/>
      <c r="DD164" s="68"/>
      <c r="DE164" s="68"/>
      <c r="DF164" s="68"/>
      <c r="DG164" s="68"/>
      <c r="DH164" s="68"/>
      <c r="DI164" s="68"/>
      <c r="DJ164" s="68"/>
      <c r="DK164" s="68"/>
      <c r="DL164" s="68"/>
      <c r="DM164" s="68"/>
      <c r="DN164" s="68"/>
      <c r="DO164" s="68"/>
      <c r="DP164" s="68"/>
      <c r="DQ164" s="99"/>
      <c r="DR164" s="99"/>
      <c r="DS164" s="68"/>
      <c r="DT164" s="68"/>
      <c r="DU164" s="68"/>
      <c r="DV164" s="68"/>
      <c r="DW164" s="68"/>
      <c r="DX164" s="68"/>
      <c r="DY164" s="68"/>
      <c r="DZ164" s="68"/>
      <c r="EA164" s="68"/>
      <c r="EB164" s="68"/>
      <c r="EC164" s="68"/>
      <c r="ED164" s="68"/>
      <c r="EE164" s="68"/>
      <c r="EF164" s="68"/>
      <c r="EG164" s="68"/>
      <c r="EH164" s="68"/>
      <c r="EI164" s="68"/>
      <c r="EJ164" s="68"/>
      <c r="EK164" s="68"/>
      <c r="EL164" s="68"/>
      <c r="EM164" s="68"/>
      <c r="EN164" s="68"/>
      <c r="EO164" s="68"/>
      <c r="EP164" s="68"/>
      <c r="EQ164" s="68"/>
      <c r="ER164" s="3"/>
      <c r="ES164" s="3"/>
      <c r="EW164"/>
      <c r="EX164"/>
      <c r="EY164"/>
      <c r="FB164" s="1"/>
    </row>
    <row r="165" spans="3:158" ht="20.25" customHeight="1" x14ac:dyDescent="0.25">
      <c r="C165" s="1"/>
      <c r="D165" s="97"/>
      <c r="E165" s="97"/>
      <c r="F165" s="9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108"/>
      <c r="AO165" s="68"/>
      <c r="AP165" s="68"/>
      <c r="AQ165" s="68"/>
      <c r="AR165" s="68"/>
      <c r="AS165" s="68"/>
      <c r="AT165" s="66"/>
      <c r="AU165" s="68"/>
      <c r="AV165" s="68"/>
      <c r="AW165" s="68"/>
      <c r="AX165" s="66"/>
      <c r="AY165" s="68"/>
      <c r="AZ165" s="66"/>
      <c r="BA165" s="68"/>
      <c r="BB165" s="68"/>
      <c r="BC165" s="68"/>
      <c r="BD165" s="68"/>
      <c r="BE165" s="68"/>
      <c r="BF165" s="66"/>
      <c r="BG165" s="66"/>
      <c r="BH165" s="66"/>
      <c r="BI165" s="66"/>
      <c r="BJ165" s="66"/>
      <c r="BK165" s="66"/>
      <c r="BL165" s="66"/>
      <c r="BM165" s="66"/>
      <c r="BN165" s="66"/>
      <c r="BO165" s="66"/>
      <c r="BP165" s="66"/>
      <c r="BQ165" s="66"/>
      <c r="BR165" s="66"/>
      <c r="BS165" s="66"/>
      <c r="BT165" s="66"/>
      <c r="BU165" s="66"/>
      <c r="BV165" s="66"/>
      <c r="BW165" s="66"/>
      <c r="BX165" s="66"/>
      <c r="BY165" s="66"/>
      <c r="BZ165" s="66"/>
      <c r="CA165" s="66"/>
      <c r="CB165" s="66"/>
      <c r="CC165" s="66"/>
      <c r="CD165" s="66"/>
      <c r="CE165" s="66"/>
      <c r="CF165" s="68"/>
      <c r="CG165" s="68"/>
      <c r="CH165" s="66"/>
      <c r="CI165" s="66"/>
      <c r="CJ165" s="68"/>
      <c r="CK165" s="68"/>
      <c r="CL165" s="68"/>
      <c r="CM165" s="68"/>
      <c r="CN165" s="66"/>
      <c r="CO165" s="68"/>
      <c r="CP165" s="66"/>
      <c r="CQ165" s="68"/>
      <c r="CR165" s="68"/>
      <c r="CS165" s="68"/>
      <c r="CT165" s="68"/>
      <c r="CU165" s="68"/>
      <c r="CV165" s="68"/>
      <c r="CW165" s="68"/>
      <c r="CX165" s="68"/>
      <c r="CY165" s="68"/>
      <c r="CZ165" s="68"/>
      <c r="DA165" s="68"/>
      <c r="DB165" s="68"/>
      <c r="DC165" s="68"/>
      <c r="DD165" s="68"/>
      <c r="DE165" s="68"/>
      <c r="DF165" s="68"/>
      <c r="DG165" s="68"/>
      <c r="DH165" s="68"/>
      <c r="DI165" s="68"/>
      <c r="DJ165" s="68"/>
      <c r="DK165" s="68"/>
      <c r="DL165" s="68"/>
      <c r="DM165" s="68"/>
      <c r="DN165" s="68"/>
      <c r="DO165" s="68"/>
      <c r="DP165" s="68"/>
      <c r="DQ165" s="99"/>
      <c r="DR165" s="99"/>
      <c r="DS165" s="68"/>
      <c r="DT165" s="68"/>
      <c r="DU165" s="68"/>
      <c r="DV165" s="68"/>
      <c r="DW165" s="68"/>
      <c r="DX165" s="68"/>
      <c r="DY165" s="68"/>
      <c r="DZ165" s="68"/>
      <c r="EA165" s="68"/>
      <c r="EB165" s="68"/>
      <c r="EC165" s="68"/>
      <c r="ED165" s="68"/>
      <c r="EE165" s="68"/>
      <c r="EF165" s="68"/>
      <c r="EG165" s="68"/>
      <c r="EH165" s="68"/>
      <c r="EI165" s="68"/>
      <c r="EJ165" s="68"/>
      <c r="EK165" s="68"/>
      <c r="EL165" s="68"/>
      <c r="EM165" s="68"/>
      <c r="EN165" s="68"/>
      <c r="EO165" s="68"/>
      <c r="EP165" s="68"/>
      <c r="EQ165" s="68"/>
      <c r="ER165" s="3"/>
      <c r="ES165" s="3"/>
      <c r="EW165"/>
      <c r="EX165"/>
      <c r="EY165"/>
      <c r="FB165" s="1"/>
    </row>
    <row r="166" spans="3:158" ht="20.25" customHeight="1" x14ac:dyDescent="0.25">
      <c r="C166" s="1"/>
      <c r="D166" s="97"/>
      <c r="E166" s="97"/>
      <c r="F166" s="9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108"/>
      <c r="AO166" s="68"/>
      <c r="AP166" s="68"/>
      <c r="AQ166" s="68"/>
      <c r="AR166" s="68"/>
      <c r="AS166" s="68"/>
      <c r="AT166" s="66"/>
      <c r="AU166" s="68"/>
      <c r="AV166" s="68"/>
      <c r="AW166" s="68"/>
      <c r="AX166" s="66"/>
      <c r="AY166" s="68"/>
      <c r="AZ166" s="66"/>
      <c r="BA166" s="68"/>
      <c r="BB166" s="68"/>
      <c r="BC166" s="68"/>
      <c r="BD166" s="68"/>
      <c r="BE166" s="68"/>
      <c r="BF166" s="66"/>
      <c r="BG166" s="66"/>
      <c r="BH166" s="66"/>
      <c r="BI166" s="66"/>
      <c r="BJ166" s="66"/>
      <c r="BK166" s="66"/>
      <c r="BL166" s="66"/>
      <c r="BM166" s="66"/>
      <c r="BN166" s="66"/>
      <c r="BO166" s="66"/>
      <c r="BP166" s="66"/>
      <c r="BQ166" s="66"/>
      <c r="BR166" s="66"/>
      <c r="BS166" s="66"/>
      <c r="BT166" s="66"/>
      <c r="BU166" s="66"/>
      <c r="BV166" s="66"/>
      <c r="BW166" s="66"/>
      <c r="BX166" s="66"/>
      <c r="BY166" s="66"/>
      <c r="BZ166" s="66"/>
      <c r="CA166" s="66"/>
      <c r="CB166" s="66"/>
      <c r="CC166" s="66"/>
      <c r="CD166" s="66"/>
      <c r="CE166" s="66"/>
      <c r="CF166" s="68"/>
      <c r="CG166" s="68"/>
      <c r="CH166" s="66"/>
      <c r="CI166" s="66"/>
      <c r="CJ166" s="68"/>
      <c r="CK166" s="68"/>
      <c r="CL166" s="68"/>
      <c r="CM166" s="68"/>
      <c r="CN166" s="66"/>
      <c r="CO166" s="68"/>
      <c r="CP166" s="66"/>
      <c r="CQ166" s="68"/>
      <c r="CR166" s="68"/>
      <c r="CS166" s="68"/>
      <c r="CT166" s="68"/>
      <c r="CU166" s="68"/>
      <c r="CV166" s="68"/>
      <c r="CW166" s="68"/>
      <c r="CX166" s="68"/>
      <c r="CY166" s="68"/>
      <c r="CZ166" s="68"/>
      <c r="DA166" s="68"/>
      <c r="DB166" s="68"/>
      <c r="DC166" s="68"/>
      <c r="DD166" s="68"/>
      <c r="DE166" s="68"/>
      <c r="DF166" s="68"/>
      <c r="DG166" s="68"/>
      <c r="DH166" s="68"/>
      <c r="DI166" s="68"/>
      <c r="DJ166" s="68"/>
      <c r="DK166" s="68"/>
      <c r="DL166" s="68"/>
      <c r="DM166" s="68"/>
      <c r="DN166" s="68"/>
      <c r="DO166" s="68"/>
      <c r="DP166" s="68"/>
      <c r="DQ166" s="99"/>
      <c r="DR166" s="99"/>
      <c r="DS166" s="68"/>
      <c r="DT166" s="68"/>
      <c r="DU166" s="68"/>
      <c r="DV166" s="68"/>
      <c r="DW166" s="68"/>
      <c r="DX166" s="68"/>
      <c r="DY166" s="68"/>
      <c r="DZ166" s="68"/>
      <c r="EA166" s="68"/>
      <c r="EB166" s="68"/>
      <c r="EC166" s="68"/>
      <c r="ED166" s="68"/>
      <c r="EE166" s="68"/>
      <c r="EF166" s="68"/>
      <c r="EG166" s="68"/>
      <c r="EH166" s="68"/>
      <c r="EI166" s="68"/>
      <c r="EJ166" s="68"/>
      <c r="EK166" s="68"/>
      <c r="EL166" s="68"/>
      <c r="EM166" s="68"/>
      <c r="EN166" s="68"/>
      <c r="EO166" s="68"/>
      <c r="EP166" s="68"/>
      <c r="EQ166" s="68"/>
      <c r="ER166" s="3"/>
      <c r="ES166" s="3"/>
      <c r="EW166"/>
      <c r="EX166"/>
      <c r="EY166"/>
      <c r="FB166" s="1"/>
    </row>
    <row r="167" spans="3:158" ht="20.25" customHeight="1" x14ac:dyDescent="0.25">
      <c r="C167" s="1"/>
      <c r="D167" s="97"/>
      <c r="E167" s="97"/>
      <c r="F167" s="9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108"/>
      <c r="AO167" s="68"/>
      <c r="AP167" s="68"/>
      <c r="AQ167" s="68"/>
      <c r="AR167" s="68"/>
      <c r="AS167" s="68"/>
      <c r="AT167" s="66"/>
      <c r="AU167" s="68"/>
      <c r="AV167" s="68"/>
      <c r="AW167" s="68"/>
      <c r="AX167" s="66"/>
      <c r="AY167" s="68"/>
      <c r="AZ167" s="66"/>
      <c r="BA167" s="68"/>
      <c r="BB167" s="68"/>
      <c r="BC167" s="68"/>
      <c r="BD167" s="68"/>
      <c r="BE167" s="68"/>
      <c r="BF167" s="66"/>
      <c r="BG167" s="66"/>
      <c r="BH167" s="66"/>
      <c r="BI167" s="66"/>
      <c r="BJ167" s="66"/>
      <c r="BK167" s="66"/>
      <c r="BL167" s="66"/>
      <c r="BM167" s="66"/>
      <c r="BN167" s="66"/>
      <c r="BO167" s="66"/>
      <c r="BP167" s="66"/>
      <c r="BQ167" s="66"/>
      <c r="BR167" s="66"/>
      <c r="BS167" s="66"/>
      <c r="BT167" s="66"/>
      <c r="BU167" s="66"/>
      <c r="BV167" s="66"/>
      <c r="BW167" s="66"/>
      <c r="BX167" s="66"/>
      <c r="BY167" s="66"/>
      <c r="BZ167" s="66"/>
      <c r="CA167" s="66"/>
      <c r="CB167" s="66"/>
      <c r="CC167" s="66"/>
      <c r="CD167" s="66"/>
      <c r="CE167" s="66"/>
      <c r="CF167" s="68"/>
      <c r="CG167" s="68"/>
      <c r="CH167" s="66"/>
      <c r="CI167" s="66"/>
      <c r="CJ167" s="68"/>
      <c r="CK167" s="68"/>
      <c r="CL167" s="68"/>
      <c r="CM167" s="68"/>
      <c r="CN167" s="66"/>
      <c r="CO167" s="68"/>
      <c r="CP167" s="66"/>
      <c r="CQ167" s="68"/>
      <c r="CR167" s="68"/>
      <c r="CS167" s="68"/>
      <c r="CT167" s="68"/>
      <c r="CU167" s="68"/>
      <c r="CV167" s="68"/>
      <c r="CW167" s="68"/>
      <c r="CX167" s="68"/>
      <c r="CY167" s="68"/>
      <c r="CZ167" s="68"/>
      <c r="DA167" s="68"/>
      <c r="DB167" s="68"/>
      <c r="DC167" s="68"/>
      <c r="DD167" s="68"/>
      <c r="DE167" s="68"/>
      <c r="DF167" s="68"/>
      <c r="DG167" s="68"/>
      <c r="DH167" s="68"/>
      <c r="DI167" s="68"/>
      <c r="DJ167" s="68"/>
      <c r="DK167" s="68"/>
      <c r="DL167" s="68"/>
      <c r="DM167" s="68"/>
      <c r="DN167" s="68"/>
      <c r="DO167" s="68"/>
      <c r="DP167" s="68"/>
      <c r="DQ167" s="99"/>
      <c r="DR167" s="99"/>
      <c r="DS167" s="68"/>
      <c r="DT167" s="68"/>
      <c r="DU167" s="68"/>
      <c r="DV167" s="68"/>
      <c r="DW167" s="68"/>
      <c r="DX167" s="68"/>
      <c r="DY167" s="68"/>
      <c r="DZ167" s="68"/>
      <c r="EA167" s="68"/>
      <c r="EB167" s="68"/>
      <c r="EC167" s="68"/>
      <c r="ED167" s="68"/>
      <c r="EE167" s="68"/>
      <c r="EF167" s="68"/>
      <c r="EG167" s="68"/>
      <c r="EH167" s="68"/>
      <c r="EI167" s="68"/>
      <c r="EJ167" s="68"/>
      <c r="EK167" s="68"/>
      <c r="EL167" s="68"/>
      <c r="EM167" s="68"/>
      <c r="EN167" s="68"/>
      <c r="EO167" s="68"/>
      <c r="EP167" s="68"/>
      <c r="EQ167" s="68"/>
      <c r="ER167" s="3"/>
      <c r="ES167" s="3"/>
      <c r="EW167"/>
      <c r="EX167"/>
      <c r="EY167"/>
      <c r="FB167" s="1"/>
    </row>
    <row r="168" spans="3:158" ht="20.25" customHeight="1" x14ac:dyDescent="0.25">
      <c r="C168" s="1"/>
      <c r="D168" s="97"/>
      <c r="E168" s="97"/>
      <c r="F168" s="9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108"/>
      <c r="AO168" s="68"/>
      <c r="AP168" s="68"/>
      <c r="AQ168" s="68"/>
      <c r="AR168" s="68"/>
      <c r="AS168" s="68"/>
      <c r="AT168" s="66"/>
      <c r="AU168" s="68"/>
      <c r="AV168" s="68"/>
      <c r="AW168" s="68"/>
      <c r="AX168" s="66"/>
      <c r="AY168" s="68"/>
      <c r="AZ168" s="66"/>
      <c r="BA168" s="68"/>
      <c r="BB168" s="68"/>
      <c r="BC168" s="68"/>
      <c r="BD168" s="68"/>
      <c r="BE168" s="68"/>
      <c r="BF168" s="66"/>
      <c r="BG168" s="66"/>
      <c r="BH168" s="66"/>
      <c r="BI168" s="66"/>
      <c r="BJ168" s="66"/>
      <c r="BK168" s="66"/>
      <c r="BL168" s="66"/>
      <c r="BM168" s="66"/>
      <c r="BN168" s="66"/>
      <c r="BO168" s="66"/>
      <c r="BP168" s="66"/>
      <c r="BQ168" s="66"/>
      <c r="BR168" s="66"/>
      <c r="BS168" s="66"/>
      <c r="BT168" s="66"/>
      <c r="BU168" s="66"/>
      <c r="BV168" s="66"/>
      <c r="BW168" s="66"/>
      <c r="BX168" s="66"/>
      <c r="BY168" s="66"/>
      <c r="BZ168" s="66"/>
      <c r="CA168" s="66"/>
      <c r="CB168" s="66"/>
      <c r="CC168" s="66"/>
      <c r="CD168" s="66"/>
      <c r="CE168" s="66"/>
      <c r="CF168" s="68"/>
      <c r="CG168" s="68"/>
      <c r="CH168" s="66"/>
      <c r="CI168" s="66"/>
      <c r="CJ168" s="68"/>
      <c r="CK168" s="68"/>
      <c r="CL168" s="68"/>
      <c r="CM168" s="68"/>
      <c r="CN168" s="66"/>
      <c r="CO168" s="68"/>
      <c r="CP168" s="66"/>
      <c r="CQ168" s="68"/>
      <c r="CR168" s="68"/>
      <c r="CS168" s="68"/>
      <c r="CT168" s="68"/>
      <c r="CU168" s="68"/>
      <c r="CV168" s="68"/>
      <c r="CW168" s="68"/>
      <c r="CX168" s="68"/>
      <c r="CY168" s="68"/>
      <c r="CZ168" s="68"/>
      <c r="DA168" s="68"/>
      <c r="DB168" s="68"/>
      <c r="DC168" s="68"/>
      <c r="DD168" s="68"/>
      <c r="DE168" s="68"/>
      <c r="DF168" s="68"/>
      <c r="DG168" s="68"/>
      <c r="DH168" s="68"/>
      <c r="DI168" s="68"/>
      <c r="DJ168" s="68"/>
      <c r="DK168" s="68"/>
      <c r="DL168" s="68"/>
      <c r="DM168" s="68"/>
      <c r="DN168" s="68"/>
      <c r="DO168" s="68"/>
      <c r="DP168" s="68"/>
      <c r="DQ168" s="99"/>
      <c r="DR168" s="99"/>
      <c r="DS168" s="68"/>
      <c r="DT168" s="68"/>
      <c r="DU168" s="68"/>
      <c r="DV168" s="68"/>
      <c r="DW168" s="68"/>
      <c r="DX168" s="68"/>
      <c r="DY168" s="68"/>
      <c r="DZ168" s="68"/>
      <c r="EA168" s="68"/>
      <c r="EB168" s="68"/>
      <c r="EC168" s="68"/>
      <c r="ED168" s="68"/>
      <c r="EE168" s="68"/>
      <c r="EF168" s="68"/>
      <c r="EG168" s="68"/>
      <c r="EH168" s="68"/>
      <c r="EI168" s="68"/>
      <c r="EJ168" s="68"/>
      <c r="EK168" s="68"/>
      <c r="EL168" s="68"/>
      <c r="EM168" s="68"/>
      <c r="EN168" s="68"/>
      <c r="EO168" s="68"/>
      <c r="EP168" s="68"/>
      <c r="EQ168" s="68"/>
      <c r="ER168" s="3"/>
      <c r="ES168" s="3"/>
      <c r="EW168"/>
      <c r="EX168"/>
      <c r="EY168"/>
      <c r="FB168" s="1"/>
    </row>
    <row r="169" spans="3:158" ht="20.25" customHeight="1" x14ac:dyDescent="0.25">
      <c r="C169" s="1"/>
      <c r="D169" s="97"/>
      <c r="E169" s="97"/>
      <c r="F169" s="9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108"/>
      <c r="AO169" s="68"/>
      <c r="AP169" s="68"/>
      <c r="AQ169" s="68"/>
      <c r="AR169" s="68"/>
      <c r="AS169" s="68"/>
      <c r="AT169" s="66"/>
      <c r="AU169" s="68"/>
      <c r="AV169" s="68"/>
      <c r="AW169" s="68"/>
      <c r="AX169" s="66"/>
      <c r="AY169" s="68"/>
      <c r="AZ169" s="66"/>
      <c r="BA169" s="68"/>
      <c r="BB169" s="68"/>
      <c r="BC169" s="68"/>
      <c r="BD169" s="68"/>
      <c r="BE169" s="68"/>
      <c r="BF169" s="66"/>
      <c r="BG169" s="66"/>
      <c r="BH169" s="66"/>
      <c r="BI169" s="66"/>
      <c r="BJ169" s="66"/>
      <c r="BK169" s="66"/>
      <c r="BL169" s="66"/>
      <c r="BM169" s="66"/>
      <c r="BN169" s="66"/>
      <c r="BO169" s="66"/>
      <c r="BP169" s="66"/>
      <c r="BQ169" s="66"/>
      <c r="BR169" s="66"/>
      <c r="BS169" s="66"/>
      <c r="BT169" s="66"/>
      <c r="BU169" s="66"/>
      <c r="BV169" s="66"/>
      <c r="BW169" s="66"/>
      <c r="BX169" s="66"/>
      <c r="BY169" s="66"/>
      <c r="BZ169" s="66"/>
      <c r="CA169" s="66"/>
      <c r="CB169" s="66"/>
      <c r="CC169" s="66"/>
      <c r="CD169" s="66"/>
      <c r="CE169" s="66"/>
      <c r="CF169" s="68"/>
      <c r="CG169" s="68"/>
      <c r="CH169" s="66"/>
      <c r="CI169" s="66"/>
      <c r="CJ169" s="68"/>
      <c r="CK169" s="68"/>
      <c r="CL169" s="68"/>
      <c r="CM169" s="68"/>
      <c r="CN169" s="66"/>
      <c r="CO169" s="68"/>
      <c r="CP169" s="66"/>
      <c r="CQ169" s="68"/>
      <c r="CR169" s="68"/>
      <c r="CS169" s="68"/>
      <c r="CT169" s="68"/>
      <c r="CU169" s="68"/>
      <c r="CV169" s="68"/>
      <c r="CW169" s="68"/>
      <c r="CX169" s="68"/>
      <c r="CY169" s="68"/>
      <c r="CZ169" s="68"/>
      <c r="DA169" s="68"/>
      <c r="DB169" s="68"/>
      <c r="DC169" s="68"/>
      <c r="DD169" s="68"/>
      <c r="DE169" s="68"/>
      <c r="DF169" s="68"/>
      <c r="DG169" s="68"/>
      <c r="DH169" s="68"/>
      <c r="DI169" s="68"/>
      <c r="DJ169" s="68"/>
      <c r="DK169" s="68"/>
      <c r="DL169" s="68"/>
      <c r="DM169" s="68"/>
      <c r="DN169" s="68"/>
      <c r="DO169" s="68"/>
      <c r="DP169" s="68"/>
      <c r="DQ169" s="99"/>
      <c r="DR169" s="99"/>
      <c r="DS169" s="68"/>
      <c r="DT169" s="68"/>
      <c r="DU169" s="68"/>
      <c r="DV169" s="68"/>
      <c r="DW169" s="68"/>
      <c r="DX169" s="68"/>
      <c r="DY169" s="68"/>
      <c r="DZ169" s="68"/>
      <c r="EA169" s="68"/>
      <c r="EB169" s="68"/>
      <c r="EC169" s="68"/>
      <c r="ED169" s="68"/>
      <c r="EE169" s="68"/>
      <c r="EF169" s="68"/>
      <c r="EG169" s="68"/>
      <c r="EH169" s="68"/>
      <c r="EI169" s="68"/>
      <c r="EJ169" s="68"/>
      <c r="EK169" s="68"/>
      <c r="EL169" s="68"/>
      <c r="EM169" s="68"/>
      <c r="EN169" s="68"/>
      <c r="EO169" s="68"/>
      <c r="EP169" s="68"/>
      <c r="EQ169" s="68"/>
      <c r="ER169" s="3"/>
      <c r="ES169" s="3"/>
      <c r="EW169"/>
      <c r="EX169"/>
      <c r="EY169"/>
      <c r="FB169" s="1"/>
    </row>
    <row r="170" spans="3:158" ht="20.25" customHeight="1" x14ac:dyDescent="0.25">
      <c r="C170" s="1"/>
      <c r="D170" s="97"/>
      <c r="E170" s="97"/>
      <c r="F170" s="9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108"/>
      <c r="AO170" s="68"/>
      <c r="AP170" s="68"/>
      <c r="AQ170" s="68"/>
      <c r="AR170" s="68"/>
      <c r="AS170" s="68"/>
      <c r="AT170" s="66"/>
      <c r="AU170" s="68"/>
      <c r="AV170" s="68"/>
      <c r="AW170" s="68"/>
      <c r="AX170" s="66"/>
      <c r="AY170" s="68"/>
      <c r="AZ170" s="66"/>
      <c r="BA170" s="68"/>
      <c r="BB170" s="68"/>
      <c r="BC170" s="68"/>
      <c r="BD170" s="68"/>
      <c r="BE170" s="68"/>
      <c r="BF170" s="66"/>
      <c r="BG170" s="66"/>
      <c r="BH170" s="66"/>
      <c r="BI170" s="66"/>
      <c r="BJ170" s="66"/>
      <c r="BK170" s="66"/>
      <c r="BL170" s="66"/>
      <c r="BM170" s="66"/>
      <c r="BN170" s="66"/>
      <c r="BO170" s="66"/>
      <c r="BP170" s="66"/>
      <c r="BQ170" s="66"/>
      <c r="BR170" s="66"/>
      <c r="BS170" s="66"/>
      <c r="BT170" s="66"/>
      <c r="BU170" s="66"/>
      <c r="BV170" s="66"/>
      <c r="BW170" s="66"/>
      <c r="BX170" s="66"/>
      <c r="BY170" s="66"/>
      <c r="BZ170" s="66"/>
      <c r="CA170" s="66"/>
      <c r="CB170" s="66"/>
      <c r="CC170" s="66"/>
      <c r="CD170" s="66"/>
      <c r="CE170" s="66"/>
      <c r="CF170" s="68"/>
      <c r="CG170" s="68"/>
      <c r="CH170" s="66"/>
      <c r="CI170" s="66"/>
      <c r="CJ170" s="68"/>
      <c r="CK170" s="68"/>
      <c r="CL170" s="68"/>
      <c r="CM170" s="68"/>
      <c r="CN170" s="66"/>
      <c r="CO170" s="68"/>
      <c r="CP170" s="66"/>
      <c r="CQ170" s="68"/>
      <c r="CR170" s="68"/>
      <c r="CS170" s="68"/>
      <c r="CT170" s="68"/>
      <c r="CU170" s="68"/>
      <c r="CV170" s="68"/>
      <c r="CW170" s="68"/>
      <c r="CX170" s="68"/>
      <c r="CY170" s="68"/>
      <c r="CZ170" s="68"/>
      <c r="DA170" s="68"/>
      <c r="DB170" s="68"/>
      <c r="DC170" s="68"/>
      <c r="DD170" s="68"/>
      <c r="DE170" s="68"/>
      <c r="DF170" s="68"/>
      <c r="DG170" s="68"/>
      <c r="DH170" s="68"/>
      <c r="DI170" s="68"/>
      <c r="DJ170" s="68"/>
      <c r="DK170" s="68"/>
      <c r="DL170" s="68"/>
      <c r="DM170" s="68"/>
      <c r="DN170" s="68"/>
      <c r="DO170" s="68"/>
      <c r="DP170" s="68"/>
      <c r="DQ170" s="99"/>
      <c r="DR170" s="99"/>
      <c r="DS170" s="68"/>
      <c r="DT170" s="68"/>
      <c r="DU170" s="68"/>
      <c r="DV170" s="68"/>
      <c r="DW170" s="68"/>
      <c r="DX170" s="68"/>
      <c r="DY170" s="68"/>
      <c r="DZ170" s="68"/>
      <c r="EA170" s="68"/>
      <c r="EB170" s="68"/>
      <c r="EC170" s="68"/>
      <c r="ED170" s="68"/>
      <c r="EE170" s="68"/>
      <c r="EF170" s="68"/>
      <c r="EG170" s="68"/>
      <c r="EH170" s="68"/>
      <c r="EI170" s="68"/>
      <c r="EJ170" s="68"/>
      <c r="EK170" s="68"/>
      <c r="EL170" s="68"/>
      <c r="EM170" s="68"/>
      <c r="EN170" s="68"/>
      <c r="EO170" s="68"/>
      <c r="EP170" s="68"/>
      <c r="EQ170" s="68"/>
      <c r="ER170" s="3"/>
      <c r="ES170" s="3"/>
      <c r="EW170"/>
      <c r="EX170"/>
      <c r="EY170"/>
      <c r="FB170" s="1"/>
    </row>
    <row r="171" spans="3:158" ht="20.25" customHeight="1" x14ac:dyDescent="0.25">
      <c r="C171" s="1"/>
      <c r="D171" s="97"/>
      <c r="E171" s="97"/>
      <c r="F171" s="9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108"/>
      <c r="AO171" s="68"/>
      <c r="AP171" s="68"/>
      <c r="AQ171" s="68"/>
      <c r="AR171" s="68"/>
      <c r="AS171" s="68"/>
      <c r="AT171" s="66"/>
      <c r="AU171" s="68"/>
      <c r="AV171" s="68"/>
      <c r="AW171" s="68"/>
      <c r="AX171" s="66"/>
      <c r="AY171" s="68"/>
      <c r="AZ171" s="66"/>
      <c r="BA171" s="68"/>
      <c r="BB171" s="68"/>
      <c r="BC171" s="68"/>
      <c r="BD171" s="68"/>
      <c r="BE171" s="68"/>
      <c r="BF171" s="66"/>
      <c r="BG171" s="66"/>
      <c r="BH171" s="66"/>
      <c r="BI171" s="66"/>
      <c r="BJ171" s="66"/>
      <c r="BK171" s="66"/>
      <c r="BL171" s="66"/>
      <c r="BM171" s="66"/>
      <c r="BN171" s="66"/>
      <c r="BO171" s="66"/>
      <c r="BP171" s="66"/>
      <c r="BQ171" s="66"/>
      <c r="BR171" s="66"/>
      <c r="BS171" s="66"/>
      <c r="BT171" s="66"/>
      <c r="BU171" s="66"/>
      <c r="BV171" s="66"/>
      <c r="BW171" s="66"/>
      <c r="BX171" s="66"/>
      <c r="BY171" s="66"/>
      <c r="BZ171" s="66"/>
      <c r="CA171" s="66"/>
      <c r="CB171" s="66"/>
      <c r="CC171" s="66"/>
      <c r="CD171" s="66"/>
      <c r="CE171" s="66"/>
      <c r="CF171" s="68"/>
      <c r="CG171" s="68"/>
      <c r="CH171" s="66"/>
      <c r="CI171" s="66"/>
      <c r="CJ171" s="68"/>
      <c r="CK171" s="68"/>
      <c r="CL171" s="68"/>
      <c r="CM171" s="68"/>
      <c r="CN171" s="66"/>
      <c r="CO171" s="68"/>
      <c r="CP171" s="66"/>
      <c r="CQ171" s="68"/>
      <c r="CR171" s="68"/>
      <c r="CS171" s="68"/>
      <c r="CT171" s="68"/>
      <c r="CU171" s="68"/>
      <c r="CV171" s="68"/>
      <c r="CW171" s="68"/>
      <c r="CX171" s="68"/>
      <c r="CY171" s="68"/>
      <c r="CZ171" s="68"/>
      <c r="DA171" s="68"/>
      <c r="DB171" s="68"/>
      <c r="DC171" s="68"/>
      <c r="DD171" s="68"/>
      <c r="DE171" s="68"/>
      <c r="DF171" s="68"/>
      <c r="DG171" s="68"/>
      <c r="DH171" s="68"/>
      <c r="DI171" s="68"/>
      <c r="DJ171" s="68"/>
      <c r="DK171" s="68"/>
      <c r="DL171" s="68"/>
      <c r="DM171" s="68"/>
      <c r="DN171" s="68"/>
      <c r="DO171" s="68"/>
      <c r="DP171" s="68"/>
      <c r="DQ171" s="99"/>
      <c r="DR171" s="99"/>
      <c r="DS171" s="68"/>
      <c r="DT171" s="68"/>
      <c r="DU171" s="68"/>
      <c r="DV171" s="68"/>
      <c r="DW171" s="68"/>
      <c r="DX171" s="68"/>
      <c r="DY171" s="68"/>
      <c r="DZ171" s="68"/>
      <c r="EA171" s="68"/>
      <c r="EB171" s="68"/>
      <c r="EC171" s="68"/>
      <c r="ED171" s="68"/>
      <c r="EE171" s="68"/>
      <c r="EF171" s="68"/>
      <c r="EG171" s="68"/>
      <c r="EH171" s="68"/>
      <c r="EI171" s="68"/>
      <c r="EJ171" s="68"/>
      <c r="EK171" s="68"/>
      <c r="EL171" s="68"/>
      <c r="EM171" s="68"/>
      <c r="EN171" s="68"/>
      <c r="EO171" s="68"/>
      <c r="EP171" s="68"/>
      <c r="EQ171" s="68"/>
      <c r="ER171" s="3"/>
      <c r="ES171" s="3"/>
      <c r="EW171"/>
      <c r="EX171"/>
      <c r="EY171"/>
      <c r="FB171" s="1"/>
    </row>
    <row r="172" spans="3:158" ht="20.25" customHeight="1" x14ac:dyDescent="0.25">
      <c r="C172" s="1"/>
      <c r="D172" s="97"/>
      <c r="E172" s="97"/>
      <c r="F172" s="9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108"/>
      <c r="AO172" s="68"/>
      <c r="AP172" s="68"/>
      <c r="AQ172" s="68"/>
      <c r="AR172" s="68"/>
      <c r="AS172" s="68"/>
      <c r="AT172" s="66"/>
      <c r="AU172" s="68"/>
      <c r="AV172" s="68"/>
      <c r="AW172" s="68"/>
      <c r="AX172" s="66"/>
      <c r="AY172" s="68"/>
      <c r="AZ172" s="66"/>
      <c r="BA172" s="68"/>
      <c r="BB172" s="68"/>
      <c r="BC172" s="68"/>
      <c r="BD172" s="68"/>
      <c r="BE172" s="68"/>
      <c r="BF172" s="66"/>
      <c r="BG172" s="66"/>
      <c r="BH172" s="66"/>
      <c r="BI172" s="66"/>
      <c r="BJ172" s="66"/>
      <c r="BK172" s="66"/>
      <c r="BL172" s="66"/>
      <c r="BM172" s="66"/>
      <c r="BN172" s="66"/>
      <c r="BO172" s="66"/>
      <c r="BP172" s="66"/>
      <c r="BQ172" s="66"/>
      <c r="BR172" s="66"/>
      <c r="BS172" s="66"/>
      <c r="BT172" s="66"/>
      <c r="BU172" s="66"/>
      <c r="BV172" s="66"/>
      <c r="BW172" s="66"/>
      <c r="BX172" s="66"/>
      <c r="BY172" s="66"/>
      <c r="BZ172" s="66"/>
      <c r="CA172" s="66"/>
      <c r="CB172" s="66"/>
      <c r="CC172" s="66"/>
      <c r="CD172" s="66"/>
      <c r="CE172" s="66"/>
      <c r="CF172" s="68"/>
      <c r="CG172" s="68"/>
      <c r="CH172" s="66"/>
      <c r="CI172" s="66"/>
      <c r="CJ172" s="68"/>
      <c r="CK172" s="68"/>
      <c r="CL172" s="68"/>
      <c r="CM172" s="68"/>
      <c r="CN172" s="66"/>
      <c r="CO172" s="68"/>
      <c r="CP172" s="66"/>
      <c r="CQ172" s="68"/>
      <c r="CR172" s="68"/>
      <c r="CS172" s="68"/>
      <c r="CT172" s="68"/>
      <c r="CU172" s="68"/>
      <c r="CV172" s="68"/>
      <c r="CW172" s="68"/>
      <c r="CX172" s="68"/>
      <c r="CY172" s="68"/>
      <c r="CZ172" s="68"/>
      <c r="DA172" s="68"/>
      <c r="DB172" s="68"/>
      <c r="DC172" s="68"/>
      <c r="DD172" s="68"/>
      <c r="DE172" s="68"/>
      <c r="DF172" s="68"/>
      <c r="DG172" s="68"/>
      <c r="DH172" s="68"/>
      <c r="DI172" s="68"/>
      <c r="DJ172" s="68"/>
      <c r="DK172" s="68"/>
      <c r="DL172" s="68"/>
      <c r="DM172" s="68"/>
      <c r="DN172" s="68"/>
      <c r="DO172" s="68"/>
      <c r="DP172" s="68"/>
      <c r="DQ172" s="99"/>
      <c r="DR172" s="99"/>
      <c r="DS172" s="68"/>
      <c r="DT172" s="68"/>
      <c r="DU172" s="68"/>
      <c r="DV172" s="68"/>
      <c r="DW172" s="68"/>
      <c r="DX172" s="68"/>
      <c r="DY172" s="68"/>
      <c r="DZ172" s="68"/>
      <c r="EA172" s="68"/>
      <c r="EB172" s="68"/>
      <c r="EC172" s="68"/>
      <c r="ED172" s="68"/>
      <c r="EE172" s="68"/>
      <c r="EF172" s="68"/>
      <c r="EG172" s="68"/>
      <c r="EH172" s="68"/>
      <c r="EI172" s="68"/>
      <c r="EJ172" s="68"/>
      <c r="EK172" s="68"/>
      <c r="EL172" s="68"/>
      <c r="EM172" s="68"/>
      <c r="EN172" s="68"/>
      <c r="EO172" s="68"/>
      <c r="EP172" s="68"/>
      <c r="EQ172" s="68"/>
      <c r="ER172" s="3"/>
      <c r="ES172" s="3"/>
      <c r="EW172"/>
      <c r="EX172"/>
      <c r="EY172"/>
      <c r="FB172" s="1"/>
    </row>
    <row r="173" spans="3:158" ht="20.25" customHeight="1" x14ac:dyDescent="0.25">
      <c r="C173" s="1"/>
      <c r="D173" s="97"/>
      <c r="E173" s="97"/>
      <c r="F173" s="9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108"/>
      <c r="AO173" s="68"/>
      <c r="AP173" s="68"/>
      <c r="AQ173" s="68"/>
      <c r="AR173" s="68"/>
      <c r="AS173" s="68"/>
      <c r="AT173" s="66"/>
      <c r="AU173" s="68"/>
      <c r="AV173" s="68"/>
      <c r="AW173" s="68"/>
      <c r="AX173" s="66"/>
      <c r="AY173" s="68"/>
      <c r="AZ173" s="66"/>
      <c r="BA173" s="68"/>
      <c r="BB173" s="68"/>
      <c r="BC173" s="68"/>
      <c r="BD173" s="68"/>
      <c r="BE173" s="68"/>
      <c r="BF173" s="66"/>
      <c r="BG173" s="66"/>
      <c r="BH173" s="66"/>
      <c r="BI173" s="66"/>
      <c r="BJ173" s="66"/>
      <c r="BK173" s="66"/>
      <c r="BL173" s="66"/>
      <c r="BM173" s="66"/>
      <c r="BN173" s="66"/>
      <c r="BO173" s="66"/>
      <c r="BP173" s="66"/>
      <c r="BQ173" s="66"/>
      <c r="BR173" s="66"/>
      <c r="BS173" s="66"/>
      <c r="BT173" s="66"/>
      <c r="BU173" s="66"/>
      <c r="BV173" s="66"/>
      <c r="BW173" s="66"/>
      <c r="BX173" s="66"/>
      <c r="BY173" s="66"/>
      <c r="BZ173" s="66"/>
      <c r="CA173" s="66"/>
      <c r="CB173" s="66"/>
      <c r="CC173" s="66"/>
      <c r="CD173" s="66"/>
      <c r="CE173" s="66"/>
      <c r="CF173" s="68"/>
      <c r="CG173" s="68"/>
      <c r="CH173" s="66"/>
      <c r="CI173" s="66"/>
      <c r="CJ173" s="68"/>
      <c r="CK173" s="68"/>
      <c r="CL173" s="68"/>
      <c r="CM173" s="68"/>
      <c r="CN173" s="66"/>
      <c r="CO173" s="68"/>
      <c r="CP173" s="66"/>
      <c r="CQ173" s="68"/>
      <c r="CR173" s="68"/>
      <c r="CS173" s="68"/>
      <c r="CT173" s="68"/>
      <c r="CU173" s="68"/>
      <c r="CV173" s="68"/>
      <c r="CW173" s="68"/>
      <c r="CX173" s="68"/>
      <c r="CY173" s="68"/>
      <c r="CZ173" s="68"/>
      <c r="DA173" s="68"/>
      <c r="DB173" s="68"/>
      <c r="DC173" s="68"/>
      <c r="DD173" s="68"/>
      <c r="DE173" s="68"/>
      <c r="DF173" s="68"/>
      <c r="DG173" s="68"/>
      <c r="DH173" s="68"/>
      <c r="DI173" s="68"/>
      <c r="DJ173" s="68"/>
      <c r="DK173" s="68"/>
      <c r="DL173" s="68"/>
      <c r="DM173" s="68"/>
      <c r="DN173" s="68"/>
      <c r="DO173" s="68"/>
      <c r="DP173" s="68"/>
      <c r="DQ173" s="99"/>
      <c r="DR173" s="99"/>
      <c r="DS173" s="68"/>
      <c r="DT173" s="68"/>
      <c r="DU173" s="68"/>
      <c r="DV173" s="68"/>
      <c r="DW173" s="68"/>
      <c r="DX173" s="68"/>
      <c r="DY173" s="68"/>
      <c r="DZ173" s="68"/>
      <c r="EA173" s="68"/>
      <c r="EB173" s="68"/>
      <c r="EC173" s="68"/>
      <c r="ED173" s="68"/>
      <c r="EE173" s="68"/>
      <c r="EF173" s="68"/>
      <c r="EG173" s="68"/>
      <c r="EH173" s="68"/>
      <c r="EI173" s="68"/>
      <c r="EJ173" s="68"/>
      <c r="EK173" s="68"/>
      <c r="EL173" s="68"/>
      <c r="EM173" s="68"/>
      <c r="EN173" s="68"/>
      <c r="EO173" s="68"/>
      <c r="EP173" s="68"/>
      <c r="EQ173" s="68"/>
      <c r="ER173" s="3"/>
      <c r="ES173" s="3"/>
      <c r="EW173"/>
      <c r="EX173"/>
      <c r="EY173"/>
      <c r="FB173" s="1"/>
    </row>
    <row r="174" spans="3:158" ht="20.25" customHeight="1" x14ac:dyDescent="0.25">
      <c r="C174" s="1"/>
      <c r="D174" s="97"/>
      <c r="E174" s="97"/>
      <c r="F174" s="9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108"/>
      <c r="AO174" s="68"/>
      <c r="AP174" s="68"/>
      <c r="AQ174" s="68"/>
      <c r="AR174" s="68"/>
      <c r="AS174" s="68"/>
      <c r="AT174" s="66"/>
      <c r="AU174" s="68"/>
      <c r="AV174" s="68"/>
      <c r="AW174" s="68"/>
      <c r="AX174" s="66"/>
      <c r="AY174" s="68"/>
      <c r="AZ174" s="66"/>
      <c r="BA174" s="68"/>
      <c r="BB174" s="68"/>
      <c r="BC174" s="68"/>
      <c r="BD174" s="68"/>
      <c r="BE174" s="68"/>
      <c r="BF174" s="66"/>
      <c r="BG174" s="66"/>
      <c r="BH174" s="66"/>
      <c r="BI174" s="66"/>
      <c r="BJ174" s="66"/>
      <c r="BK174" s="66"/>
      <c r="BL174" s="66"/>
      <c r="BM174" s="66"/>
      <c r="BN174" s="66"/>
      <c r="BO174" s="66"/>
      <c r="BP174" s="66"/>
      <c r="BQ174" s="66"/>
      <c r="BR174" s="66"/>
      <c r="BS174" s="66"/>
      <c r="BT174" s="66"/>
      <c r="BU174" s="66"/>
      <c r="BV174" s="66"/>
      <c r="BW174" s="66"/>
      <c r="BX174" s="66"/>
      <c r="BY174" s="66"/>
      <c r="BZ174" s="66"/>
      <c r="CA174" s="66"/>
      <c r="CB174" s="66"/>
      <c r="CC174" s="66"/>
      <c r="CD174" s="66"/>
      <c r="CE174" s="66"/>
      <c r="CF174" s="68"/>
      <c r="CG174" s="68"/>
      <c r="CH174" s="66"/>
      <c r="CI174" s="66"/>
      <c r="CJ174" s="68"/>
      <c r="CK174" s="68"/>
      <c r="CL174" s="68"/>
      <c r="CM174" s="68"/>
      <c r="CN174" s="66"/>
      <c r="CO174" s="68"/>
      <c r="CP174" s="66"/>
      <c r="CQ174" s="68"/>
      <c r="CR174" s="68"/>
      <c r="CS174" s="68"/>
      <c r="CT174" s="68"/>
      <c r="CU174" s="68"/>
      <c r="CV174" s="68"/>
      <c r="CW174" s="68"/>
      <c r="CX174" s="68"/>
      <c r="CY174" s="68"/>
      <c r="CZ174" s="68"/>
      <c r="DA174" s="68"/>
      <c r="DB174" s="68"/>
      <c r="DC174" s="68"/>
      <c r="DD174" s="68"/>
      <c r="DE174" s="68"/>
      <c r="DF174" s="68"/>
      <c r="DG174" s="68"/>
      <c r="DH174" s="68"/>
      <c r="DI174" s="68"/>
      <c r="DJ174" s="68"/>
      <c r="DK174" s="68"/>
      <c r="DL174" s="68"/>
      <c r="DM174" s="68"/>
      <c r="DN174" s="68"/>
      <c r="DO174" s="68"/>
      <c r="DP174" s="68"/>
      <c r="DQ174" s="99"/>
      <c r="DR174" s="99"/>
      <c r="DS174" s="68"/>
      <c r="DT174" s="68"/>
      <c r="DU174" s="68"/>
      <c r="DV174" s="68"/>
      <c r="DW174" s="68"/>
      <c r="DX174" s="68"/>
      <c r="DY174" s="68"/>
      <c r="DZ174" s="68"/>
      <c r="EA174" s="68"/>
      <c r="EB174" s="68"/>
      <c r="EC174" s="68"/>
      <c r="ED174" s="68"/>
      <c r="EE174" s="68"/>
      <c r="EF174" s="68"/>
      <c r="EG174" s="68"/>
      <c r="EH174" s="68"/>
      <c r="EI174" s="68"/>
      <c r="EJ174" s="68"/>
      <c r="EK174" s="68"/>
      <c r="EL174" s="68"/>
      <c r="EM174" s="68"/>
      <c r="EN174" s="68"/>
      <c r="EO174" s="68"/>
      <c r="EP174" s="68"/>
      <c r="EQ174" s="68"/>
      <c r="ER174" s="3"/>
      <c r="ES174" s="3"/>
      <c r="EW174"/>
      <c r="EX174"/>
      <c r="EY174"/>
      <c r="FB174" s="1"/>
    </row>
    <row r="175" spans="3:158" ht="20.25" customHeight="1" x14ac:dyDescent="0.25">
      <c r="C175" s="1"/>
      <c r="D175" s="97"/>
      <c r="E175" s="97"/>
      <c r="F175" s="9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108"/>
      <c r="AO175" s="68"/>
      <c r="AP175" s="68"/>
      <c r="AQ175" s="68"/>
      <c r="AR175" s="68"/>
      <c r="AS175" s="68"/>
      <c r="AT175" s="66"/>
      <c r="AU175" s="68"/>
      <c r="AV175" s="68"/>
      <c r="AW175" s="68"/>
      <c r="AX175" s="66"/>
      <c r="AY175" s="68"/>
      <c r="AZ175" s="66"/>
      <c r="BA175" s="68"/>
      <c r="BB175" s="68"/>
      <c r="BC175" s="68"/>
      <c r="BD175" s="68"/>
      <c r="BE175" s="68"/>
      <c r="BF175" s="66"/>
      <c r="BG175" s="66"/>
      <c r="BH175" s="66"/>
      <c r="BI175" s="66"/>
      <c r="BJ175" s="66"/>
      <c r="BK175" s="66"/>
      <c r="BL175" s="66"/>
      <c r="BM175" s="66"/>
      <c r="BN175" s="66"/>
      <c r="BO175" s="66"/>
      <c r="BP175" s="66"/>
      <c r="BQ175" s="66"/>
      <c r="BR175" s="66"/>
      <c r="BS175" s="66"/>
      <c r="BT175" s="66"/>
      <c r="BU175" s="66"/>
      <c r="BV175" s="66"/>
      <c r="BW175" s="66"/>
      <c r="BX175" s="66"/>
      <c r="BY175" s="66"/>
      <c r="BZ175" s="66"/>
      <c r="CA175" s="66"/>
      <c r="CB175" s="66"/>
      <c r="CC175" s="66"/>
      <c r="CD175" s="66"/>
      <c r="CE175" s="66"/>
      <c r="CF175" s="68"/>
      <c r="CG175" s="68"/>
      <c r="CH175" s="66"/>
      <c r="CI175" s="66"/>
      <c r="CJ175" s="68"/>
      <c r="CK175" s="68"/>
      <c r="CL175" s="68"/>
      <c r="CM175" s="68"/>
      <c r="CN175" s="66"/>
      <c r="CO175" s="68"/>
      <c r="CP175" s="66"/>
      <c r="CQ175" s="68"/>
      <c r="CR175" s="68"/>
      <c r="CS175" s="68"/>
      <c r="CT175" s="68"/>
      <c r="CU175" s="68"/>
      <c r="CV175" s="68"/>
      <c r="CW175" s="68"/>
      <c r="CX175" s="68"/>
      <c r="CY175" s="68"/>
      <c r="CZ175" s="68"/>
      <c r="DA175" s="68"/>
      <c r="DB175" s="68"/>
      <c r="DC175" s="68"/>
      <c r="DD175" s="68"/>
      <c r="DE175" s="68"/>
      <c r="DF175" s="68"/>
      <c r="DG175" s="68"/>
      <c r="DH175" s="68"/>
      <c r="DI175" s="68"/>
      <c r="DJ175" s="68"/>
      <c r="DK175" s="68"/>
      <c r="DL175" s="68"/>
      <c r="DM175" s="68"/>
      <c r="DN175" s="68"/>
      <c r="DO175" s="68"/>
      <c r="DP175" s="68"/>
      <c r="DQ175" s="99"/>
      <c r="DR175" s="99"/>
      <c r="DS175" s="68"/>
      <c r="DT175" s="68"/>
      <c r="DU175" s="68"/>
      <c r="DV175" s="68"/>
      <c r="DW175" s="68"/>
      <c r="DX175" s="68"/>
      <c r="DY175" s="68"/>
      <c r="DZ175" s="68"/>
      <c r="EA175" s="68"/>
      <c r="EB175" s="68"/>
      <c r="EC175" s="68"/>
      <c r="ED175" s="68"/>
      <c r="EE175" s="68"/>
      <c r="EF175" s="68"/>
      <c r="EG175" s="68"/>
      <c r="EH175" s="68"/>
      <c r="EI175" s="68"/>
      <c r="EJ175" s="68"/>
      <c r="EK175" s="68"/>
      <c r="EL175" s="68"/>
      <c r="EM175" s="68"/>
      <c r="EN175" s="68"/>
      <c r="EO175" s="68"/>
      <c r="EP175" s="68"/>
      <c r="EQ175" s="68"/>
      <c r="ER175" s="3"/>
      <c r="ES175" s="3"/>
      <c r="EW175"/>
      <c r="EX175"/>
      <c r="EY175"/>
      <c r="FB175" s="1"/>
    </row>
    <row r="176" spans="3:158" ht="20.25" customHeight="1" x14ac:dyDescent="0.25">
      <c r="C176" s="1"/>
      <c r="D176" s="97"/>
      <c r="E176" s="97"/>
      <c r="F176" s="9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108"/>
      <c r="AO176" s="68"/>
      <c r="AP176" s="68"/>
      <c r="AQ176" s="68"/>
      <c r="AR176" s="68"/>
      <c r="AS176" s="68"/>
      <c r="AT176" s="66"/>
      <c r="AU176" s="68"/>
      <c r="AV176" s="68"/>
      <c r="AW176" s="68"/>
      <c r="AX176" s="66"/>
      <c r="AY176" s="68"/>
      <c r="AZ176" s="66"/>
      <c r="BA176" s="68"/>
      <c r="BB176" s="68"/>
      <c r="BC176" s="68"/>
      <c r="BD176" s="68"/>
      <c r="BE176" s="68"/>
      <c r="BF176" s="66"/>
      <c r="BG176" s="66"/>
      <c r="BH176" s="66"/>
      <c r="BI176" s="66"/>
      <c r="BJ176" s="66"/>
      <c r="BK176" s="66"/>
      <c r="BL176" s="66"/>
      <c r="BM176" s="66"/>
      <c r="BN176" s="66"/>
      <c r="BO176" s="66"/>
      <c r="BP176" s="66"/>
      <c r="BQ176" s="66"/>
      <c r="BR176" s="66"/>
      <c r="BS176" s="66"/>
      <c r="BT176" s="66"/>
      <c r="BU176" s="66"/>
      <c r="BV176" s="66"/>
      <c r="BW176" s="66"/>
      <c r="BX176" s="66"/>
      <c r="BY176" s="66"/>
      <c r="BZ176" s="66"/>
      <c r="CA176" s="66"/>
      <c r="CB176" s="66"/>
      <c r="CC176" s="66"/>
      <c r="CD176" s="66"/>
      <c r="CE176" s="66"/>
      <c r="CF176" s="68"/>
      <c r="CG176" s="68"/>
      <c r="CH176" s="66"/>
      <c r="CI176" s="66"/>
      <c r="CJ176" s="68"/>
      <c r="CK176" s="68"/>
      <c r="CL176" s="68"/>
      <c r="CM176" s="68"/>
      <c r="CN176" s="66"/>
      <c r="CO176" s="68"/>
      <c r="CP176" s="66"/>
      <c r="CQ176" s="68"/>
      <c r="CR176" s="68"/>
      <c r="CS176" s="68"/>
      <c r="CT176" s="68"/>
      <c r="CU176" s="68"/>
      <c r="CV176" s="68"/>
      <c r="CW176" s="68"/>
      <c r="CX176" s="68"/>
      <c r="CY176" s="68"/>
      <c r="CZ176" s="68"/>
      <c r="DA176" s="68"/>
      <c r="DB176" s="68"/>
      <c r="DC176" s="68"/>
      <c r="DD176" s="68"/>
      <c r="DE176" s="68"/>
      <c r="DF176" s="68"/>
      <c r="DG176" s="68"/>
      <c r="DH176" s="68"/>
      <c r="DI176" s="68"/>
      <c r="DJ176" s="68"/>
      <c r="DK176" s="68"/>
      <c r="DL176" s="68"/>
      <c r="DM176" s="68"/>
      <c r="DN176" s="68"/>
      <c r="DO176" s="68"/>
      <c r="DP176" s="68"/>
      <c r="DQ176" s="99"/>
      <c r="DR176" s="99"/>
      <c r="DS176" s="68"/>
      <c r="DT176" s="68"/>
      <c r="DU176" s="68"/>
      <c r="DV176" s="68"/>
      <c r="DW176" s="68"/>
      <c r="DX176" s="68"/>
      <c r="DY176" s="68"/>
      <c r="DZ176" s="68"/>
      <c r="EA176" s="68"/>
      <c r="EB176" s="68"/>
      <c r="EC176" s="68"/>
      <c r="ED176" s="68"/>
      <c r="EE176" s="68"/>
      <c r="EF176" s="68"/>
      <c r="EG176" s="68"/>
      <c r="EH176" s="68"/>
      <c r="EI176" s="68"/>
      <c r="EJ176" s="68"/>
      <c r="EK176" s="68"/>
      <c r="EL176" s="68"/>
      <c r="EM176" s="68"/>
      <c r="EN176" s="68"/>
      <c r="EO176" s="68"/>
      <c r="EP176" s="68"/>
      <c r="EQ176" s="68"/>
      <c r="ER176" s="3"/>
      <c r="ES176" s="3"/>
      <c r="EW176"/>
      <c r="EX176"/>
      <c r="EY176"/>
      <c r="FB176" s="1"/>
    </row>
    <row r="177" spans="3:158" ht="20.25" customHeight="1" x14ac:dyDescent="0.25">
      <c r="C177" s="1"/>
      <c r="D177" s="97"/>
      <c r="E177" s="97"/>
      <c r="F177" s="9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108"/>
      <c r="AO177" s="68"/>
      <c r="AP177" s="68"/>
      <c r="AQ177" s="68"/>
      <c r="AR177" s="68"/>
      <c r="AS177" s="68"/>
      <c r="AT177" s="66"/>
      <c r="AU177" s="68"/>
      <c r="AV177" s="68"/>
      <c r="AW177" s="68"/>
      <c r="AX177" s="66"/>
      <c r="AY177" s="68"/>
      <c r="AZ177" s="66"/>
      <c r="BA177" s="68"/>
      <c r="BB177" s="68"/>
      <c r="BC177" s="68"/>
      <c r="BD177" s="68"/>
      <c r="BE177" s="68"/>
      <c r="BF177" s="66"/>
      <c r="BG177" s="66"/>
      <c r="BH177" s="66"/>
      <c r="BI177" s="66"/>
      <c r="BJ177" s="66"/>
      <c r="BK177" s="66"/>
      <c r="BL177" s="66"/>
      <c r="BM177" s="66"/>
      <c r="BN177" s="66"/>
      <c r="BO177" s="66"/>
      <c r="BP177" s="66"/>
      <c r="BQ177" s="66"/>
      <c r="BR177" s="66"/>
      <c r="BS177" s="66"/>
      <c r="BT177" s="66"/>
      <c r="BU177" s="66"/>
      <c r="BV177" s="66"/>
      <c r="BW177" s="66"/>
      <c r="BX177" s="66"/>
      <c r="BY177" s="66"/>
      <c r="BZ177" s="66"/>
      <c r="CA177" s="66"/>
      <c r="CB177" s="66"/>
      <c r="CC177" s="66"/>
      <c r="CD177" s="66"/>
      <c r="CE177" s="66"/>
      <c r="CF177" s="68"/>
      <c r="CG177" s="68"/>
      <c r="CH177" s="66"/>
      <c r="CI177" s="66"/>
      <c r="CJ177" s="68"/>
      <c r="CK177" s="68"/>
      <c r="CL177" s="68"/>
      <c r="CM177" s="68"/>
      <c r="CN177" s="66"/>
      <c r="CO177" s="68"/>
      <c r="CP177" s="66"/>
      <c r="CQ177" s="68"/>
      <c r="CR177" s="68"/>
      <c r="CS177" s="68"/>
      <c r="CT177" s="68"/>
      <c r="CU177" s="68"/>
      <c r="CV177" s="68"/>
      <c r="CW177" s="68"/>
      <c r="CX177" s="68"/>
      <c r="CY177" s="68"/>
      <c r="CZ177" s="68"/>
      <c r="DA177" s="68"/>
      <c r="DB177" s="68"/>
      <c r="DC177" s="68"/>
      <c r="DD177" s="68"/>
      <c r="DE177" s="68"/>
      <c r="DF177" s="68"/>
      <c r="DG177" s="68"/>
      <c r="DH177" s="68"/>
      <c r="DI177" s="68"/>
      <c r="DJ177" s="68"/>
      <c r="DK177" s="68"/>
      <c r="DL177" s="68"/>
      <c r="DM177" s="68"/>
      <c r="DN177" s="68"/>
      <c r="DO177" s="68"/>
      <c r="DP177" s="68"/>
      <c r="DQ177" s="99"/>
      <c r="DR177" s="99"/>
      <c r="DS177" s="68"/>
      <c r="DT177" s="68"/>
      <c r="DU177" s="68"/>
      <c r="DV177" s="68"/>
      <c r="DW177" s="68"/>
      <c r="DX177" s="68"/>
      <c r="DY177" s="68"/>
      <c r="DZ177" s="68"/>
      <c r="EA177" s="68"/>
      <c r="EB177" s="68"/>
      <c r="EC177" s="68"/>
      <c r="ED177" s="68"/>
      <c r="EE177" s="68"/>
      <c r="EF177" s="68"/>
      <c r="EG177" s="68"/>
      <c r="EH177" s="68"/>
      <c r="EI177" s="68"/>
      <c r="EJ177" s="68"/>
      <c r="EK177" s="68"/>
      <c r="EL177" s="68"/>
      <c r="EM177" s="68"/>
      <c r="EN177" s="68"/>
      <c r="EO177" s="68"/>
      <c r="EP177" s="68"/>
      <c r="EQ177" s="68"/>
      <c r="ER177" s="3"/>
      <c r="ES177" s="3"/>
      <c r="EW177"/>
      <c r="EX177"/>
      <c r="EY177"/>
      <c r="FB177" s="1"/>
    </row>
    <row r="178" spans="3:158" ht="20.25" customHeight="1" x14ac:dyDescent="0.25">
      <c r="C178" s="1"/>
      <c r="D178" s="97"/>
      <c r="E178" s="97"/>
      <c r="F178" s="9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108"/>
      <c r="AO178" s="68"/>
      <c r="AP178" s="68"/>
      <c r="AQ178" s="68"/>
      <c r="AR178" s="68"/>
      <c r="AS178" s="68"/>
      <c r="AT178" s="66"/>
      <c r="AU178" s="68"/>
      <c r="AV178" s="68"/>
      <c r="AW178" s="68"/>
      <c r="AX178" s="66"/>
      <c r="AY178" s="68"/>
      <c r="AZ178" s="66"/>
      <c r="BA178" s="68"/>
      <c r="BB178" s="68"/>
      <c r="BC178" s="68"/>
      <c r="BD178" s="68"/>
      <c r="BE178" s="68"/>
      <c r="BF178" s="66"/>
      <c r="BG178" s="66"/>
      <c r="BH178" s="66"/>
      <c r="BI178" s="66"/>
      <c r="BJ178" s="66"/>
      <c r="BK178" s="66"/>
      <c r="BL178" s="66"/>
      <c r="BM178" s="66"/>
      <c r="BN178" s="66"/>
      <c r="BO178" s="66"/>
      <c r="BP178" s="66"/>
      <c r="BQ178" s="66"/>
      <c r="BR178" s="66"/>
      <c r="BS178" s="66"/>
      <c r="BT178" s="66"/>
      <c r="BU178" s="66"/>
      <c r="BV178" s="66"/>
      <c r="BW178" s="66"/>
      <c r="BX178" s="66"/>
      <c r="BY178" s="66"/>
      <c r="BZ178" s="66"/>
      <c r="CA178" s="66"/>
      <c r="CB178" s="66"/>
      <c r="CC178" s="66"/>
      <c r="CD178" s="66"/>
      <c r="CE178" s="66"/>
      <c r="CF178" s="68"/>
      <c r="CG178" s="68"/>
      <c r="CH178" s="66"/>
      <c r="CI178" s="66"/>
      <c r="CJ178" s="68"/>
      <c r="CK178" s="68"/>
      <c r="CL178" s="68"/>
      <c r="CM178" s="68"/>
      <c r="CN178" s="66"/>
      <c r="CO178" s="68"/>
      <c r="CP178" s="66"/>
      <c r="CQ178" s="68"/>
      <c r="CR178" s="68"/>
      <c r="CS178" s="68"/>
      <c r="CT178" s="68"/>
      <c r="CU178" s="68"/>
      <c r="CV178" s="68"/>
      <c r="CW178" s="68"/>
      <c r="CX178" s="68"/>
      <c r="CY178" s="68"/>
      <c r="CZ178" s="68"/>
      <c r="DA178" s="68"/>
      <c r="DB178" s="68"/>
      <c r="DC178" s="68"/>
      <c r="DD178" s="68"/>
      <c r="DE178" s="68"/>
      <c r="DF178" s="68"/>
      <c r="DG178" s="68"/>
      <c r="DH178" s="68"/>
      <c r="DI178" s="68"/>
      <c r="DJ178" s="68"/>
      <c r="DK178" s="68"/>
      <c r="DL178" s="68"/>
      <c r="DM178" s="68"/>
      <c r="DN178" s="68"/>
      <c r="DO178" s="68"/>
      <c r="DP178" s="68"/>
      <c r="DQ178" s="99"/>
      <c r="DR178" s="99"/>
      <c r="DS178" s="68"/>
      <c r="DT178" s="68"/>
      <c r="DU178" s="68"/>
      <c r="DV178" s="68"/>
      <c r="DW178" s="68"/>
      <c r="DX178" s="68"/>
      <c r="DY178" s="68"/>
      <c r="DZ178" s="68"/>
      <c r="EA178" s="68"/>
      <c r="EB178" s="68"/>
      <c r="EC178" s="68"/>
      <c r="ED178" s="68"/>
      <c r="EE178" s="68"/>
      <c r="EF178" s="68"/>
      <c r="EG178" s="68"/>
      <c r="EH178" s="68"/>
      <c r="EI178" s="68"/>
      <c r="EJ178" s="68"/>
      <c r="EK178" s="68"/>
      <c r="EL178" s="68"/>
      <c r="EM178" s="68"/>
      <c r="EN178" s="68"/>
      <c r="EO178" s="68"/>
      <c r="EP178" s="68"/>
      <c r="EQ178" s="68"/>
      <c r="ER178" s="3"/>
      <c r="ES178" s="3"/>
      <c r="EW178"/>
      <c r="EX178"/>
      <c r="EY178"/>
      <c r="FB178" s="1"/>
    </row>
    <row r="179" spans="3:158" ht="20.25" customHeight="1" x14ac:dyDescent="0.25">
      <c r="C179" s="1"/>
      <c r="D179" s="97"/>
      <c r="E179" s="97"/>
      <c r="F179" s="9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108"/>
      <c r="AO179" s="68"/>
      <c r="AP179" s="68"/>
      <c r="AQ179" s="68"/>
      <c r="AR179" s="68"/>
      <c r="AS179" s="68"/>
      <c r="AT179" s="66"/>
      <c r="AU179" s="68"/>
      <c r="AV179" s="68"/>
      <c r="AW179" s="68"/>
      <c r="AX179" s="66"/>
      <c r="AY179" s="68"/>
      <c r="AZ179" s="66"/>
      <c r="BA179" s="68"/>
      <c r="BB179" s="68"/>
      <c r="BC179" s="68"/>
      <c r="BD179" s="68"/>
      <c r="BE179" s="68"/>
      <c r="BF179" s="66"/>
      <c r="BG179" s="66"/>
      <c r="BH179" s="66"/>
      <c r="BI179" s="66"/>
      <c r="BJ179" s="66"/>
      <c r="BK179" s="66"/>
      <c r="BL179" s="66"/>
      <c r="BM179" s="66"/>
      <c r="BN179" s="66"/>
      <c r="BO179" s="66"/>
      <c r="BP179" s="66"/>
      <c r="BQ179" s="66"/>
      <c r="BR179" s="66"/>
      <c r="BS179" s="66"/>
      <c r="BT179" s="66"/>
      <c r="BU179" s="66"/>
      <c r="BV179" s="66"/>
      <c r="BW179" s="66"/>
      <c r="BX179" s="66"/>
      <c r="BY179" s="66"/>
      <c r="BZ179" s="66"/>
      <c r="CA179" s="66"/>
      <c r="CB179" s="66"/>
      <c r="CC179" s="66"/>
      <c r="CD179" s="66"/>
      <c r="CE179" s="66"/>
      <c r="CF179" s="68"/>
      <c r="CG179" s="68"/>
      <c r="CH179" s="66"/>
      <c r="CI179" s="66"/>
      <c r="CJ179" s="68"/>
      <c r="CK179" s="68"/>
      <c r="CL179" s="68"/>
      <c r="CM179" s="68"/>
      <c r="CN179" s="66"/>
      <c r="CO179" s="68"/>
      <c r="CP179" s="66"/>
      <c r="CQ179" s="68"/>
      <c r="CR179" s="68"/>
      <c r="CS179" s="68"/>
      <c r="CT179" s="68"/>
      <c r="CU179" s="68"/>
      <c r="CV179" s="68"/>
      <c r="CW179" s="68"/>
      <c r="CX179" s="68"/>
      <c r="CY179" s="68"/>
      <c r="CZ179" s="68"/>
      <c r="DA179" s="68"/>
      <c r="DB179" s="68"/>
      <c r="DC179" s="68"/>
      <c r="DD179" s="68"/>
      <c r="DE179" s="68"/>
      <c r="DF179" s="68"/>
      <c r="DG179" s="68"/>
      <c r="DH179" s="68"/>
      <c r="DI179" s="68"/>
      <c r="DJ179" s="68"/>
      <c r="DK179" s="68"/>
      <c r="DL179" s="68"/>
      <c r="DM179" s="68"/>
      <c r="DN179" s="68"/>
      <c r="DO179" s="68"/>
      <c r="DP179" s="68"/>
      <c r="DQ179" s="99"/>
      <c r="DR179" s="99"/>
      <c r="DS179" s="68"/>
      <c r="DT179" s="68"/>
      <c r="DU179" s="68"/>
      <c r="DV179" s="68"/>
      <c r="DW179" s="68"/>
      <c r="DX179" s="68"/>
      <c r="DY179" s="68"/>
      <c r="DZ179" s="68"/>
      <c r="EA179" s="68"/>
      <c r="EB179" s="68"/>
      <c r="EC179" s="68"/>
      <c r="ED179" s="68"/>
      <c r="EE179" s="68"/>
      <c r="EF179" s="68"/>
      <c r="EG179" s="68"/>
      <c r="EH179" s="68"/>
      <c r="EI179" s="68"/>
      <c r="EJ179" s="68"/>
      <c r="EK179" s="68"/>
      <c r="EL179" s="68"/>
      <c r="EM179" s="68"/>
      <c r="EN179" s="68"/>
      <c r="EO179" s="68"/>
      <c r="EP179" s="68"/>
      <c r="EQ179" s="68"/>
      <c r="ER179" s="3"/>
      <c r="ES179" s="3"/>
      <c r="EW179"/>
      <c r="EX179"/>
      <c r="EY179"/>
      <c r="FB179" s="1"/>
    </row>
    <row r="180" spans="3:158" ht="20.25" customHeight="1" x14ac:dyDescent="0.25">
      <c r="C180" s="1"/>
      <c r="D180" s="97"/>
      <c r="E180" s="97"/>
      <c r="F180" s="9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108"/>
      <c r="AO180" s="68"/>
      <c r="AP180" s="68"/>
      <c r="AQ180" s="68"/>
      <c r="AR180" s="68"/>
      <c r="AS180" s="68"/>
      <c r="AT180" s="66"/>
      <c r="AU180" s="68"/>
      <c r="AV180" s="68"/>
      <c r="AW180" s="68"/>
      <c r="AX180" s="66"/>
      <c r="AY180" s="68"/>
      <c r="AZ180" s="66"/>
      <c r="BA180" s="68"/>
      <c r="BB180" s="68"/>
      <c r="BC180" s="68"/>
      <c r="BD180" s="68"/>
      <c r="BE180" s="68"/>
      <c r="BF180" s="66"/>
      <c r="BG180" s="66"/>
      <c r="BH180" s="66"/>
      <c r="BI180" s="66"/>
      <c r="BJ180" s="66"/>
      <c r="BK180" s="66"/>
      <c r="BL180" s="66"/>
      <c r="BM180" s="66"/>
      <c r="BN180" s="66"/>
      <c r="BO180" s="66"/>
      <c r="BP180" s="66"/>
      <c r="BQ180" s="66"/>
      <c r="BR180" s="66"/>
      <c r="BS180" s="66"/>
      <c r="BT180" s="66"/>
      <c r="BU180" s="66"/>
      <c r="BV180" s="66"/>
      <c r="BW180" s="66"/>
      <c r="BX180" s="66"/>
      <c r="BY180" s="66"/>
      <c r="BZ180" s="66"/>
      <c r="CA180" s="66"/>
      <c r="CB180" s="66"/>
      <c r="CC180" s="66"/>
      <c r="CD180" s="66"/>
      <c r="CE180" s="66"/>
      <c r="CF180" s="68"/>
      <c r="CG180" s="68"/>
      <c r="CH180" s="66"/>
      <c r="CI180" s="66"/>
      <c r="CJ180" s="68"/>
      <c r="CK180" s="68"/>
      <c r="CL180" s="68"/>
      <c r="CM180" s="68"/>
      <c r="CN180" s="66"/>
      <c r="CO180" s="68"/>
      <c r="CP180" s="66"/>
      <c r="CQ180" s="68"/>
      <c r="CR180" s="68"/>
      <c r="CS180" s="68"/>
      <c r="CT180" s="68"/>
      <c r="CU180" s="68"/>
      <c r="CV180" s="68"/>
      <c r="CW180" s="68"/>
      <c r="CX180" s="68"/>
      <c r="CY180" s="68"/>
      <c r="CZ180" s="68"/>
      <c r="DA180" s="68"/>
      <c r="DB180" s="68"/>
      <c r="DC180" s="68"/>
      <c r="DD180" s="68"/>
      <c r="DE180" s="68"/>
      <c r="DF180" s="68"/>
      <c r="DG180" s="68"/>
      <c r="DH180" s="68"/>
      <c r="DI180" s="68"/>
      <c r="DJ180" s="68"/>
      <c r="DK180" s="68"/>
      <c r="DL180" s="68"/>
      <c r="DM180" s="68"/>
      <c r="DN180" s="68"/>
      <c r="DO180" s="68"/>
      <c r="DP180" s="68"/>
      <c r="DQ180" s="99"/>
      <c r="DR180" s="99"/>
      <c r="DS180" s="68"/>
      <c r="DT180" s="68"/>
      <c r="DU180" s="68"/>
      <c r="DV180" s="68"/>
      <c r="DW180" s="68"/>
      <c r="DX180" s="68"/>
      <c r="DY180" s="68"/>
      <c r="DZ180" s="68"/>
      <c r="EA180" s="68"/>
      <c r="EB180" s="68"/>
      <c r="EC180" s="68"/>
      <c r="ED180" s="68"/>
      <c r="EE180" s="68"/>
      <c r="EF180" s="68"/>
      <c r="EG180" s="68"/>
      <c r="EH180" s="68"/>
      <c r="EI180" s="68"/>
      <c r="EJ180" s="68"/>
      <c r="EK180" s="68"/>
      <c r="EL180" s="68"/>
      <c r="EM180" s="68"/>
      <c r="EN180" s="68"/>
      <c r="EO180" s="68"/>
      <c r="EP180" s="68"/>
      <c r="EQ180" s="68"/>
      <c r="ER180" s="3"/>
      <c r="ES180" s="3"/>
      <c r="EW180"/>
      <c r="EX180"/>
      <c r="EY180"/>
      <c r="FB180" s="1"/>
    </row>
    <row r="181" spans="3:158" ht="20.25" customHeight="1" x14ac:dyDescent="0.25">
      <c r="C181" s="1"/>
      <c r="D181" s="97"/>
      <c r="E181" s="97"/>
      <c r="F181" s="9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108"/>
      <c r="AO181" s="68"/>
      <c r="AP181" s="68"/>
      <c r="AQ181" s="68"/>
      <c r="AR181" s="68"/>
      <c r="AS181" s="68"/>
      <c r="AT181" s="66"/>
      <c r="AU181" s="68"/>
      <c r="AV181" s="68"/>
      <c r="AW181" s="68"/>
      <c r="AX181" s="66"/>
      <c r="AY181" s="68"/>
      <c r="AZ181" s="66"/>
      <c r="BA181" s="68"/>
      <c r="BB181" s="68"/>
      <c r="BC181" s="68"/>
      <c r="BD181" s="68"/>
      <c r="BE181" s="68"/>
      <c r="BF181" s="66"/>
      <c r="BG181" s="66"/>
      <c r="BH181" s="66"/>
      <c r="BI181" s="66"/>
      <c r="BJ181" s="66"/>
      <c r="BK181" s="66"/>
      <c r="BL181" s="66"/>
      <c r="BM181" s="66"/>
      <c r="BN181" s="66"/>
      <c r="BO181" s="66"/>
      <c r="BP181" s="66"/>
      <c r="BQ181" s="66"/>
      <c r="BR181" s="66"/>
      <c r="BS181" s="66"/>
      <c r="BT181" s="66"/>
      <c r="BU181" s="66"/>
      <c r="BV181" s="66"/>
      <c r="BW181" s="66"/>
      <c r="BX181" s="66"/>
      <c r="BY181" s="66"/>
      <c r="BZ181" s="66"/>
      <c r="CA181" s="66"/>
      <c r="CB181" s="66"/>
      <c r="CC181" s="66"/>
      <c r="CD181" s="66"/>
      <c r="CE181" s="66"/>
      <c r="CF181" s="68"/>
      <c r="CG181" s="68"/>
      <c r="CH181" s="66"/>
      <c r="CI181" s="66"/>
      <c r="CJ181" s="68"/>
      <c r="CK181" s="68"/>
      <c r="CL181" s="68"/>
      <c r="CM181" s="68"/>
      <c r="CN181" s="66"/>
      <c r="CO181" s="68"/>
      <c r="CP181" s="66"/>
      <c r="CQ181" s="68"/>
      <c r="CR181" s="68"/>
      <c r="CS181" s="68"/>
      <c r="CT181" s="68"/>
      <c r="CU181" s="68"/>
      <c r="CV181" s="68"/>
      <c r="CW181" s="68"/>
      <c r="CX181" s="68"/>
      <c r="CY181" s="68"/>
      <c r="CZ181" s="68"/>
      <c r="DA181" s="68"/>
      <c r="DB181" s="68"/>
      <c r="DC181" s="68"/>
      <c r="DD181" s="68"/>
      <c r="DE181" s="68"/>
      <c r="DF181" s="68"/>
      <c r="DG181" s="68"/>
      <c r="DH181" s="68"/>
      <c r="DI181" s="68"/>
      <c r="DJ181" s="68"/>
      <c r="DK181" s="68"/>
      <c r="DL181" s="68"/>
      <c r="DM181" s="68"/>
      <c r="DN181" s="68"/>
      <c r="DO181" s="68"/>
      <c r="DP181" s="68"/>
      <c r="DQ181" s="99"/>
      <c r="DR181" s="99"/>
      <c r="DS181" s="68"/>
      <c r="DT181" s="68"/>
      <c r="DU181" s="68"/>
      <c r="DV181" s="68"/>
      <c r="DW181" s="68"/>
      <c r="DX181" s="68"/>
      <c r="DY181" s="68"/>
      <c r="DZ181" s="68"/>
      <c r="EA181" s="68"/>
      <c r="EB181" s="68"/>
      <c r="EC181" s="68"/>
      <c r="ED181" s="68"/>
      <c r="EE181" s="68"/>
      <c r="EF181" s="68"/>
      <c r="EG181" s="68"/>
      <c r="EH181" s="68"/>
      <c r="EI181" s="68"/>
      <c r="EJ181" s="68"/>
      <c r="EK181" s="68"/>
      <c r="EL181" s="68"/>
      <c r="EM181" s="68"/>
      <c r="EN181" s="68"/>
      <c r="EO181" s="68"/>
      <c r="EP181" s="68"/>
      <c r="EQ181" s="68"/>
      <c r="ER181" s="3"/>
      <c r="ES181" s="3"/>
      <c r="EW181"/>
      <c r="EX181"/>
      <c r="EY181"/>
      <c r="FB181" s="1"/>
    </row>
    <row r="182" spans="3:158" ht="20.25" customHeight="1" x14ac:dyDescent="0.25">
      <c r="C182" s="1"/>
      <c r="D182" s="97"/>
      <c r="E182" s="97"/>
      <c r="F182" s="9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108"/>
      <c r="AO182" s="68"/>
      <c r="AP182" s="68"/>
      <c r="AQ182" s="68"/>
      <c r="AR182" s="68"/>
      <c r="AS182" s="68"/>
      <c r="AT182" s="66"/>
      <c r="AU182" s="68"/>
      <c r="AV182" s="68"/>
      <c r="AW182" s="68"/>
      <c r="AX182" s="66"/>
      <c r="AY182" s="68"/>
      <c r="AZ182" s="66"/>
      <c r="BA182" s="68"/>
      <c r="BB182" s="68"/>
      <c r="BC182" s="68"/>
      <c r="BD182" s="68"/>
      <c r="BE182" s="68"/>
      <c r="BF182" s="66"/>
      <c r="BG182" s="66"/>
      <c r="BH182" s="66"/>
      <c r="BI182" s="66"/>
      <c r="BJ182" s="66"/>
      <c r="BK182" s="66"/>
      <c r="BL182" s="66"/>
      <c r="BM182" s="66"/>
      <c r="BN182" s="66"/>
      <c r="BO182" s="66"/>
      <c r="BP182" s="66"/>
      <c r="BQ182" s="66"/>
      <c r="BR182" s="66"/>
      <c r="BS182" s="66"/>
      <c r="BT182" s="66"/>
      <c r="BU182" s="66"/>
      <c r="BV182" s="66"/>
      <c r="BW182" s="66"/>
      <c r="BX182" s="66"/>
      <c r="BY182" s="66"/>
      <c r="BZ182" s="66"/>
      <c r="CA182" s="66"/>
      <c r="CB182" s="66"/>
      <c r="CC182" s="66"/>
      <c r="CD182" s="66"/>
      <c r="CE182" s="66"/>
      <c r="CF182" s="68"/>
      <c r="CG182" s="68"/>
      <c r="CH182" s="66"/>
      <c r="CI182" s="66"/>
      <c r="CJ182" s="68"/>
      <c r="CK182" s="68"/>
      <c r="CL182" s="68"/>
      <c r="CM182" s="68"/>
      <c r="CN182" s="66"/>
      <c r="CO182" s="68"/>
      <c r="CP182" s="66"/>
      <c r="CQ182" s="68"/>
      <c r="CR182" s="68"/>
      <c r="CS182" s="68"/>
      <c r="CT182" s="68"/>
      <c r="CU182" s="68"/>
      <c r="CV182" s="68"/>
      <c r="CW182" s="68"/>
      <c r="CX182" s="68"/>
      <c r="CY182" s="68"/>
      <c r="CZ182" s="68"/>
      <c r="DA182" s="68"/>
      <c r="DB182" s="68"/>
      <c r="DC182" s="68"/>
      <c r="DD182" s="68"/>
      <c r="DE182" s="68"/>
      <c r="DF182" s="68"/>
      <c r="DG182" s="68"/>
      <c r="DH182" s="68"/>
      <c r="DI182" s="68"/>
      <c r="DJ182" s="68"/>
      <c r="DK182" s="68"/>
      <c r="DL182" s="68"/>
      <c r="DM182" s="68"/>
      <c r="DN182" s="68"/>
      <c r="DO182" s="68"/>
      <c r="DP182" s="68"/>
      <c r="DQ182" s="99"/>
      <c r="DR182" s="99"/>
      <c r="DS182" s="68"/>
      <c r="DT182" s="68"/>
      <c r="DU182" s="68"/>
      <c r="DV182" s="68"/>
      <c r="DW182" s="68"/>
      <c r="DX182" s="68"/>
      <c r="DY182" s="68"/>
      <c r="DZ182" s="68"/>
      <c r="EA182" s="68"/>
      <c r="EB182" s="68"/>
      <c r="EC182" s="68"/>
      <c r="ED182" s="68"/>
      <c r="EE182" s="68"/>
      <c r="EF182" s="68"/>
      <c r="EG182" s="68"/>
      <c r="EH182" s="68"/>
      <c r="EI182" s="68"/>
      <c r="EJ182" s="68"/>
      <c r="EK182" s="68"/>
      <c r="EL182" s="68"/>
      <c r="EM182" s="68"/>
      <c r="EN182" s="68"/>
      <c r="EO182" s="68"/>
      <c r="EP182" s="68"/>
      <c r="EQ182" s="68"/>
      <c r="ER182" s="3"/>
      <c r="ES182" s="3"/>
      <c r="EW182"/>
      <c r="EX182"/>
      <c r="EY182"/>
      <c r="FB182" s="1"/>
    </row>
    <row r="183" spans="3:158" ht="20.25" customHeight="1" x14ac:dyDescent="0.25">
      <c r="C183" s="1"/>
      <c r="D183" s="97"/>
      <c r="E183" s="97"/>
      <c r="F183" s="9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108"/>
      <c r="AO183" s="68"/>
      <c r="AP183" s="68"/>
      <c r="AQ183" s="68"/>
      <c r="AR183" s="68"/>
      <c r="AS183" s="68"/>
      <c r="AT183" s="66"/>
      <c r="AU183" s="68"/>
      <c r="AV183" s="68"/>
      <c r="AW183" s="68"/>
      <c r="AX183" s="66"/>
      <c r="AY183" s="68"/>
      <c r="AZ183" s="66"/>
      <c r="BA183" s="68"/>
      <c r="BB183" s="68"/>
      <c r="BC183" s="68"/>
      <c r="BD183" s="68"/>
      <c r="BE183" s="68"/>
      <c r="BF183" s="66"/>
      <c r="BG183" s="66"/>
      <c r="BH183" s="66"/>
      <c r="BI183" s="66"/>
      <c r="BJ183" s="66"/>
      <c r="BK183" s="66"/>
      <c r="BL183" s="66"/>
      <c r="BM183" s="66"/>
      <c r="BN183" s="66"/>
      <c r="BO183" s="66"/>
      <c r="BP183" s="66"/>
      <c r="BQ183" s="66"/>
      <c r="BR183" s="66"/>
      <c r="BS183" s="66"/>
      <c r="BT183" s="66"/>
      <c r="BU183" s="66"/>
      <c r="BV183" s="66"/>
      <c r="BW183" s="66"/>
      <c r="BX183" s="66"/>
      <c r="BY183" s="66"/>
      <c r="BZ183" s="66"/>
      <c r="CA183" s="66"/>
      <c r="CB183" s="66"/>
      <c r="CC183" s="66"/>
      <c r="CD183" s="66"/>
      <c r="CE183" s="66"/>
      <c r="CF183" s="68"/>
      <c r="CG183" s="68"/>
      <c r="CH183" s="66"/>
      <c r="CI183" s="66"/>
      <c r="CJ183" s="68"/>
      <c r="CK183" s="68"/>
      <c r="CL183" s="68"/>
      <c r="CM183" s="68"/>
      <c r="CN183" s="66"/>
      <c r="CO183" s="68"/>
      <c r="CP183" s="66"/>
      <c r="CQ183" s="68"/>
      <c r="CR183" s="68"/>
      <c r="CS183" s="68"/>
      <c r="CT183" s="68"/>
      <c r="CU183" s="68"/>
      <c r="CV183" s="68"/>
      <c r="CW183" s="68"/>
      <c r="CX183" s="68"/>
      <c r="CY183" s="68"/>
      <c r="CZ183" s="68"/>
      <c r="DA183" s="68"/>
      <c r="DB183" s="68"/>
      <c r="DC183" s="68"/>
      <c r="DD183" s="68"/>
      <c r="DE183" s="68"/>
      <c r="DF183" s="68"/>
      <c r="DG183" s="68"/>
      <c r="DH183" s="68"/>
      <c r="DI183" s="68"/>
      <c r="DJ183" s="68"/>
      <c r="DK183" s="68"/>
      <c r="DL183" s="68"/>
      <c r="DM183" s="68"/>
      <c r="DN183" s="68"/>
      <c r="DO183" s="68"/>
      <c r="DP183" s="68"/>
      <c r="DQ183" s="99"/>
      <c r="DR183" s="99"/>
      <c r="DS183" s="68"/>
      <c r="DT183" s="68"/>
      <c r="DU183" s="68"/>
      <c r="DV183" s="68"/>
      <c r="DW183" s="68"/>
      <c r="DX183" s="68"/>
      <c r="DY183" s="68"/>
      <c r="DZ183" s="68"/>
      <c r="EA183" s="68"/>
      <c r="EB183" s="68"/>
      <c r="EC183" s="68"/>
      <c r="ED183" s="68"/>
      <c r="EE183" s="68"/>
      <c r="EF183" s="68"/>
      <c r="EG183" s="68"/>
      <c r="EH183" s="68"/>
      <c r="EI183" s="68"/>
      <c r="EJ183" s="68"/>
      <c r="EK183" s="68"/>
      <c r="EL183" s="68"/>
      <c r="EM183" s="68"/>
      <c r="EN183" s="68"/>
      <c r="EO183" s="68"/>
      <c r="EP183" s="68"/>
      <c r="EQ183" s="68"/>
      <c r="ER183" s="3"/>
      <c r="ES183" s="3"/>
      <c r="EW183"/>
      <c r="EX183"/>
      <c r="EY183"/>
      <c r="FB183" s="1"/>
    </row>
    <row r="184" spans="3:158" ht="20.25" customHeight="1" x14ac:dyDescent="0.25">
      <c r="C184" s="1"/>
      <c r="D184" s="97"/>
      <c r="E184" s="97"/>
      <c r="F184" s="9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108"/>
      <c r="AO184" s="68"/>
      <c r="AP184" s="68"/>
      <c r="AQ184" s="68"/>
      <c r="AR184" s="68"/>
      <c r="AS184" s="68"/>
      <c r="AT184" s="66"/>
      <c r="AU184" s="68"/>
      <c r="AV184" s="68"/>
      <c r="AW184" s="68"/>
      <c r="AX184" s="66"/>
      <c r="AY184" s="68"/>
      <c r="AZ184" s="66"/>
      <c r="BA184" s="68"/>
      <c r="BB184" s="68"/>
      <c r="BC184" s="68"/>
      <c r="BD184" s="68"/>
      <c r="BE184" s="68"/>
      <c r="BF184" s="66"/>
      <c r="BG184" s="66"/>
      <c r="BH184" s="66"/>
      <c r="BI184" s="66"/>
      <c r="BJ184" s="66"/>
      <c r="BK184" s="66"/>
      <c r="BL184" s="66"/>
      <c r="BM184" s="66"/>
      <c r="BN184" s="66"/>
      <c r="BO184" s="66"/>
      <c r="BP184" s="66"/>
      <c r="BQ184" s="66"/>
      <c r="BR184" s="66"/>
      <c r="BS184" s="66"/>
      <c r="BT184" s="66"/>
      <c r="BU184" s="66"/>
      <c r="BV184" s="66"/>
      <c r="BW184" s="66"/>
      <c r="BX184" s="66"/>
      <c r="BY184" s="66"/>
      <c r="BZ184" s="66"/>
      <c r="CA184" s="66"/>
      <c r="CB184" s="66"/>
      <c r="CC184" s="66"/>
      <c r="CD184" s="66"/>
      <c r="CE184" s="66"/>
      <c r="CF184" s="68"/>
      <c r="CG184" s="68"/>
      <c r="CH184" s="66"/>
      <c r="CI184" s="66"/>
      <c r="CJ184" s="68"/>
      <c r="CK184" s="68"/>
      <c r="CL184" s="68"/>
      <c r="CM184" s="68"/>
      <c r="CN184" s="66"/>
      <c r="CO184" s="68"/>
      <c r="CP184" s="66"/>
      <c r="CQ184" s="68"/>
      <c r="CR184" s="68"/>
      <c r="CS184" s="68"/>
      <c r="CT184" s="68"/>
      <c r="CU184" s="68"/>
      <c r="CV184" s="68"/>
      <c r="CW184" s="68"/>
      <c r="CX184" s="68"/>
      <c r="CY184" s="68"/>
      <c r="CZ184" s="68"/>
      <c r="DA184" s="68"/>
      <c r="DB184" s="68"/>
      <c r="DC184" s="68"/>
      <c r="DD184" s="68"/>
      <c r="DE184" s="68"/>
      <c r="DF184" s="68"/>
      <c r="DG184" s="68"/>
      <c r="DH184" s="68"/>
      <c r="DI184" s="68"/>
      <c r="DJ184" s="68"/>
      <c r="DK184" s="68"/>
      <c r="DL184" s="68"/>
      <c r="DM184" s="68"/>
      <c r="DN184" s="68"/>
      <c r="DO184" s="68"/>
      <c r="DP184" s="68"/>
      <c r="DQ184" s="99"/>
      <c r="DR184" s="99"/>
      <c r="DS184" s="68"/>
      <c r="DT184" s="68"/>
      <c r="DU184" s="68"/>
      <c r="DV184" s="68"/>
      <c r="DW184" s="68"/>
      <c r="DX184" s="68"/>
      <c r="DY184" s="68"/>
      <c r="DZ184" s="68"/>
      <c r="EA184" s="68"/>
      <c r="EB184" s="68"/>
      <c r="EC184" s="68"/>
      <c r="ED184" s="68"/>
      <c r="EE184" s="68"/>
      <c r="EF184" s="68"/>
      <c r="EG184" s="68"/>
      <c r="EH184" s="68"/>
      <c r="EI184" s="68"/>
      <c r="EJ184" s="68"/>
      <c r="EK184" s="68"/>
      <c r="EL184" s="68"/>
      <c r="EM184" s="68"/>
      <c r="EN184" s="68"/>
      <c r="EO184" s="68"/>
      <c r="EP184" s="68"/>
      <c r="EQ184" s="68"/>
      <c r="ER184" s="3"/>
      <c r="ES184" s="3"/>
      <c r="EW184"/>
      <c r="EX184"/>
      <c r="EY184"/>
      <c r="FB184" s="1"/>
    </row>
    <row r="185" spans="3:158" ht="20.25" customHeight="1" x14ac:dyDescent="0.25">
      <c r="C185" s="1"/>
      <c r="D185" s="97"/>
      <c r="E185" s="97"/>
      <c r="F185" s="9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108"/>
      <c r="AO185" s="68"/>
      <c r="AP185" s="68"/>
      <c r="AQ185" s="68"/>
      <c r="AR185" s="68"/>
      <c r="AS185" s="68"/>
      <c r="AT185" s="66"/>
      <c r="AU185" s="68"/>
      <c r="AV185" s="68"/>
      <c r="AW185" s="68"/>
      <c r="AX185" s="66"/>
      <c r="AY185" s="68"/>
      <c r="AZ185" s="66"/>
      <c r="BA185" s="68"/>
      <c r="BB185" s="68"/>
      <c r="BC185" s="68"/>
      <c r="BD185" s="68"/>
      <c r="BE185" s="68"/>
      <c r="BF185" s="66"/>
      <c r="BG185" s="66"/>
      <c r="BH185" s="66"/>
      <c r="BI185" s="66"/>
      <c r="BJ185" s="66"/>
      <c r="BK185" s="66"/>
      <c r="BL185" s="66"/>
      <c r="BM185" s="66"/>
      <c r="BN185" s="66"/>
      <c r="BO185" s="66"/>
      <c r="BP185" s="66"/>
      <c r="BQ185" s="66"/>
      <c r="BR185" s="66"/>
      <c r="BS185" s="66"/>
      <c r="BT185" s="66"/>
      <c r="BU185" s="66"/>
      <c r="BV185" s="66"/>
      <c r="BW185" s="66"/>
      <c r="BX185" s="66"/>
      <c r="BY185" s="66"/>
      <c r="BZ185" s="66"/>
      <c r="CA185" s="66"/>
      <c r="CB185" s="66"/>
      <c r="CC185" s="66"/>
      <c r="CD185" s="66"/>
      <c r="CE185" s="66"/>
      <c r="CF185" s="68"/>
      <c r="CG185" s="68"/>
      <c r="CH185" s="66"/>
      <c r="CI185" s="66"/>
      <c r="CJ185" s="68"/>
      <c r="CK185" s="68"/>
      <c r="CL185" s="68"/>
      <c r="CM185" s="68"/>
      <c r="CN185" s="66"/>
      <c r="CO185" s="68"/>
      <c r="CP185" s="66"/>
      <c r="CQ185" s="68"/>
      <c r="CR185" s="68"/>
      <c r="CS185" s="68"/>
      <c r="CT185" s="68"/>
      <c r="CU185" s="68"/>
      <c r="CV185" s="68"/>
      <c r="CW185" s="68"/>
      <c r="CX185" s="68"/>
      <c r="CY185" s="68"/>
      <c r="CZ185" s="68"/>
      <c r="DA185" s="68"/>
      <c r="DB185" s="68"/>
      <c r="DC185" s="68"/>
      <c r="DD185" s="68"/>
      <c r="DE185" s="68"/>
      <c r="DF185" s="68"/>
      <c r="DG185" s="68"/>
      <c r="DH185" s="68"/>
      <c r="DI185" s="68"/>
      <c r="DJ185" s="68"/>
      <c r="DK185" s="68"/>
      <c r="DL185" s="68"/>
      <c r="DM185" s="68"/>
      <c r="DN185" s="68"/>
      <c r="DO185" s="68"/>
      <c r="DP185" s="68"/>
      <c r="DQ185" s="99"/>
      <c r="DR185" s="99"/>
      <c r="DS185" s="68"/>
      <c r="DT185" s="68"/>
      <c r="DU185" s="68"/>
      <c r="DV185" s="68"/>
      <c r="DW185" s="68"/>
      <c r="DX185" s="68"/>
      <c r="DY185" s="68"/>
      <c r="DZ185" s="68"/>
      <c r="EA185" s="68"/>
      <c r="EB185" s="68"/>
      <c r="EC185" s="68"/>
      <c r="ED185" s="68"/>
      <c r="EE185" s="68"/>
      <c r="EF185" s="68"/>
      <c r="EG185" s="68"/>
      <c r="EH185" s="68"/>
      <c r="EI185" s="68"/>
      <c r="EJ185" s="68"/>
      <c r="EK185" s="68"/>
      <c r="EL185" s="68"/>
      <c r="EM185" s="68"/>
      <c r="EN185" s="68"/>
      <c r="EO185" s="68"/>
      <c r="EP185" s="68"/>
      <c r="EQ185" s="68"/>
      <c r="ER185" s="3"/>
      <c r="ES185" s="3"/>
      <c r="EW185"/>
      <c r="EX185"/>
      <c r="EY185"/>
      <c r="FB185" s="1"/>
    </row>
    <row r="186" spans="3:158" ht="20.25" customHeight="1" x14ac:dyDescent="0.25">
      <c r="C186" s="1"/>
      <c r="D186" s="97"/>
      <c r="E186" s="97"/>
      <c r="F186" s="9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108"/>
      <c r="AO186" s="68"/>
      <c r="AP186" s="68"/>
      <c r="AQ186" s="68"/>
      <c r="AR186" s="68"/>
      <c r="AS186" s="68"/>
      <c r="AT186" s="66"/>
      <c r="AU186" s="68"/>
      <c r="AV186" s="68"/>
      <c r="AW186" s="68"/>
      <c r="AX186" s="66"/>
      <c r="AY186" s="68"/>
      <c r="AZ186" s="66"/>
      <c r="BA186" s="68"/>
      <c r="BB186" s="68"/>
      <c r="BC186" s="68"/>
      <c r="BD186" s="68"/>
      <c r="BE186" s="68"/>
      <c r="BF186" s="66"/>
      <c r="BG186" s="66"/>
      <c r="BH186" s="66"/>
      <c r="BI186" s="66"/>
      <c r="BJ186" s="66"/>
      <c r="BK186" s="66"/>
      <c r="BL186" s="66"/>
      <c r="BM186" s="66"/>
      <c r="BN186" s="66"/>
      <c r="BO186" s="66"/>
      <c r="BP186" s="66"/>
      <c r="BQ186" s="66"/>
      <c r="BR186" s="66"/>
      <c r="BS186" s="66"/>
      <c r="BT186" s="66"/>
      <c r="BU186" s="66"/>
      <c r="BV186" s="66"/>
      <c r="BW186" s="66"/>
      <c r="BX186" s="66"/>
      <c r="BY186" s="66"/>
      <c r="BZ186" s="66"/>
      <c r="CA186" s="66"/>
      <c r="CB186" s="66"/>
      <c r="CC186" s="66"/>
      <c r="CD186" s="66"/>
      <c r="CE186" s="66"/>
      <c r="CF186" s="68"/>
      <c r="CG186" s="68"/>
      <c r="CH186" s="66"/>
      <c r="CI186" s="66"/>
      <c r="CJ186" s="68"/>
      <c r="CK186" s="68"/>
      <c r="CL186" s="68"/>
      <c r="CM186" s="68"/>
      <c r="CN186" s="66"/>
      <c r="CO186" s="68"/>
      <c r="CP186" s="66"/>
      <c r="CQ186" s="68"/>
      <c r="CR186" s="68"/>
      <c r="CS186" s="68"/>
      <c r="CT186" s="68"/>
      <c r="CU186" s="68"/>
      <c r="CV186" s="68"/>
      <c r="CW186" s="68"/>
      <c r="CX186" s="68"/>
      <c r="CY186" s="68"/>
      <c r="CZ186" s="68"/>
      <c r="DA186" s="68"/>
      <c r="DB186" s="68"/>
      <c r="DC186" s="68"/>
      <c r="DD186" s="68"/>
      <c r="DE186" s="68"/>
      <c r="DF186" s="68"/>
      <c r="DG186" s="68"/>
      <c r="DH186" s="68"/>
      <c r="DI186" s="68"/>
      <c r="DJ186" s="68"/>
      <c r="DK186" s="68"/>
      <c r="DL186" s="68"/>
      <c r="DM186" s="68"/>
      <c r="DN186" s="68"/>
      <c r="DO186" s="68"/>
      <c r="DP186" s="68"/>
      <c r="DQ186" s="99"/>
      <c r="DR186" s="99"/>
      <c r="DS186" s="68"/>
      <c r="DT186" s="68"/>
      <c r="DU186" s="68"/>
      <c r="DV186" s="68"/>
      <c r="DW186" s="68"/>
      <c r="DX186" s="68"/>
      <c r="DY186" s="68"/>
      <c r="DZ186" s="68"/>
      <c r="EA186" s="68"/>
      <c r="EB186" s="68"/>
      <c r="EC186" s="68"/>
      <c r="ED186" s="68"/>
      <c r="EE186" s="68"/>
      <c r="EF186" s="68"/>
      <c r="EG186" s="68"/>
      <c r="EH186" s="68"/>
      <c r="EI186" s="68"/>
      <c r="EJ186" s="68"/>
      <c r="EK186" s="68"/>
      <c r="EL186" s="68"/>
      <c r="EM186" s="68"/>
      <c r="EN186" s="68"/>
      <c r="EO186" s="68"/>
      <c r="EP186" s="68"/>
      <c r="EQ186" s="68"/>
      <c r="ER186" s="3"/>
      <c r="ES186" s="3"/>
      <c r="EW186"/>
      <c r="EX186"/>
      <c r="EY186"/>
      <c r="FB186" s="1"/>
    </row>
    <row r="187" spans="3:158" ht="20.25" customHeight="1" x14ac:dyDescent="0.25">
      <c r="C187" s="1"/>
      <c r="D187" s="97"/>
      <c r="E187" s="97"/>
      <c r="F187" s="9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108"/>
      <c r="AO187" s="68"/>
      <c r="AP187" s="68"/>
      <c r="AQ187" s="68"/>
      <c r="AR187" s="68"/>
      <c r="AS187" s="68"/>
      <c r="AT187" s="66"/>
      <c r="AU187" s="68"/>
      <c r="AV187" s="68"/>
      <c r="AW187" s="68"/>
      <c r="AX187" s="66"/>
      <c r="AY187" s="68"/>
      <c r="AZ187" s="66"/>
      <c r="BA187" s="68"/>
      <c r="BB187" s="68"/>
      <c r="BC187" s="68"/>
      <c r="BD187" s="68"/>
      <c r="BE187" s="68"/>
      <c r="BF187" s="66"/>
      <c r="BG187" s="66"/>
      <c r="BH187" s="66"/>
      <c r="BI187" s="66"/>
      <c r="BJ187" s="66"/>
      <c r="BK187" s="66"/>
      <c r="BL187" s="66"/>
      <c r="BM187" s="66"/>
      <c r="BN187" s="66"/>
      <c r="BO187" s="66"/>
      <c r="BP187" s="66"/>
      <c r="BQ187" s="66"/>
      <c r="BR187" s="66"/>
      <c r="BS187" s="66"/>
      <c r="BT187" s="66"/>
      <c r="BU187" s="66"/>
      <c r="BV187" s="66"/>
      <c r="BW187" s="66"/>
      <c r="BX187" s="66"/>
      <c r="BY187" s="66"/>
      <c r="BZ187" s="66"/>
      <c r="CA187" s="66"/>
      <c r="CB187" s="66"/>
      <c r="CC187" s="66"/>
      <c r="CD187" s="66"/>
      <c r="CE187" s="66"/>
      <c r="CF187" s="68"/>
      <c r="CG187" s="68"/>
      <c r="CH187" s="66"/>
      <c r="CI187" s="66"/>
      <c r="CJ187" s="68"/>
      <c r="CK187" s="68"/>
      <c r="CL187" s="68"/>
      <c r="CM187" s="68"/>
      <c r="CN187" s="66"/>
      <c r="CO187" s="68"/>
      <c r="CP187" s="66"/>
      <c r="CQ187" s="68"/>
      <c r="CR187" s="68"/>
      <c r="CS187" s="68"/>
      <c r="CT187" s="68"/>
      <c r="CU187" s="68"/>
      <c r="CV187" s="68"/>
      <c r="CW187" s="68"/>
      <c r="CX187" s="68"/>
      <c r="CY187" s="68"/>
      <c r="CZ187" s="68"/>
      <c r="DA187" s="68"/>
      <c r="DB187" s="68"/>
      <c r="DC187" s="68"/>
      <c r="DD187" s="68"/>
      <c r="DE187" s="68"/>
      <c r="DF187" s="68"/>
      <c r="DG187" s="68"/>
      <c r="DH187" s="68"/>
      <c r="DI187" s="68"/>
      <c r="DJ187" s="68"/>
      <c r="DK187" s="68"/>
      <c r="DL187" s="68"/>
      <c r="DM187" s="68"/>
      <c r="DN187" s="68"/>
      <c r="DO187" s="68"/>
      <c r="DP187" s="68"/>
      <c r="DQ187" s="99"/>
      <c r="DR187" s="99"/>
      <c r="DS187" s="68"/>
      <c r="DT187" s="68"/>
      <c r="DU187" s="68"/>
      <c r="DV187" s="68"/>
      <c r="DW187" s="68"/>
      <c r="DX187" s="68"/>
      <c r="DY187" s="68"/>
      <c r="DZ187" s="68"/>
      <c r="EA187" s="68"/>
      <c r="EB187" s="68"/>
      <c r="EC187" s="68"/>
      <c r="ED187" s="68"/>
      <c r="EE187" s="68"/>
      <c r="EF187" s="68"/>
      <c r="EG187" s="68"/>
      <c r="EH187" s="68"/>
      <c r="EI187" s="68"/>
      <c r="EJ187" s="68"/>
      <c r="EK187" s="68"/>
      <c r="EL187" s="68"/>
      <c r="EM187" s="68"/>
      <c r="EN187" s="68"/>
      <c r="EO187" s="68"/>
      <c r="EP187" s="68"/>
      <c r="EQ187" s="68"/>
      <c r="ER187" s="3"/>
      <c r="ES187" s="3"/>
      <c r="EW187"/>
      <c r="EX187"/>
      <c r="EY187"/>
      <c r="FB187" s="1"/>
    </row>
    <row r="188" spans="3:158" ht="20.25" customHeight="1" x14ac:dyDescent="0.25">
      <c r="C188" s="1"/>
      <c r="D188" s="97"/>
      <c r="E188" s="97"/>
      <c r="F188" s="9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108"/>
      <c r="AO188" s="68"/>
      <c r="AP188" s="68"/>
      <c r="AQ188" s="68"/>
      <c r="AR188" s="68"/>
      <c r="AS188" s="68"/>
      <c r="AT188" s="66"/>
      <c r="AU188" s="68"/>
      <c r="AV188" s="68"/>
      <c r="AW188" s="68"/>
      <c r="AX188" s="66"/>
      <c r="AY188" s="68"/>
      <c r="AZ188" s="66"/>
      <c r="BA188" s="68"/>
      <c r="BB188" s="68"/>
      <c r="BC188" s="68"/>
      <c r="BD188" s="68"/>
      <c r="BE188" s="68"/>
      <c r="BF188" s="66"/>
      <c r="BG188" s="66"/>
      <c r="BH188" s="66"/>
      <c r="BI188" s="66"/>
      <c r="BJ188" s="66"/>
      <c r="BK188" s="66"/>
      <c r="BL188" s="66"/>
      <c r="BM188" s="66"/>
      <c r="BN188" s="66"/>
      <c r="BO188" s="66"/>
      <c r="BP188" s="66"/>
      <c r="BQ188" s="66"/>
      <c r="BR188" s="66"/>
      <c r="BS188" s="66"/>
      <c r="BT188" s="66"/>
      <c r="BU188" s="66"/>
      <c r="BV188" s="66"/>
      <c r="BW188" s="66"/>
      <c r="BX188" s="66"/>
      <c r="BY188" s="66"/>
      <c r="BZ188" s="66"/>
      <c r="CA188" s="66"/>
      <c r="CB188" s="66"/>
      <c r="CC188" s="66"/>
      <c r="CD188" s="66"/>
      <c r="CE188" s="66"/>
      <c r="CF188" s="68"/>
      <c r="CG188" s="68"/>
      <c r="CH188" s="66"/>
      <c r="CI188" s="66"/>
      <c r="CJ188" s="68"/>
      <c r="CK188" s="68"/>
      <c r="CL188" s="68"/>
      <c r="CM188" s="68"/>
      <c r="CN188" s="66"/>
      <c r="CO188" s="68"/>
      <c r="CP188" s="66"/>
      <c r="CQ188" s="68"/>
      <c r="CR188" s="68"/>
      <c r="CS188" s="68"/>
      <c r="CT188" s="68"/>
      <c r="CU188" s="68"/>
      <c r="CV188" s="68"/>
      <c r="CW188" s="68"/>
      <c r="CX188" s="68"/>
      <c r="CY188" s="68"/>
      <c r="CZ188" s="68"/>
      <c r="DA188" s="68"/>
      <c r="DB188" s="68"/>
      <c r="DC188" s="68"/>
      <c r="DD188" s="68"/>
      <c r="DE188" s="68"/>
      <c r="DF188" s="68"/>
      <c r="DG188" s="68"/>
      <c r="DH188" s="68"/>
      <c r="DI188" s="68"/>
      <c r="DJ188" s="68"/>
      <c r="DK188" s="68"/>
      <c r="DL188" s="68"/>
      <c r="DM188" s="68"/>
      <c r="DN188" s="68"/>
      <c r="DO188" s="68"/>
      <c r="DP188" s="68"/>
      <c r="DQ188" s="99"/>
      <c r="DR188" s="99"/>
      <c r="DS188" s="68"/>
      <c r="DT188" s="68"/>
      <c r="DU188" s="68"/>
      <c r="DV188" s="68"/>
      <c r="DW188" s="68"/>
      <c r="DX188" s="68"/>
      <c r="DY188" s="68"/>
      <c r="DZ188" s="68"/>
      <c r="EA188" s="68"/>
      <c r="EB188" s="68"/>
      <c r="EC188" s="68"/>
      <c r="ED188" s="68"/>
      <c r="EE188" s="68"/>
      <c r="EF188" s="68"/>
      <c r="EG188" s="68"/>
      <c r="EH188" s="68"/>
      <c r="EI188" s="68"/>
      <c r="EJ188" s="68"/>
      <c r="EK188" s="68"/>
      <c r="EL188" s="68"/>
      <c r="EM188" s="68"/>
      <c r="EN188" s="68"/>
      <c r="EO188" s="68"/>
      <c r="EP188" s="68"/>
      <c r="EQ188" s="68"/>
      <c r="ER188" s="3"/>
      <c r="ES188" s="3"/>
      <c r="EW188"/>
      <c r="EX188"/>
      <c r="EY188"/>
      <c r="FB188" s="1"/>
    </row>
    <row r="189" spans="3:158" ht="20.25" customHeight="1" x14ac:dyDescent="0.25">
      <c r="C189" s="1"/>
      <c r="D189" s="97"/>
      <c r="E189" s="97"/>
      <c r="F189" s="9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108"/>
      <c r="AO189" s="68"/>
      <c r="AP189" s="68"/>
      <c r="AQ189" s="68"/>
      <c r="AR189" s="68"/>
      <c r="AS189" s="68"/>
      <c r="AT189" s="66"/>
      <c r="AU189" s="68"/>
      <c r="AV189" s="68"/>
      <c r="AW189" s="68"/>
      <c r="AX189" s="66"/>
      <c r="AY189" s="68"/>
      <c r="AZ189" s="66"/>
      <c r="BA189" s="68"/>
      <c r="BB189" s="68"/>
      <c r="BC189" s="68"/>
      <c r="BD189" s="68"/>
      <c r="BE189" s="68"/>
      <c r="BF189" s="66"/>
      <c r="BG189" s="66"/>
      <c r="BH189" s="66"/>
      <c r="BI189" s="66"/>
      <c r="BJ189" s="66"/>
      <c r="BK189" s="66"/>
      <c r="BL189" s="66"/>
      <c r="BM189" s="66"/>
      <c r="BN189" s="66"/>
      <c r="BO189" s="66"/>
      <c r="BP189" s="66"/>
      <c r="BQ189" s="66"/>
      <c r="BR189" s="66"/>
      <c r="BS189" s="66"/>
      <c r="BT189" s="66"/>
      <c r="BU189" s="66"/>
      <c r="BV189" s="66"/>
      <c r="BW189" s="66"/>
      <c r="BX189" s="66"/>
      <c r="BY189" s="66"/>
      <c r="BZ189" s="66"/>
      <c r="CA189" s="66"/>
      <c r="CB189" s="66"/>
      <c r="CC189" s="66"/>
      <c r="CD189" s="66"/>
      <c r="CE189" s="66"/>
      <c r="CF189" s="68"/>
      <c r="CG189" s="68"/>
      <c r="CH189" s="66"/>
      <c r="CI189" s="66"/>
      <c r="CJ189" s="68"/>
      <c r="CK189" s="68"/>
      <c r="CL189" s="68"/>
      <c r="CM189" s="68"/>
      <c r="CN189" s="66"/>
      <c r="CO189" s="68"/>
      <c r="CP189" s="66"/>
      <c r="CQ189" s="68"/>
      <c r="CR189" s="68"/>
      <c r="CS189" s="68"/>
      <c r="CT189" s="68"/>
      <c r="CU189" s="68"/>
      <c r="CV189" s="68"/>
      <c r="CW189" s="68"/>
      <c r="CX189" s="68"/>
      <c r="CY189" s="68"/>
      <c r="CZ189" s="68"/>
      <c r="DA189" s="68"/>
      <c r="DB189" s="68"/>
      <c r="DC189" s="68"/>
      <c r="DD189" s="68"/>
      <c r="DE189" s="68"/>
      <c r="DF189" s="68"/>
      <c r="DG189" s="68"/>
      <c r="DH189" s="68"/>
      <c r="DI189" s="68"/>
      <c r="DJ189" s="68"/>
      <c r="DK189" s="68"/>
      <c r="DL189" s="68"/>
      <c r="DM189" s="68"/>
      <c r="DN189" s="68"/>
      <c r="DO189" s="68"/>
      <c r="DP189" s="68"/>
      <c r="DQ189" s="99"/>
      <c r="DR189" s="99"/>
      <c r="DS189" s="68"/>
      <c r="DT189" s="68"/>
      <c r="DU189" s="68"/>
      <c r="DV189" s="68"/>
      <c r="DW189" s="68"/>
      <c r="DX189" s="68"/>
      <c r="DY189" s="68"/>
      <c r="DZ189" s="68"/>
      <c r="EA189" s="68"/>
      <c r="EB189" s="68"/>
      <c r="EC189" s="68"/>
      <c r="ED189" s="68"/>
      <c r="EE189" s="68"/>
      <c r="EF189" s="68"/>
      <c r="EG189" s="68"/>
      <c r="EH189" s="68"/>
      <c r="EI189" s="68"/>
      <c r="EJ189" s="68"/>
      <c r="EK189" s="68"/>
      <c r="EL189" s="68"/>
      <c r="EM189" s="68"/>
      <c r="EN189" s="68"/>
      <c r="EO189" s="68"/>
      <c r="EP189" s="68"/>
      <c r="EQ189" s="68"/>
      <c r="ER189" s="3"/>
      <c r="ES189" s="3"/>
      <c r="EW189"/>
      <c r="EX189"/>
      <c r="EY189"/>
      <c r="FB189" s="1"/>
    </row>
    <row r="190" spans="3:158" ht="20.25" customHeight="1" x14ac:dyDescent="0.25">
      <c r="C190" s="1"/>
      <c r="D190" s="97"/>
      <c r="E190" s="97"/>
      <c r="F190" s="9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108"/>
      <c r="AO190" s="68"/>
      <c r="AP190" s="68"/>
      <c r="AQ190" s="68"/>
      <c r="AR190" s="68"/>
      <c r="AS190" s="68"/>
      <c r="AT190" s="66"/>
      <c r="AU190" s="68"/>
      <c r="AV190" s="68"/>
      <c r="AW190" s="68"/>
      <c r="AX190" s="66"/>
      <c r="AY190" s="68"/>
      <c r="AZ190" s="66"/>
      <c r="BA190" s="68"/>
      <c r="BB190" s="68"/>
      <c r="BC190" s="68"/>
      <c r="BD190" s="68"/>
      <c r="BE190" s="68"/>
      <c r="BF190" s="66"/>
      <c r="BG190" s="66"/>
      <c r="BH190" s="66"/>
      <c r="BI190" s="66"/>
      <c r="BJ190" s="66"/>
      <c r="BK190" s="66"/>
      <c r="BL190" s="66"/>
      <c r="BM190" s="66"/>
      <c r="BN190" s="66"/>
      <c r="BO190" s="66"/>
      <c r="BP190" s="66"/>
      <c r="BQ190" s="66"/>
      <c r="BR190" s="66"/>
      <c r="BS190" s="66"/>
      <c r="BT190" s="66"/>
      <c r="BU190" s="66"/>
      <c r="BV190" s="66"/>
      <c r="BW190" s="66"/>
      <c r="BX190" s="66"/>
      <c r="BY190" s="66"/>
      <c r="BZ190" s="66"/>
      <c r="CA190" s="66"/>
      <c r="CB190" s="66"/>
      <c r="CC190" s="66"/>
      <c r="CD190" s="66"/>
      <c r="CE190" s="66"/>
      <c r="CF190" s="68"/>
      <c r="CG190" s="68"/>
      <c r="CH190" s="66"/>
      <c r="CI190" s="66"/>
      <c r="CJ190" s="68"/>
      <c r="CK190" s="68"/>
      <c r="CL190" s="68"/>
      <c r="CM190" s="68"/>
      <c r="CN190" s="66"/>
      <c r="CO190" s="68"/>
      <c r="CP190" s="66"/>
      <c r="CQ190" s="68"/>
      <c r="CR190" s="68"/>
      <c r="CS190" s="68"/>
      <c r="CT190" s="68"/>
      <c r="CU190" s="68"/>
      <c r="CV190" s="68"/>
      <c r="CW190" s="68"/>
      <c r="CX190" s="68"/>
      <c r="CY190" s="68"/>
      <c r="CZ190" s="68"/>
      <c r="DA190" s="68"/>
      <c r="DB190" s="68"/>
      <c r="DC190" s="68"/>
      <c r="DD190" s="68"/>
      <c r="DE190" s="68"/>
      <c r="DF190" s="68"/>
      <c r="DG190" s="68"/>
      <c r="DH190" s="68"/>
      <c r="DI190" s="68"/>
      <c r="DJ190" s="68"/>
      <c r="DK190" s="68"/>
      <c r="DL190" s="68"/>
      <c r="DM190" s="68"/>
      <c r="DN190" s="68"/>
      <c r="DO190" s="68"/>
      <c r="DP190" s="68"/>
      <c r="DQ190" s="99"/>
      <c r="DR190" s="99"/>
      <c r="DS190" s="68"/>
      <c r="DT190" s="68"/>
      <c r="DU190" s="68"/>
      <c r="DV190" s="68"/>
      <c r="DW190" s="68"/>
      <c r="DX190" s="68"/>
      <c r="DY190" s="68"/>
      <c r="DZ190" s="68"/>
      <c r="EA190" s="68"/>
      <c r="EB190" s="68"/>
      <c r="EC190" s="68"/>
      <c r="ED190" s="68"/>
      <c r="EE190" s="68"/>
      <c r="EF190" s="68"/>
      <c r="EG190" s="68"/>
      <c r="EH190" s="68"/>
      <c r="EI190" s="68"/>
      <c r="EJ190" s="68"/>
      <c r="EK190" s="68"/>
      <c r="EL190" s="68"/>
      <c r="EM190" s="68"/>
      <c r="EN190" s="68"/>
      <c r="EO190" s="68"/>
      <c r="EP190" s="68"/>
      <c r="EQ190" s="68"/>
      <c r="ER190" s="3"/>
      <c r="ES190" s="3"/>
      <c r="EW190"/>
      <c r="EX190"/>
      <c r="EY190"/>
      <c r="FB190" s="1"/>
    </row>
    <row r="191" spans="3:158" ht="20.25" customHeight="1" x14ac:dyDescent="0.25">
      <c r="C191" s="1"/>
      <c r="D191" s="97"/>
      <c r="E191" s="97"/>
      <c r="F191" s="9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108"/>
      <c r="AO191" s="68"/>
      <c r="AP191" s="68"/>
      <c r="AQ191" s="68"/>
      <c r="AR191" s="68"/>
      <c r="AS191" s="68"/>
      <c r="AT191" s="66"/>
      <c r="AU191" s="68"/>
      <c r="AV191" s="68"/>
      <c r="AW191" s="68"/>
      <c r="AX191" s="66"/>
      <c r="AY191" s="68"/>
      <c r="AZ191" s="66"/>
      <c r="BA191" s="68"/>
      <c r="BB191" s="68"/>
      <c r="BC191" s="68"/>
      <c r="BD191" s="68"/>
      <c r="BE191" s="68"/>
      <c r="BF191" s="66"/>
      <c r="BG191" s="66"/>
      <c r="BH191" s="66"/>
      <c r="BI191" s="66"/>
      <c r="BJ191" s="66"/>
      <c r="BK191" s="66"/>
      <c r="BL191" s="66"/>
      <c r="BM191" s="66"/>
      <c r="BN191" s="66"/>
      <c r="BO191" s="66"/>
      <c r="BP191" s="66"/>
      <c r="BQ191" s="66"/>
      <c r="BR191" s="66"/>
      <c r="BS191" s="66"/>
      <c r="BT191" s="66"/>
      <c r="BU191" s="66"/>
      <c r="BV191" s="66"/>
      <c r="BW191" s="66"/>
      <c r="BX191" s="66"/>
      <c r="BY191" s="66"/>
      <c r="BZ191" s="66"/>
      <c r="CA191" s="66"/>
      <c r="CB191" s="66"/>
      <c r="CC191" s="66"/>
      <c r="CD191" s="66"/>
      <c r="CE191" s="66"/>
      <c r="CF191" s="68"/>
      <c r="CG191" s="68"/>
      <c r="CH191" s="66"/>
      <c r="CI191" s="66"/>
      <c r="CJ191" s="68"/>
      <c r="CK191" s="68"/>
      <c r="CL191" s="68"/>
      <c r="CM191" s="68"/>
      <c r="CN191" s="66"/>
      <c r="CO191" s="68"/>
      <c r="CP191" s="66"/>
      <c r="CQ191" s="68"/>
      <c r="CR191" s="68"/>
      <c r="CS191" s="68"/>
      <c r="CT191" s="68"/>
      <c r="CU191" s="68"/>
      <c r="CV191" s="68"/>
      <c r="CW191" s="68"/>
      <c r="CX191" s="68"/>
      <c r="CY191" s="68"/>
      <c r="CZ191" s="68"/>
      <c r="DA191" s="68"/>
      <c r="DB191" s="68"/>
      <c r="DC191" s="68"/>
      <c r="DD191" s="68"/>
      <c r="DE191" s="68"/>
      <c r="DF191" s="68"/>
      <c r="DG191" s="68"/>
      <c r="DH191" s="68"/>
      <c r="DI191" s="68"/>
      <c r="DJ191" s="68"/>
      <c r="DK191" s="68"/>
      <c r="DL191" s="68"/>
      <c r="DM191" s="68"/>
      <c r="DN191" s="68"/>
      <c r="DO191" s="68"/>
      <c r="DP191" s="68"/>
      <c r="DQ191" s="99"/>
      <c r="DR191" s="99"/>
      <c r="DS191" s="68"/>
      <c r="DT191" s="68"/>
      <c r="DU191" s="68"/>
      <c r="DV191" s="68"/>
      <c r="DW191" s="68"/>
      <c r="DX191" s="68"/>
      <c r="DY191" s="68"/>
      <c r="DZ191" s="68"/>
      <c r="EA191" s="68"/>
      <c r="EB191" s="68"/>
      <c r="EC191" s="68"/>
      <c r="ED191" s="68"/>
      <c r="EE191" s="68"/>
      <c r="EF191" s="68"/>
      <c r="EG191" s="68"/>
      <c r="EH191" s="68"/>
      <c r="EI191" s="68"/>
      <c r="EJ191" s="68"/>
      <c r="EK191" s="68"/>
      <c r="EL191" s="68"/>
      <c r="EM191" s="68"/>
      <c r="EN191" s="68"/>
      <c r="EO191" s="68"/>
      <c r="EP191" s="68"/>
      <c r="EQ191" s="68"/>
      <c r="ER191" s="3"/>
      <c r="ES191" s="3"/>
      <c r="EW191"/>
      <c r="EX191"/>
      <c r="EY191"/>
      <c r="FB191" s="1"/>
    </row>
    <row r="192" spans="3:158" ht="20.25" customHeight="1" x14ac:dyDescent="0.25">
      <c r="C192" s="1"/>
      <c r="D192" s="97"/>
      <c r="E192" s="97"/>
      <c r="F192" s="9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108"/>
      <c r="AO192" s="68"/>
      <c r="AP192" s="68"/>
      <c r="AQ192" s="68"/>
      <c r="AR192" s="68"/>
      <c r="AS192" s="68"/>
      <c r="AT192" s="66"/>
      <c r="AU192" s="68"/>
      <c r="AV192" s="68"/>
      <c r="AW192" s="68"/>
      <c r="AX192" s="66"/>
      <c r="AY192" s="68"/>
      <c r="AZ192" s="66"/>
      <c r="BA192" s="68"/>
      <c r="BB192" s="68"/>
      <c r="BC192" s="68"/>
      <c r="BD192" s="68"/>
      <c r="BE192" s="68"/>
      <c r="BF192" s="66"/>
      <c r="BG192" s="66"/>
      <c r="BH192" s="66"/>
      <c r="BI192" s="66"/>
      <c r="BJ192" s="66"/>
      <c r="BK192" s="66"/>
      <c r="BL192" s="66"/>
      <c r="BM192" s="66"/>
      <c r="BN192" s="66"/>
      <c r="BO192" s="66"/>
      <c r="BP192" s="66"/>
      <c r="BQ192" s="66"/>
      <c r="BR192" s="66"/>
      <c r="BS192" s="66"/>
      <c r="BT192" s="66"/>
      <c r="BU192" s="66"/>
      <c r="BV192" s="66"/>
      <c r="BW192" s="66"/>
      <c r="BX192" s="66"/>
      <c r="BY192" s="66"/>
      <c r="BZ192" s="66"/>
      <c r="CA192" s="66"/>
      <c r="CB192" s="66"/>
      <c r="CC192" s="66"/>
      <c r="CD192" s="66"/>
      <c r="CE192" s="66"/>
      <c r="CF192" s="68"/>
      <c r="CG192" s="68"/>
      <c r="CH192" s="66"/>
      <c r="CI192" s="66"/>
      <c r="CJ192" s="68"/>
      <c r="CK192" s="68"/>
      <c r="CL192" s="68"/>
      <c r="CM192" s="68"/>
      <c r="CN192" s="66"/>
      <c r="CO192" s="68"/>
      <c r="CP192" s="66"/>
      <c r="CQ192" s="68"/>
      <c r="CR192" s="68"/>
      <c r="CS192" s="68"/>
      <c r="CT192" s="68"/>
      <c r="CU192" s="68"/>
      <c r="CV192" s="68"/>
      <c r="CW192" s="68"/>
      <c r="CX192" s="68"/>
      <c r="CY192" s="68"/>
      <c r="CZ192" s="68"/>
      <c r="DA192" s="68"/>
      <c r="DB192" s="68"/>
      <c r="DC192" s="68"/>
      <c r="DD192" s="68"/>
      <c r="DE192" s="68"/>
      <c r="DF192" s="68"/>
      <c r="DG192" s="68"/>
      <c r="DH192" s="68"/>
      <c r="DI192" s="68"/>
      <c r="DJ192" s="68"/>
      <c r="DK192" s="68"/>
      <c r="DL192" s="68"/>
      <c r="DM192" s="68"/>
      <c r="DN192" s="68"/>
      <c r="DO192" s="68"/>
      <c r="DP192" s="68"/>
      <c r="DQ192" s="99"/>
      <c r="DR192" s="99"/>
      <c r="DS192" s="68"/>
      <c r="DT192" s="68"/>
      <c r="DU192" s="68"/>
      <c r="DV192" s="68"/>
      <c r="DW192" s="68"/>
      <c r="DX192" s="68"/>
      <c r="DY192" s="68"/>
      <c r="DZ192" s="68"/>
      <c r="EA192" s="68"/>
      <c r="EB192" s="68"/>
      <c r="EC192" s="68"/>
      <c r="ED192" s="68"/>
      <c r="EE192" s="68"/>
      <c r="EF192" s="68"/>
      <c r="EG192" s="68"/>
      <c r="EH192" s="68"/>
      <c r="EI192" s="68"/>
      <c r="EJ192" s="68"/>
      <c r="EK192" s="68"/>
      <c r="EL192" s="68"/>
      <c r="EM192" s="68"/>
      <c r="EN192" s="68"/>
      <c r="EO192" s="68"/>
      <c r="EP192" s="68"/>
      <c r="EQ192" s="68"/>
      <c r="ER192" s="3"/>
      <c r="ES192" s="3"/>
      <c r="EW192"/>
      <c r="EX192"/>
      <c r="EY192"/>
      <c r="FB192" s="1"/>
    </row>
    <row r="193" spans="3:158" ht="20.25" customHeight="1" x14ac:dyDescent="0.25">
      <c r="C193" s="1"/>
      <c r="D193" s="97"/>
      <c r="E193" s="97"/>
      <c r="F193" s="9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108"/>
      <c r="AO193" s="68"/>
      <c r="AP193" s="68"/>
      <c r="AQ193" s="68"/>
      <c r="AR193" s="68"/>
      <c r="AS193" s="68"/>
      <c r="AT193" s="66"/>
      <c r="AU193" s="68"/>
      <c r="AV193" s="68"/>
      <c r="AW193" s="68"/>
      <c r="AX193" s="66"/>
      <c r="AY193" s="68"/>
      <c r="AZ193" s="66"/>
      <c r="BA193" s="68"/>
      <c r="BB193" s="68"/>
      <c r="BC193" s="68"/>
      <c r="BD193" s="68"/>
      <c r="BE193" s="68"/>
      <c r="BF193" s="66"/>
      <c r="BG193" s="66"/>
      <c r="BH193" s="66"/>
      <c r="BI193" s="66"/>
      <c r="BJ193" s="66"/>
      <c r="BK193" s="66"/>
      <c r="BL193" s="66"/>
      <c r="BM193" s="66"/>
      <c r="BN193" s="66"/>
      <c r="BO193" s="66"/>
      <c r="BP193" s="66"/>
      <c r="BQ193" s="66"/>
      <c r="BR193" s="66"/>
      <c r="BS193" s="66"/>
      <c r="BT193" s="66"/>
      <c r="BU193" s="66"/>
      <c r="BV193" s="66"/>
      <c r="BW193" s="66"/>
      <c r="BX193" s="66"/>
      <c r="BY193" s="66"/>
      <c r="BZ193" s="66"/>
      <c r="CA193" s="66"/>
      <c r="CB193" s="66"/>
      <c r="CC193" s="66"/>
      <c r="CD193" s="66"/>
      <c r="CE193" s="66"/>
      <c r="CF193" s="68"/>
      <c r="CG193" s="68"/>
      <c r="CH193" s="66"/>
      <c r="CI193" s="66"/>
      <c r="CJ193" s="68"/>
      <c r="CK193" s="68"/>
      <c r="CL193" s="68"/>
      <c r="CM193" s="68"/>
      <c r="CN193" s="66"/>
      <c r="CO193" s="68"/>
      <c r="CP193" s="66"/>
      <c r="CQ193" s="68"/>
      <c r="CR193" s="68"/>
      <c r="CS193" s="68"/>
      <c r="CT193" s="68"/>
      <c r="CU193" s="68"/>
      <c r="CV193" s="68"/>
      <c r="CW193" s="68"/>
      <c r="CX193" s="68"/>
      <c r="CY193" s="68"/>
      <c r="CZ193" s="68"/>
      <c r="DA193" s="68"/>
      <c r="DB193" s="68"/>
      <c r="DC193" s="68"/>
      <c r="DD193" s="68"/>
      <c r="DE193" s="68"/>
      <c r="DF193" s="68"/>
      <c r="DG193" s="68"/>
      <c r="DH193" s="68"/>
      <c r="DI193" s="68"/>
      <c r="DJ193" s="68"/>
      <c r="DK193" s="68"/>
      <c r="DL193" s="68"/>
      <c r="DM193" s="68"/>
      <c r="DN193" s="68"/>
      <c r="DO193" s="68"/>
      <c r="DP193" s="68"/>
      <c r="DQ193" s="99"/>
      <c r="DR193" s="99"/>
      <c r="DS193" s="68"/>
      <c r="DT193" s="68"/>
      <c r="DU193" s="68"/>
      <c r="DV193" s="68"/>
      <c r="DW193" s="68"/>
      <c r="DX193" s="68"/>
      <c r="DY193" s="68"/>
      <c r="DZ193" s="68"/>
      <c r="EA193" s="68"/>
      <c r="EB193" s="68"/>
      <c r="EC193" s="68"/>
      <c r="ED193" s="68"/>
      <c r="EE193" s="68"/>
      <c r="EF193" s="68"/>
      <c r="EG193" s="68"/>
      <c r="EH193" s="68"/>
      <c r="EI193" s="68"/>
      <c r="EJ193" s="68"/>
      <c r="EK193" s="68"/>
      <c r="EL193" s="68"/>
      <c r="EM193" s="68"/>
      <c r="EN193" s="68"/>
      <c r="EO193" s="68"/>
      <c r="EP193" s="68"/>
      <c r="EQ193" s="68"/>
      <c r="ER193" s="3"/>
      <c r="ES193" s="3"/>
      <c r="EW193"/>
      <c r="EX193"/>
      <c r="EY193"/>
      <c r="FB193" s="1"/>
    </row>
    <row r="194" spans="3:158" ht="20.25" customHeight="1" x14ac:dyDescent="0.25">
      <c r="C194" s="1"/>
      <c r="D194" s="97"/>
      <c r="E194" s="97"/>
      <c r="F194" s="9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108"/>
      <c r="AO194" s="68"/>
      <c r="AP194" s="68"/>
      <c r="AQ194" s="68"/>
      <c r="AR194" s="68"/>
      <c r="AS194" s="68"/>
      <c r="AT194" s="66"/>
      <c r="AU194" s="68"/>
      <c r="AV194" s="68"/>
      <c r="AW194" s="68"/>
      <c r="AX194" s="66"/>
      <c r="AY194" s="68"/>
      <c r="AZ194" s="66"/>
      <c r="BA194" s="68"/>
      <c r="BB194" s="68"/>
      <c r="BC194" s="68"/>
      <c r="BD194" s="68"/>
      <c r="BE194" s="68"/>
      <c r="BF194" s="66"/>
      <c r="BG194" s="66"/>
      <c r="BH194" s="66"/>
      <c r="BI194" s="66"/>
      <c r="BJ194" s="66"/>
      <c r="BK194" s="66"/>
      <c r="BL194" s="66"/>
      <c r="BM194" s="66"/>
      <c r="BN194" s="66"/>
      <c r="BO194" s="66"/>
      <c r="BP194" s="66"/>
      <c r="BQ194" s="66"/>
      <c r="BR194" s="66"/>
      <c r="BS194" s="66"/>
      <c r="BT194" s="66"/>
      <c r="BU194" s="66"/>
      <c r="BV194" s="66"/>
      <c r="BW194" s="66"/>
      <c r="BX194" s="66"/>
      <c r="BY194" s="66"/>
      <c r="BZ194" s="66"/>
      <c r="CA194" s="66"/>
      <c r="CB194" s="66"/>
      <c r="CC194" s="66"/>
      <c r="CD194" s="66"/>
      <c r="CE194" s="66"/>
      <c r="CF194" s="68"/>
      <c r="CG194" s="68"/>
      <c r="CH194" s="66"/>
      <c r="CI194" s="66"/>
      <c r="CJ194" s="68"/>
      <c r="CK194" s="68"/>
      <c r="CL194" s="68"/>
      <c r="CM194" s="68"/>
      <c r="CN194" s="66"/>
      <c r="CO194" s="68"/>
      <c r="CP194" s="66"/>
      <c r="CQ194" s="68"/>
      <c r="CR194" s="68"/>
      <c r="CS194" s="68"/>
      <c r="CT194" s="68"/>
      <c r="CU194" s="68"/>
      <c r="CV194" s="68"/>
      <c r="CW194" s="68"/>
      <c r="CX194" s="68"/>
      <c r="CY194" s="68"/>
      <c r="CZ194" s="68"/>
      <c r="DA194" s="68"/>
      <c r="DB194" s="68"/>
      <c r="DC194" s="68"/>
      <c r="DD194" s="68"/>
      <c r="DE194" s="68"/>
      <c r="DF194" s="68"/>
      <c r="DG194" s="68"/>
      <c r="DH194" s="68"/>
      <c r="DI194" s="68"/>
      <c r="DJ194" s="68"/>
      <c r="DK194" s="68"/>
      <c r="DL194" s="68"/>
      <c r="DM194" s="68"/>
      <c r="DN194" s="68"/>
      <c r="DO194" s="68"/>
      <c r="DP194" s="68"/>
      <c r="DQ194" s="99"/>
      <c r="DR194" s="99"/>
      <c r="DS194" s="68"/>
      <c r="DT194" s="68"/>
      <c r="DU194" s="68"/>
      <c r="DV194" s="68"/>
      <c r="DW194" s="68"/>
      <c r="DX194" s="68"/>
      <c r="DY194" s="68"/>
      <c r="DZ194" s="68"/>
      <c r="EA194" s="68"/>
      <c r="EB194" s="68"/>
      <c r="EC194" s="68"/>
      <c r="ED194" s="68"/>
      <c r="EE194" s="68"/>
      <c r="EF194" s="68"/>
      <c r="EG194" s="68"/>
      <c r="EH194" s="68"/>
      <c r="EI194" s="68"/>
      <c r="EJ194" s="68"/>
      <c r="EK194" s="68"/>
      <c r="EL194" s="68"/>
      <c r="EM194" s="68"/>
      <c r="EN194" s="68"/>
      <c r="EO194" s="68"/>
      <c r="EP194" s="68"/>
      <c r="EQ194" s="68"/>
      <c r="ER194" s="3"/>
      <c r="ES194" s="3"/>
      <c r="EW194"/>
      <c r="EX194"/>
      <c r="EY194"/>
      <c r="FB194" s="1"/>
    </row>
    <row r="195" spans="3:158" ht="20.25" customHeight="1" x14ac:dyDescent="0.25">
      <c r="C195" s="1"/>
      <c r="D195" s="97"/>
      <c r="E195" s="97"/>
      <c r="F195" s="9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108"/>
      <c r="AO195" s="68"/>
      <c r="AP195" s="68"/>
      <c r="AQ195" s="68"/>
      <c r="AR195" s="68"/>
      <c r="AS195" s="68"/>
      <c r="AT195" s="66"/>
      <c r="AU195" s="68"/>
      <c r="AV195" s="68"/>
      <c r="AW195" s="68"/>
      <c r="AX195" s="66"/>
      <c r="AY195" s="68"/>
      <c r="AZ195" s="66"/>
      <c r="BA195" s="68"/>
      <c r="BB195" s="68"/>
      <c r="BC195" s="68"/>
      <c r="BD195" s="68"/>
      <c r="BE195" s="68"/>
      <c r="BF195" s="66"/>
      <c r="BG195" s="66"/>
      <c r="BH195" s="66"/>
      <c r="BI195" s="66"/>
      <c r="BJ195" s="66"/>
      <c r="BK195" s="66"/>
      <c r="BL195" s="66"/>
      <c r="BM195" s="66"/>
      <c r="BN195" s="66"/>
      <c r="BO195" s="66"/>
      <c r="BP195" s="66"/>
      <c r="BQ195" s="66"/>
      <c r="BR195" s="66"/>
      <c r="BS195" s="66"/>
      <c r="BT195" s="66"/>
      <c r="BU195" s="66"/>
      <c r="BV195" s="66"/>
      <c r="BW195" s="66"/>
      <c r="BX195" s="66"/>
      <c r="BY195" s="66"/>
      <c r="BZ195" s="66"/>
      <c r="CA195" s="66"/>
      <c r="CB195" s="66"/>
      <c r="CC195" s="66"/>
      <c r="CD195" s="66"/>
      <c r="CE195" s="66"/>
      <c r="CF195" s="68"/>
      <c r="CG195" s="68"/>
      <c r="CH195" s="66"/>
      <c r="CI195" s="66"/>
      <c r="CJ195" s="68"/>
      <c r="CK195" s="68"/>
      <c r="CL195" s="68"/>
      <c r="CM195" s="68"/>
      <c r="CN195" s="66"/>
      <c r="CO195" s="68"/>
      <c r="CP195" s="66"/>
      <c r="CQ195" s="68"/>
      <c r="CR195" s="68"/>
      <c r="CS195" s="68"/>
      <c r="CT195" s="68"/>
      <c r="CU195" s="68"/>
      <c r="CV195" s="68"/>
      <c r="CW195" s="68"/>
      <c r="CX195" s="68"/>
      <c r="CY195" s="68"/>
      <c r="CZ195" s="68"/>
      <c r="DA195" s="68"/>
      <c r="DB195" s="68"/>
      <c r="DC195" s="68"/>
      <c r="DD195" s="68"/>
      <c r="DE195" s="68"/>
      <c r="DF195" s="68"/>
      <c r="DG195" s="68"/>
      <c r="DH195" s="68"/>
      <c r="DI195" s="68"/>
      <c r="DJ195" s="68"/>
      <c r="DK195" s="68"/>
      <c r="DL195" s="68"/>
      <c r="DM195" s="68"/>
      <c r="DN195" s="68"/>
      <c r="DO195" s="68"/>
      <c r="DP195" s="68"/>
      <c r="DQ195" s="99"/>
      <c r="DR195" s="99"/>
      <c r="DS195" s="68"/>
      <c r="DT195" s="68"/>
      <c r="DU195" s="68"/>
      <c r="DV195" s="68"/>
      <c r="DW195" s="68"/>
      <c r="DX195" s="68"/>
      <c r="DY195" s="68"/>
      <c r="DZ195" s="68"/>
      <c r="EA195" s="68"/>
      <c r="EB195" s="68"/>
      <c r="EC195" s="68"/>
      <c r="ED195" s="68"/>
      <c r="EE195" s="68"/>
      <c r="EF195" s="68"/>
      <c r="EG195" s="68"/>
      <c r="EH195" s="68"/>
      <c r="EI195" s="68"/>
      <c r="EJ195" s="68"/>
      <c r="EK195" s="68"/>
      <c r="EL195" s="68"/>
      <c r="EM195" s="68"/>
      <c r="EN195" s="68"/>
      <c r="EO195" s="68"/>
      <c r="EP195" s="68"/>
      <c r="EQ195" s="68"/>
      <c r="ER195" s="3"/>
      <c r="ES195" s="3"/>
      <c r="EW195"/>
      <c r="EX195"/>
      <c r="EY195"/>
      <c r="FB195" s="1"/>
    </row>
    <row r="196" spans="3:158" ht="20.25" customHeight="1" x14ac:dyDescent="0.25">
      <c r="C196" s="1"/>
      <c r="D196" s="97"/>
      <c r="E196" s="97"/>
      <c r="F196" s="9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108"/>
      <c r="AO196" s="68"/>
      <c r="AP196" s="68"/>
      <c r="AQ196" s="68"/>
      <c r="AR196" s="68"/>
      <c r="AS196" s="68"/>
      <c r="AT196" s="66"/>
      <c r="AU196" s="68"/>
      <c r="AV196" s="68"/>
      <c r="AW196" s="68"/>
      <c r="AX196" s="66"/>
      <c r="AY196" s="68"/>
      <c r="AZ196" s="66"/>
      <c r="BA196" s="68"/>
      <c r="BB196" s="68"/>
      <c r="BC196" s="68"/>
      <c r="BD196" s="68"/>
      <c r="BE196" s="68"/>
      <c r="BF196" s="66"/>
      <c r="BG196" s="66"/>
      <c r="BH196" s="66"/>
      <c r="BI196" s="66"/>
      <c r="BJ196" s="66"/>
      <c r="BK196" s="66"/>
      <c r="BL196" s="66"/>
      <c r="BM196" s="66"/>
      <c r="BN196" s="66"/>
      <c r="BO196" s="66"/>
      <c r="BP196" s="66"/>
      <c r="BQ196" s="66"/>
      <c r="BR196" s="66"/>
      <c r="BS196" s="66"/>
      <c r="BT196" s="66"/>
      <c r="BU196" s="66"/>
      <c r="BV196" s="66"/>
      <c r="BW196" s="66"/>
      <c r="BX196" s="66"/>
      <c r="BY196" s="66"/>
      <c r="BZ196" s="66"/>
      <c r="CA196" s="66"/>
      <c r="CB196" s="66"/>
      <c r="CC196" s="66"/>
      <c r="CD196" s="66"/>
      <c r="CE196" s="66"/>
      <c r="CF196" s="68"/>
      <c r="CG196" s="68"/>
      <c r="CH196" s="66"/>
      <c r="CI196" s="66"/>
      <c r="CJ196" s="68"/>
      <c r="CK196" s="68"/>
      <c r="CL196" s="68"/>
      <c r="CM196" s="68"/>
      <c r="CN196" s="66"/>
      <c r="CO196" s="68"/>
      <c r="CP196" s="66"/>
      <c r="CQ196" s="68"/>
      <c r="CR196" s="68"/>
      <c r="CS196" s="68"/>
      <c r="CT196" s="68"/>
      <c r="CU196" s="68"/>
      <c r="CV196" s="68"/>
      <c r="CW196" s="68"/>
      <c r="CX196" s="68"/>
      <c r="CY196" s="68"/>
      <c r="CZ196" s="68"/>
      <c r="DA196" s="68"/>
      <c r="DB196" s="68"/>
      <c r="DC196" s="68"/>
      <c r="DD196" s="68"/>
      <c r="DE196" s="68"/>
      <c r="DF196" s="68"/>
      <c r="DG196" s="68"/>
      <c r="DH196" s="68"/>
      <c r="DI196" s="68"/>
      <c r="DJ196" s="68"/>
      <c r="DK196" s="68"/>
      <c r="DL196" s="68"/>
      <c r="DM196" s="68"/>
      <c r="DN196" s="68"/>
      <c r="DO196" s="68"/>
      <c r="DP196" s="68"/>
      <c r="DQ196" s="99"/>
      <c r="DR196" s="99"/>
      <c r="DS196" s="68"/>
      <c r="DT196" s="68"/>
      <c r="DU196" s="68"/>
      <c r="DV196" s="68"/>
      <c r="DW196" s="68"/>
      <c r="DX196" s="68"/>
      <c r="DY196" s="68"/>
      <c r="DZ196" s="68"/>
      <c r="EA196" s="68"/>
      <c r="EB196" s="68"/>
      <c r="EC196" s="68"/>
      <c r="ED196" s="68"/>
      <c r="EE196" s="68"/>
      <c r="EF196" s="68"/>
      <c r="EG196" s="68"/>
      <c r="EH196" s="68"/>
      <c r="EI196" s="68"/>
      <c r="EJ196" s="68"/>
      <c r="EK196" s="68"/>
      <c r="EL196" s="68"/>
      <c r="EM196" s="68"/>
      <c r="EN196" s="68"/>
      <c r="EO196" s="68"/>
      <c r="EP196" s="68"/>
      <c r="EQ196" s="68"/>
      <c r="ER196" s="3"/>
      <c r="ES196" s="3"/>
      <c r="EW196"/>
      <c r="EX196"/>
      <c r="EY196"/>
      <c r="FB196" s="1"/>
    </row>
    <row r="197" spans="3:158" ht="20.25" customHeight="1" x14ac:dyDescent="0.25">
      <c r="C197" s="1"/>
      <c r="D197" s="97"/>
      <c r="E197" s="97"/>
      <c r="F197" s="9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108"/>
      <c r="AO197" s="68"/>
      <c r="AP197" s="68"/>
      <c r="AQ197" s="68"/>
      <c r="AR197" s="68"/>
      <c r="AS197" s="68"/>
      <c r="AT197" s="66"/>
      <c r="AU197" s="68"/>
      <c r="AV197" s="68"/>
      <c r="AW197" s="68"/>
      <c r="AX197" s="66"/>
      <c r="AY197" s="68"/>
      <c r="AZ197" s="66"/>
      <c r="BA197" s="68"/>
      <c r="BB197" s="68"/>
      <c r="BC197" s="68"/>
      <c r="BD197" s="68"/>
      <c r="BE197" s="68"/>
      <c r="BF197" s="66"/>
      <c r="BG197" s="66"/>
      <c r="BH197" s="66"/>
      <c r="BI197" s="66"/>
      <c r="BJ197" s="66"/>
      <c r="BK197" s="66"/>
      <c r="BL197" s="66"/>
      <c r="BM197" s="66"/>
      <c r="BN197" s="66"/>
      <c r="BO197" s="66"/>
      <c r="BP197" s="66"/>
      <c r="BQ197" s="66"/>
      <c r="BR197" s="66"/>
      <c r="BS197" s="66"/>
      <c r="BT197" s="66"/>
      <c r="BU197" s="66"/>
      <c r="BV197" s="66"/>
      <c r="BW197" s="66"/>
      <c r="BX197" s="66"/>
      <c r="BY197" s="66"/>
      <c r="BZ197" s="66"/>
      <c r="CA197" s="66"/>
      <c r="CB197" s="66"/>
      <c r="CC197" s="66"/>
      <c r="CD197" s="66"/>
      <c r="CE197" s="66"/>
      <c r="CF197" s="68"/>
      <c r="CG197" s="68"/>
      <c r="CH197" s="66"/>
      <c r="CI197" s="66"/>
      <c r="CJ197" s="68"/>
      <c r="CK197" s="68"/>
      <c r="CL197" s="68"/>
      <c r="CM197" s="68"/>
      <c r="CN197" s="66"/>
      <c r="CO197" s="68"/>
      <c r="CP197" s="66"/>
      <c r="CQ197" s="68"/>
      <c r="CR197" s="68"/>
      <c r="CS197" s="68"/>
      <c r="CT197" s="68"/>
      <c r="CU197" s="68"/>
      <c r="CV197" s="68"/>
      <c r="CW197" s="68"/>
      <c r="CX197" s="68"/>
      <c r="CY197" s="68"/>
      <c r="CZ197" s="68"/>
      <c r="DA197" s="68"/>
      <c r="DB197" s="68"/>
      <c r="DC197" s="68"/>
      <c r="DD197" s="68"/>
      <c r="DE197" s="68"/>
      <c r="DF197" s="68"/>
      <c r="DG197" s="68"/>
      <c r="DH197" s="68"/>
      <c r="DI197" s="68"/>
      <c r="DJ197" s="68"/>
      <c r="DK197" s="68"/>
      <c r="DL197" s="68"/>
      <c r="DM197" s="68"/>
      <c r="DN197" s="68"/>
      <c r="DO197" s="68"/>
      <c r="DP197" s="68"/>
      <c r="DQ197" s="99"/>
      <c r="DR197" s="99"/>
      <c r="DS197" s="68"/>
      <c r="DT197" s="68"/>
      <c r="DU197" s="68"/>
      <c r="DV197" s="68"/>
      <c r="DW197" s="68"/>
      <c r="DX197" s="68"/>
      <c r="DY197" s="68"/>
      <c r="DZ197" s="68"/>
      <c r="EA197" s="68"/>
      <c r="EB197" s="68"/>
      <c r="EC197" s="68"/>
      <c r="ED197" s="68"/>
      <c r="EE197" s="68"/>
      <c r="EF197" s="68"/>
      <c r="EG197" s="68"/>
      <c r="EH197" s="68"/>
      <c r="EI197" s="68"/>
      <c r="EJ197" s="68"/>
      <c r="EK197" s="68"/>
      <c r="EL197" s="68"/>
      <c r="EM197" s="68"/>
      <c r="EN197" s="68"/>
      <c r="EO197" s="68"/>
      <c r="EP197" s="68"/>
      <c r="EQ197" s="68"/>
      <c r="ER197" s="3"/>
      <c r="ES197" s="3"/>
      <c r="EW197"/>
      <c r="EX197"/>
      <c r="EY197"/>
      <c r="FB197" s="1"/>
    </row>
    <row r="198" spans="3:158" ht="20.25" customHeight="1" x14ac:dyDescent="0.25">
      <c r="C198" s="1"/>
      <c r="D198" s="97"/>
      <c r="E198" s="97"/>
      <c r="F198" s="98"/>
      <c r="G198" s="68"/>
      <c r="H198" s="68"/>
      <c r="I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108"/>
      <c r="AO198" s="68"/>
      <c r="AP198" s="68"/>
      <c r="AQ198" s="68"/>
      <c r="AR198" s="68"/>
      <c r="AS198" s="68"/>
      <c r="AT198" s="66"/>
      <c r="AU198" s="68"/>
      <c r="AV198" s="68"/>
      <c r="AW198" s="68"/>
      <c r="AX198" s="66"/>
      <c r="AY198" s="68"/>
      <c r="AZ198" s="66"/>
      <c r="BA198" s="68"/>
      <c r="BB198" s="68"/>
      <c r="BC198" s="68"/>
      <c r="BD198" s="68"/>
      <c r="BE198" s="68"/>
      <c r="BF198" s="66"/>
      <c r="BG198" s="66"/>
      <c r="BH198" s="66"/>
      <c r="BI198" s="66"/>
      <c r="BJ198" s="66"/>
      <c r="BK198" s="66"/>
      <c r="BL198" s="66"/>
      <c r="BM198" s="66"/>
      <c r="BN198" s="66"/>
      <c r="BO198" s="66"/>
      <c r="BP198" s="66"/>
      <c r="BQ198" s="66"/>
      <c r="BR198" s="66"/>
      <c r="BS198" s="66"/>
      <c r="BT198" s="66"/>
      <c r="BU198" s="66"/>
      <c r="BV198" s="66"/>
      <c r="BW198" s="66"/>
      <c r="BX198" s="66"/>
      <c r="BY198" s="66"/>
      <c r="BZ198" s="66"/>
      <c r="CA198" s="66"/>
      <c r="CB198" s="66"/>
      <c r="CC198" s="66"/>
      <c r="CD198" s="66"/>
      <c r="CE198" s="66"/>
      <c r="CF198" s="68"/>
      <c r="CG198" s="68"/>
      <c r="CH198" s="66"/>
      <c r="CI198" s="66"/>
      <c r="CJ198" s="68"/>
      <c r="CK198" s="68"/>
      <c r="CL198" s="68"/>
      <c r="CM198" s="68"/>
      <c r="CN198" s="66"/>
      <c r="CO198" s="68"/>
      <c r="CP198" s="66"/>
      <c r="CQ198" s="68"/>
      <c r="CR198" s="68"/>
      <c r="CS198" s="68"/>
      <c r="CT198" s="68"/>
      <c r="CU198" s="68"/>
      <c r="CV198" s="68"/>
      <c r="CW198" s="68"/>
      <c r="CX198" s="68"/>
      <c r="CY198" s="68"/>
      <c r="CZ198" s="68"/>
      <c r="DA198" s="68"/>
      <c r="DB198" s="68"/>
      <c r="DC198" s="68"/>
      <c r="DD198" s="68"/>
      <c r="DE198" s="68"/>
      <c r="DF198" s="68"/>
      <c r="DG198" s="68"/>
      <c r="DH198" s="68"/>
      <c r="DI198" s="68"/>
      <c r="DJ198" s="68"/>
      <c r="DK198" s="68"/>
      <c r="DL198" s="68"/>
      <c r="DM198" s="68"/>
      <c r="DN198" s="68"/>
      <c r="DO198" s="68"/>
      <c r="DP198" s="68"/>
      <c r="DQ198" s="99"/>
      <c r="DR198" s="99"/>
      <c r="DS198" s="68"/>
      <c r="DT198" s="68"/>
      <c r="DU198" s="68"/>
      <c r="DV198" s="68"/>
      <c r="DW198" s="68"/>
      <c r="DX198" s="68"/>
      <c r="DY198" s="68"/>
      <c r="DZ198" s="68"/>
      <c r="EA198" s="68"/>
      <c r="EB198" s="68"/>
      <c r="EC198" s="68"/>
      <c r="ED198" s="68"/>
      <c r="EE198" s="68"/>
      <c r="EF198" s="68"/>
      <c r="EG198" s="68"/>
      <c r="EH198" s="68"/>
      <c r="EI198" s="68"/>
      <c r="EJ198" s="68"/>
      <c r="EK198" s="68"/>
      <c r="EL198" s="68"/>
      <c r="EM198" s="68"/>
      <c r="EN198" s="68"/>
      <c r="EO198" s="68"/>
      <c r="EP198" s="68"/>
      <c r="EQ198" s="68"/>
      <c r="ER198" s="3"/>
      <c r="ES198" s="3"/>
      <c r="EW198"/>
      <c r="EX198"/>
      <c r="EY198"/>
      <c r="FB198" s="1"/>
    </row>
    <row r="199" spans="3:158" ht="20.25" customHeight="1" x14ac:dyDescent="0.25">
      <c r="C199" s="1"/>
      <c r="D199" s="97"/>
      <c r="E199" s="97"/>
      <c r="F199" s="9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108"/>
      <c r="AO199" s="68"/>
      <c r="AP199" s="68"/>
      <c r="AQ199" s="68"/>
      <c r="AR199" s="68"/>
      <c r="AS199" s="68"/>
      <c r="AT199" s="66"/>
      <c r="AU199" s="68"/>
      <c r="AV199" s="68"/>
      <c r="AW199" s="68"/>
      <c r="AX199" s="66"/>
      <c r="AY199" s="68"/>
      <c r="AZ199" s="66"/>
      <c r="BA199" s="68"/>
      <c r="BB199" s="68"/>
      <c r="BC199" s="68"/>
      <c r="BD199" s="68"/>
      <c r="BE199" s="68"/>
      <c r="BF199" s="66"/>
      <c r="BG199" s="66"/>
      <c r="BH199" s="66"/>
      <c r="BI199" s="66"/>
      <c r="BJ199" s="66"/>
      <c r="BK199" s="66"/>
      <c r="BL199" s="66"/>
      <c r="BM199" s="66"/>
      <c r="BN199" s="66"/>
      <c r="BO199" s="66"/>
      <c r="BP199" s="66"/>
      <c r="BQ199" s="66"/>
      <c r="BR199" s="66"/>
      <c r="BS199" s="66"/>
      <c r="BT199" s="66"/>
      <c r="BU199" s="66"/>
      <c r="BV199" s="66"/>
      <c r="BW199" s="66"/>
      <c r="BX199" s="66"/>
      <c r="BY199" s="66"/>
      <c r="BZ199" s="66"/>
      <c r="CA199" s="66"/>
      <c r="CB199" s="66"/>
      <c r="CC199" s="66"/>
      <c r="CD199" s="66"/>
      <c r="CE199" s="66"/>
      <c r="CF199" s="68"/>
      <c r="CG199" s="68"/>
      <c r="CH199" s="66"/>
      <c r="CI199" s="66"/>
      <c r="CJ199" s="68"/>
      <c r="CK199" s="68"/>
      <c r="CL199" s="68"/>
      <c r="CM199" s="68"/>
      <c r="CN199" s="66"/>
      <c r="CO199" s="68"/>
      <c r="CP199" s="66"/>
      <c r="CQ199" s="68"/>
      <c r="CR199" s="68"/>
      <c r="CS199" s="68"/>
      <c r="CT199" s="68"/>
      <c r="CU199" s="68"/>
      <c r="CV199" s="68"/>
      <c r="CW199" s="68"/>
      <c r="CX199" s="68"/>
      <c r="CY199" s="68"/>
      <c r="CZ199" s="68"/>
      <c r="DA199" s="68"/>
      <c r="DB199" s="68"/>
      <c r="DC199" s="68"/>
      <c r="DD199" s="68"/>
      <c r="DE199" s="68"/>
      <c r="DF199" s="68"/>
      <c r="DG199" s="68"/>
      <c r="DH199" s="68"/>
      <c r="DI199" s="68"/>
      <c r="DJ199" s="68"/>
      <c r="DK199" s="68"/>
      <c r="DL199" s="68"/>
      <c r="DM199" s="68"/>
      <c r="DN199" s="68"/>
      <c r="DO199" s="68"/>
      <c r="DP199" s="68"/>
      <c r="DQ199" s="99"/>
      <c r="DR199" s="99"/>
      <c r="DS199" s="68"/>
      <c r="DT199" s="68"/>
      <c r="DU199" s="68"/>
      <c r="DV199" s="68"/>
      <c r="DW199" s="68"/>
      <c r="DX199" s="68"/>
      <c r="DY199" s="68"/>
      <c r="DZ199" s="68"/>
      <c r="EA199" s="68"/>
      <c r="EB199" s="68"/>
      <c r="EC199" s="68"/>
      <c r="ED199" s="68"/>
      <c r="EE199" s="68"/>
      <c r="EF199" s="68"/>
      <c r="EG199" s="68"/>
      <c r="EH199" s="68"/>
      <c r="EI199" s="68"/>
      <c r="EJ199" s="68"/>
      <c r="EK199" s="68"/>
      <c r="EL199" s="68"/>
      <c r="EM199" s="68"/>
      <c r="EN199" s="68"/>
      <c r="EO199" s="68"/>
      <c r="EP199" s="68"/>
      <c r="EQ199" s="68"/>
      <c r="ER199" s="3"/>
      <c r="ES199" s="3"/>
      <c r="EW199"/>
      <c r="EX199"/>
      <c r="EY199"/>
      <c r="FB199" s="1"/>
    </row>
    <row r="200" spans="3:158" ht="20.25" customHeight="1" x14ac:dyDescent="0.25">
      <c r="C200" s="1"/>
      <c r="D200" s="97"/>
      <c r="E200" s="97"/>
      <c r="F200" s="98"/>
      <c r="G200" s="68"/>
      <c r="H200" s="68"/>
      <c r="I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108"/>
      <c r="AO200" s="68"/>
      <c r="AP200" s="68"/>
      <c r="AQ200" s="68"/>
      <c r="AR200" s="68"/>
      <c r="AS200" s="68"/>
      <c r="AT200" s="66"/>
      <c r="AU200" s="68"/>
      <c r="AV200" s="68"/>
      <c r="AW200" s="68"/>
      <c r="AX200" s="66"/>
      <c r="AY200" s="68"/>
      <c r="AZ200" s="66"/>
      <c r="BA200" s="68"/>
      <c r="BB200" s="68"/>
      <c r="BC200" s="68"/>
      <c r="BD200" s="68"/>
      <c r="BE200" s="68"/>
      <c r="BF200" s="66"/>
      <c r="BG200" s="66"/>
      <c r="BH200" s="66"/>
      <c r="BI200" s="66"/>
      <c r="BJ200" s="66"/>
      <c r="BK200" s="66"/>
      <c r="BL200" s="66"/>
      <c r="BM200" s="66"/>
      <c r="BN200" s="66"/>
      <c r="BO200" s="66"/>
      <c r="BP200" s="66"/>
      <c r="BQ200" s="66"/>
      <c r="BR200" s="66"/>
      <c r="BS200" s="66"/>
      <c r="BT200" s="66"/>
      <c r="BU200" s="66"/>
      <c r="BV200" s="66"/>
      <c r="BW200" s="66"/>
      <c r="BX200" s="66"/>
      <c r="BY200" s="66"/>
      <c r="BZ200" s="66"/>
      <c r="CA200" s="66"/>
      <c r="CB200" s="66"/>
      <c r="CC200" s="66"/>
      <c r="CD200" s="66"/>
      <c r="CE200" s="66"/>
      <c r="CF200" s="68"/>
      <c r="CG200" s="68"/>
      <c r="CH200" s="66"/>
      <c r="CI200" s="66"/>
      <c r="CJ200" s="68"/>
      <c r="CK200" s="68"/>
      <c r="CL200" s="68"/>
      <c r="CM200" s="68"/>
      <c r="CN200" s="66"/>
      <c r="CO200" s="68"/>
      <c r="CP200" s="66"/>
      <c r="CQ200" s="68"/>
      <c r="CR200" s="68"/>
      <c r="CS200" s="68"/>
      <c r="CT200" s="68"/>
      <c r="CU200" s="68"/>
      <c r="CV200" s="68"/>
      <c r="CW200" s="68"/>
      <c r="CX200" s="68"/>
      <c r="CY200" s="68"/>
      <c r="CZ200" s="68"/>
      <c r="DA200" s="68"/>
      <c r="DB200" s="68"/>
      <c r="DC200" s="68"/>
      <c r="DD200" s="68"/>
      <c r="DE200" s="68"/>
      <c r="DF200" s="68"/>
      <c r="DG200" s="68"/>
      <c r="DH200" s="68"/>
      <c r="DI200" s="68"/>
      <c r="DJ200" s="68"/>
      <c r="DK200" s="68"/>
      <c r="DL200" s="68"/>
      <c r="DM200" s="68"/>
      <c r="DN200" s="68"/>
      <c r="DO200" s="68"/>
      <c r="DP200" s="68"/>
      <c r="DQ200" s="99"/>
      <c r="DR200" s="99"/>
      <c r="DS200" s="68"/>
      <c r="DT200" s="68"/>
      <c r="DU200" s="68"/>
      <c r="DV200" s="68"/>
      <c r="DW200" s="68"/>
      <c r="DX200" s="68"/>
      <c r="DY200" s="68"/>
      <c r="DZ200" s="68"/>
      <c r="EA200" s="68"/>
      <c r="EB200" s="68"/>
      <c r="EC200" s="68"/>
      <c r="ED200" s="68"/>
      <c r="EE200" s="68"/>
      <c r="EF200" s="68"/>
      <c r="EG200" s="68"/>
      <c r="EH200" s="68"/>
      <c r="EI200" s="68"/>
      <c r="EJ200" s="68"/>
      <c r="EK200" s="68"/>
      <c r="EL200" s="68"/>
      <c r="EM200" s="68"/>
      <c r="EN200" s="68"/>
      <c r="EO200" s="68"/>
      <c r="EP200" s="68"/>
      <c r="EQ200" s="68"/>
      <c r="ER200" s="3"/>
      <c r="ES200" s="3"/>
      <c r="EW200"/>
      <c r="EX200"/>
      <c r="EY200"/>
      <c r="FB200" s="1"/>
    </row>
    <row r="201" spans="3:158" ht="20.25" customHeight="1" x14ac:dyDescent="0.25">
      <c r="C201" s="1"/>
      <c r="D201" s="97"/>
      <c r="E201" s="97"/>
      <c r="F201" s="98"/>
      <c r="G201" s="68"/>
      <c r="H201" s="68"/>
      <c r="I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108"/>
      <c r="AO201" s="68"/>
      <c r="AP201" s="68"/>
      <c r="AQ201" s="68"/>
      <c r="AR201" s="68"/>
      <c r="AS201" s="68"/>
      <c r="AT201" s="66"/>
      <c r="AU201" s="68"/>
      <c r="AV201" s="68"/>
      <c r="AW201" s="68"/>
      <c r="AX201" s="66"/>
      <c r="AY201" s="68"/>
      <c r="AZ201" s="66"/>
      <c r="BA201" s="68"/>
      <c r="BB201" s="68"/>
      <c r="BC201" s="68"/>
      <c r="BD201" s="68"/>
      <c r="BE201" s="68"/>
      <c r="BF201" s="66"/>
      <c r="BG201" s="66"/>
      <c r="BH201" s="66"/>
      <c r="BI201" s="66"/>
      <c r="BJ201" s="66"/>
      <c r="BK201" s="66"/>
      <c r="BL201" s="66"/>
      <c r="BM201" s="66"/>
      <c r="BN201" s="66"/>
      <c r="BO201" s="66"/>
      <c r="BP201" s="66"/>
      <c r="BQ201" s="66"/>
      <c r="BR201" s="66"/>
      <c r="BS201" s="66"/>
      <c r="BT201" s="66"/>
      <c r="BU201" s="66"/>
      <c r="BV201" s="66"/>
      <c r="BW201" s="66"/>
      <c r="BX201" s="66"/>
      <c r="BY201" s="66"/>
      <c r="BZ201" s="66"/>
      <c r="CA201" s="66"/>
      <c r="CB201" s="66"/>
      <c r="CC201" s="66"/>
      <c r="CD201" s="66"/>
      <c r="CE201" s="66"/>
      <c r="CF201" s="68"/>
      <c r="CG201" s="68"/>
      <c r="CH201" s="66"/>
      <c r="CI201" s="66"/>
      <c r="CJ201" s="68"/>
      <c r="CK201" s="68"/>
      <c r="CL201" s="68"/>
      <c r="CM201" s="68"/>
      <c r="CN201" s="66"/>
      <c r="CO201" s="68"/>
      <c r="CP201" s="66"/>
      <c r="CQ201" s="68"/>
      <c r="CR201" s="68"/>
      <c r="CS201" s="68"/>
      <c r="CT201" s="68"/>
      <c r="CU201" s="68"/>
      <c r="CV201" s="68"/>
      <c r="CW201" s="68"/>
      <c r="CX201" s="68"/>
      <c r="CY201" s="68"/>
      <c r="CZ201" s="68"/>
      <c r="DA201" s="68"/>
      <c r="DB201" s="68"/>
      <c r="DC201" s="68"/>
      <c r="DD201" s="68"/>
      <c r="DE201" s="68"/>
      <c r="DF201" s="68"/>
      <c r="DG201" s="68"/>
      <c r="DH201" s="68"/>
      <c r="DI201" s="68"/>
      <c r="DJ201" s="68"/>
      <c r="DK201" s="68"/>
      <c r="DL201" s="68"/>
      <c r="DM201" s="68"/>
      <c r="DN201" s="68"/>
      <c r="DO201" s="68"/>
      <c r="DP201" s="68"/>
      <c r="DQ201" s="99"/>
      <c r="DR201" s="99"/>
      <c r="DS201" s="68"/>
      <c r="DT201" s="68"/>
      <c r="DU201" s="68"/>
      <c r="DV201" s="68"/>
      <c r="DW201" s="68"/>
      <c r="DX201" s="68"/>
      <c r="DY201" s="68"/>
      <c r="DZ201" s="68"/>
      <c r="EA201" s="68"/>
      <c r="EB201" s="68"/>
      <c r="EC201" s="68"/>
      <c r="ED201" s="68"/>
      <c r="EE201" s="68"/>
      <c r="EF201" s="68"/>
      <c r="EG201" s="68"/>
      <c r="EH201" s="68"/>
      <c r="EI201" s="68"/>
      <c r="EJ201" s="68"/>
      <c r="EK201" s="68"/>
      <c r="EL201" s="68"/>
      <c r="EM201" s="68"/>
      <c r="EN201" s="68"/>
      <c r="EO201" s="68"/>
      <c r="EP201" s="68"/>
      <c r="EQ201" s="68"/>
      <c r="ER201" s="3"/>
      <c r="ES201" s="3"/>
      <c r="EW201"/>
      <c r="EX201"/>
      <c r="EY201"/>
      <c r="FB201" s="1"/>
    </row>
    <row r="202" spans="3:158" ht="20.25" customHeight="1" x14ac:dyDescent="0.25">
      <c r="C202" s="1"/>
      <c r="D202" s="97"/>
      <c r="E202" s="97"/>
      <c r="F202" s="98"/>
      <c r="G202" s="68"/>
      <c r="H202" s="68"/>
      <c r="I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108"/>
      <c r="AO202" s="68"/>
      <c r="AP202" s="68"/>
      <c r="AQ202" s="68"/>
      <c r="AR202" s="68"/>
      <c r="AS202" s="68"/>
      <c r="AT202" s="66"/>
      <c r="AU202" s="68"/>
      <c r="AV202" s="68"/>
      <c r="AW202" s="68"/>
      <c r="AX202" s="66"/>
      <c r="AY202" s="68"/>
      <c r="AZ202" s="66"/>
      <c r="BA202" s="68"/>
      <c r="BB202" s="68"/>
      <c r="BC202" s="68"/>
      <c r="BD202" s="68"/>
      <c r="BE202" s="68"/>
      <c r="BF202" s="66"/>
      <c r="BG202" s="66"/>
      <c r="BH202" s="66"/>
      <c r="BI202" s="66"/>
      <c r="BJ202" s="66"/>
      <c r="BK202" s="66"/>
      <c r="BL202" s="66"/>
      <c r="BM202" s="66"/>
      <c r="BN202" s="66"/>
      <c r="BO202" s="66"/>
      <c r="BP202" s="66"/>
      <c r="BQ202" s="66"/>
      <c r="BR202" s="66"/>
      <c r="BS202" s="66"/>
      <c r="BT202" s="66"/>
      <c r="BU202" s="66"/>
      <c r="BV202" s="66"/>
      <c r="BW202" s="66"/>
      <c r="BX202" s="66"/>
      <c r="BY202" s="66"/>
      <c r="BZ202" s="66"/>
      <c r="CA202" s="66"/>
      <c r="CB202" s="66"/>
      <c r="CC202" s="66"/>
      <c r="CD202" s="66"/>
      <c r="CE202" s="66"/>
      <c r="CF202" s="68"/>
      <c r="CG202" s="68"/>
      <c r="CH202" s="66"/>
      <c r="CI202" s="66"/>
      <c r="CJ202" s="68"/>
      <c r="CK202" s="68"/>
      <c r="CL202" s="68"/>
      <c r="CM202" s="68"/>
      <c r="CN202" s="66"/>
      <c r="CO202" s="68"/>
      <c r="CP202" s="66"/>
      <c r="CQ202" s="68"/>
      <c r="CR202" s="68"/>
      <c r="CS202" s="68"/>
      <c r="CT202" s="68"/>
      <c r="CU202" s="68"/>
      <c r="CV202" s="68"/>
      <c r="CW202" s="68"/>
      <c r="CX202" s="68"/>
      <c r="CY202" s="68"/>
      <c r="CZ202" s="68"/>
      <c r="DA202" s="68"/>
      <c r="DB202" s="68"/>
      <c r="DC202" s="68"/>
      <c r="DD202" s="68"/>
      <c r="DE202" s="68"/>
      <c r="DF202" s="68"/>
      <c r="DG202" s="68"/>
      <c r="DH202" s="68"/>
      <c r="DI202" s="68"/>
      <c r="DJ202" s="68"/>
      <c r="DK202" s="68"/>
      <c r="DL202" s="68"/>
      <c r="DM202" s="68"/>
      <c r="DN202" s="68"/>
      <c r="DO202" s="68"/>
      <c r="DP202" s="68"/>
      <c r="DQ202" s="99"/>
      <c r="DR202" s="99"/>
      <c r="DS202" s="68"/>
      <c r="DT202" s="68"/>
      <c r="DU202" s="68"/>
      <c r="DV202" s="68"/>
      <c r="DW202" s="68"/>
      <c r="DX202" s="68"/>
      <c r="DY202" s="68"/>
      <c r="DZ202" s="68"/>
      <c r="EA202" s="68"/>
      <c r="EB202" s="68"/>
      <c r="EC202" s="68"/>
      <c r="ED202" s="68"/>
      <c r="EE202" s="68"/>
      <c r="EF202" s="68"/>
      <c r="EG202" s="68"/>
      <c r="EH202" s="68"/>
      <c r="EI202" s="68"/>
      <c r="EJ202" s="68"/>
      <c r="EK202" s="68"/>
      <c r="EL202" s="68"/>
      <c r="EM202" s="68"/>
      <c r="EN202" s="68"/>
      <c r="EO202" s="68"/>
      <c r="EP202" s="68"/>
      <c r="EQ202" s="68"/>
      <c r="ER202" s="3"/>
      <c r="ES202" s="3"/>
      <c r="EW202"/>
      <c r="EX202"/>
      <c r="EY202"/>
      <c r="FB202" s="1"/>
    </row>
    <row r="203" spans="3:158" ht="20.25" customHeight="1" x14ac:dyDescent="0.25">
      <c r="C203" s="1"/>
      <c r="D203" s="97"/>
      <c r="E203" s="97"/>
      <c r="F203" s="98"/>
      <c r="G203" s="68"/>
      <c r="H203" s="68"/>
      <c r="I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108"/>
      <c r="AO203" s="68"/>
      <c r="AP203" s="68"/>
      <c r="AQ203" s="68"/>
      <c r="AR203" s="68"/>
      <c r="AS203" s="68"/>
      <c r="AT203" s="66"/>
      <c r="AU203" s="68"/>
      <c r="AV203" s="68"/>
      <c r="AW203" s="68"/>
      <c r="AX203" s="66"/>
      <c r="AY203" s="68"/>
      <c r="AZ203" s="66"/>
      <c r="BA203" s="68"/>
      <c r="BB203" s="68"/>
      <c r="BC203" s="68"/>
      <c r="BD203" s="68"/>
      <c r="BE203" s="68"/>
      <c r="BF203" s="66"/>
      <c r="BG203" s="66"/>
      <c r="BH203" s="66"/>
      <c r="BI203" s="66"/>
      <c r="BJ203" s="66"/>
      <c r="BK203" s="66"/>
      <c r="BL203" s="66"/>
      <c r="BM203" s="66"/>
      <c r="BN203" s="66"/>
      <c r="BO203" s="66"/>
      <c r="BP203" s="66"/>
      <c r="BQ203" s="66"/>
      <c r="BR203" s="66"/>
      <c r="BS203" s="66"/>
      <c r="BT203" s="66"/>
      <c r="BU203" s="66"/>
      <c r="BV203" s="66"/>
      <c r="BW203" s="66"/>
      <c r="BX203" s="66"/>
      <c r="BY203" s="66"/>
      <c r="BZ203" s="66"/>
      <c r="CA203" s="66"/>
      <c r="CB203" s="66"/>
      <c r="CC203" s="66"/>
      <c r="CD203" s="66"/>
      <c r="CE203" s="66"/>
      <c r="CF203" s="68"/>
      <c r="CG203" s="68"/>
      <c r="CH203" s="66"/>
      <c r="CI203" s="66"/>
      <c r="CJ203" s="68"/>
      <c r="CK203" s="68"/>
      <c r="CL203" s="68"/>
      <c r="CM203" s="68"/>
      <c r="CN203" s="66"/>
      <c r="CO203" s="68"/>
      <c r="CP203" s="66"/>
      <c r="CQ203" s="68"/>
      <c r="CR203" s="68"/>
      <c r="CS203" s="68"/>
      <c r="CT203" s="68"/>
      <c r="CU203" s="68"/>
      <c r="CV203" s="68"/>
      <c r="CW203" s="68"/>
      <c r="CX203" s="68"/>
      <c r="CY203" s="68"/>
      <c r="CZ203" s="68"/>
      <c r="DA203" s="68"/>
      <c r="DB203" s="68"/>
      <c r="DC203" s="68"/>
      <c r="DD203" s="68"/>
      <c r="DE203" s="68"/>
      <c r="DF203" s="68"/>
      <c r="DG203" s="68"/>
      <c r="DH203" s="68"/>
      <c r="DI203" s="68"/>
      <c r="DJ203" s="68"/>
      <c r="DK203" s="68"/>
      <c r="DL203" s="68"/>
      <c r="DM203" s="68"/>
      <c r="DN203" s="68"/>
      <c r="DO203" s="68"/>
      <c r="DP203" s="68"/>
      <c r="DQ203" s="99"/>
      <c r="DR203" s="99"/>
      <c r="DS203" s="68"/>
      <c r="DT203" s="68"/>
      <c r="DU203" s="68"/>
      <c r="DV203" s="68"/>
      <c r="DW203" s="68"/>
      <c r="DX203" s="68"/>
      <c r="DY203" s="68"/>
      <c r="DZ203" s="68"/>
      <c r="EA203" s="68"/>
      <c r="EB203" s="68"/>
      <c r="EC203" s="68"/>
      <c r="ED203" s="68"/>
      <c r="EE203" s="68"/>
      <c r="EF203" s="68"/>
      <c r="EG203" s="68"/>
      <c r="EH203" s="68"/>
      <c r="EI203" s="68"/>
      <c r="EJ203" s="68"/>
      <c r="EK203" s="68"/>
      <c r="EL203" s="68"/>
      <c r="EM203" s="68"/>
      <c r="EN203" s="68"/>
      <c r="EO203" s="68"/>
      <c r="EP203" s="68"/>
      <c r="EQ203" s="68"/>
      <c r="ER203" s="3"/>
      <c r="ES203" s="3"/>
      <c r="EW203"/>
      <c r="EX203"/>
      <c r="EY203"/>
      <c r="FB203" s="1"/>
    </row>
    <row r="204" spans="3:158" ht="20.25" customHeight="1" x14ac:dyDescent="0.25">
      <c r="C204" s="1"/>
      <c r="D204" s="97"/>
      <c r="E204" s="97"/>
      <c r="F204" s="98"/>
      <c r="G204" s="68"/>
      <c r="H204" s="68"/>
      <c r="I204" s="68"/>
      <c r="J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108"/>
      <c r="AO204" s="68"/>
      <c r="AP204" s="68"/>
      <c r="AQ204" s="68"/>
      <c r="AR204" s="68"/>
      <c r="AS204" s="68"/>
      <c r="AT204" s="66"/>
      <c r="AU204" s="68"/>
      <c r="AV204" s="68"/>
      <c r="AW204" s="68"/>
      <c r="AX204" s="66"/>
      <c r="AY204" s="68"/>
      <c r="AZ204" s="66"/>
      <c r="BA204" s="68"/>
      <c r="BB204" s="68"/>
      <c r="BC204" s="68"/>
      <c r="BD204" s="68"/>
      <c r="BE204" s="68"/>
      <c r="BF204" s="66"/>
      <c r="BG204" s="66"/>
      <c r="BH204" s="66"/>
      <c r="BI204" s="66"/>
      <c r="BJ204" s="66"/>
      <c r="BK204" s="66"/>
      <c r="BL204" s="66"/>
      <c r="BM204" s="66"/>
      <c r="BN204" s="66"/>
      <c r="BO204" s="66"/>
      <c r="BP204" s="66"/>
      <c r="BQ204" s="66"/>
      <c r="BR204" s="66"/>
      <c r="BS204" s="66"/>
      <c r="BT204" s="66"/>
      <c r="BU204" s="66"/>
      <c r="BV204" s="66"/>
      <c r="BW204" s="66"/>
      <c r="BX204" s="66"/>
      <c r="BY204" s="66"/>
      <c r="BZ204" s="66"/>
      <c r="CA204" s="66"/>
      <c r="CB204" s="66"/>
      <c r="CC204" s="66"/>
      <c r="CD204" s="66"/>
      <c r="CE204" s="66"/>
      <c r="CF204" s="68"/>
      <c r="CG204" s="68"/>
      <c r="CH204" s="66"/>
      <c r="CI204" s="66"/>
      <c r="CJ204" s="68"/>
      <c r="CK204" s="68"/>
      <c r="CL204" s="68"/>
      <c r="CM204" s="68"/>
      <c r="CN204" s="66"/>
      <c r="CO204" s="68"/>
      <c r="CP204" s="66"/>
      <c r="CQ204" s="68"/>
      <c r="CR204" s="68"/>
      <c r="CS204" s="68"/>
      <c r="CT204" s="68"/>
      <c r="CU204" s="68"/>
      <c r="CV204" s="68"/>
      <c r="CW204" s="68"/>
      <c r="CX204" s="68"/>
      <c r="CY204" s="68"/>
      <c r="CZ204" s="68"/>
      <c r="DA204" s="68"/>
      <c r="DB204" s="68"/>
      <c r="DC204" s="68"/>
      <c r="DD204" s="68"/>
      <c r="DE204" s="68"/>
      <c r="DF204" s="68"/>
      <c r="DG204" s="68"/>
      <c r="DH204" s="68"/>
      <c r="DI204" s="68"/>
      <c r="DJ204" s="68"/>
      <c r="DK204" s="68"/>
      <c r="DL204" s="68"/>
      <c r="DM204" s="68"/>
      <c r="DN204" s="68"/>
      <c r="DO204" s="68"/>
      <c r="DP204" s="68"/>
      <c r="DQ204" s="99"/>
      <c r="DR204" s="99"/>
      <c r="DS204" s="68"/>
      <c r="DT204" s="68"/>
      <c r="DU204" s="68"/>
      <c r="DV204" s="68"/>
      <c r="DW204" s="68"/>
      <c r="DX204" s="68"/>
      <c r="DY204" s="68"/>
      <c r="DZ204" s="68"/>
      <c r="EA204" s="68"/>
      <c r="EB204" s="68"/>
      <c r="EC204" s="68"/>
      <c r="ED204" s="68"/>
      <c r="EE204" s="68"/>
      <c r="EF204" s="68"/>
      <c r="EG204" s="68"/>
      <c r="EH204" s="68"/>
      <c r="EI204" s="68"/>
      <c r="EJ204" s="68"/>
      <c r="EK204" s="68"/>
      <c r="EL204" s="68"/>
      <c r="EM204" s="68"/>
      <c r="EN204" s="68"/>
      <c r="EO204" s="68"/>
      <c r="EP204" s="68"/>
      <c r="EQ204" s="68"/>
      <c r="ER204" s="3"/>
      <c r="ES204" s="3"/>
      <c r="EW204"/>
      <c r="EX204"/>
      <c r="EY204"/>
      <c r="FB204" s="1"/>
    </row>
    <row r="205" spans="3:158" ht="20.25" customHeight="1" x14ac:dyDescent="0.25">
      <c r="C205" s="1"/>
      <c r="D205" s="97"/>
      <c r="E205" s="97"/>
      <c r="F205" s="98"/>
      <c r="G205" s="68"/>
      <c r="H205" s="68"/>
      <c r="I205" s="68"/>
      <c r="J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108"/>
      <c r="AO205" s="68"/>
      <c r="AP205" s="68"/>
      <c r="AQ205" s="68"/>
      <c r="AR205" s="68"/>
      <c r="AS205" s="68"/>
      <c r="AT205" s="66"/>
      <c r="AU205" s="68"/>
      <c r="AV205" s="68"/>
      <c r="AW205" s="68"/>
      <c r="AX205" s="66"/>
      <c r="AY205" s="68"/>
      <c r="AZ205" s="66"/>
      <c r="BA205" s="68"/>
      <c r="BB205" s="68"/>
      <c r="BC205" s="68"/>
      <c r="BD205" s="68"/>
      <c r="BE205" s="68"/>
      <c r="BF205" s="66"/>
      <c r="BG205" s="66"/>
      <c r="BH205" s="66"/>
      <c r="BI205" s="66"/>
      <c r="BJ205" s="66"/>
      <c r="BK205" s="66"/>
      <c r="BL205" s="66"/>
      <c r="BM205" s="66"/>
      <c r="BN205" s="66"/>
      <c r="BO205" s="66"/>
      <c r="BP205" s="66"/>
      <c r="BQ205" s="66"/>
      <c r="BR205" s="66"/>
      <c r="BS205" s="66"/>
      <c r="BT205" s="66"/>
      <c r="BU205" s="66"/>
      <c r="BV205" s="66"/>
      <c r="BW205" s="66"/>
      <c r="BX205" s="66"/>
      <c r="BY205" s="66"/>
      <c r="BZ205" s="66"/>
      <c r="CA205" s="66"/>
      <c r="CB205" s="66"/>
      <c r="CC205" s="66"/>
      <c r="CD205" s="66"/>
      <c r="CE205" s="66"/>
      <c r="CF205" s="68"/>
      <c r="CG205" s="68"/>
      <c r="CH205" s="66"/>
      <c r="CI205" s="66"/>
      <c r="CJ205" s="68"/>
      <c r="CK205" s="68"/>
      <c r="CL205" s="68"/>
      <c r="CM205" s="68"/>
      <c r="CN205" s="66"/>
      <c r="CO205" s="68"/>
      <c r="CP205" s="66"/>
      <c r="CQ205" s="68"/>
      <c r="CR205" s="68"/>
      <c r="CS205" s="68"/>
      <c r="CT205" s="68"/>
      <c r="CU205" s="68"/>
      <c r="CV205" s="68"/>
      <c r="CW205" s="68"/>
      <c r="CX205" s="68"/>
      <c r="CY205" s="68"/>
      <c r="CZ205" s="68"/>
      <c r="DA205" s="68"/>
      <c r="DB205" s="68"/>
      <c r="DC205" s="68"/>
      <c r="DD205" s="68"/>
      <c r="DE205" s="68"/>
      <c r="DF205" s="68"/>
      <c r="DG205" s="68"/>
      <c r="DH205" s="68"/>
      <c r="DI205" s="68"/>
      <c r="DJ205" s="68"/>
      <c r="DK205" s="68"/>
      <c r="DL205" s="68"/>
      <c r="DM205" s="68"/>
      <c r="DN205" s="68"/>
      <c r="DO205" s="68"/>
      <c r="DP205" s="68"/>
      <c r="DQ205" s="99"/>
      <c r="DR205" s="99"/>
      <c r="DS205" s="68"/>
      <c r="DT205" s="68"/>
      <c r="DU205" s="68"/>
      <c r="DV205" s="68"/>
      <c r="DW205" s="68"/>
      <c r="DX205" s="68"/>
      <c r="DY205" s="68"/>
      <c r="DZ205" s="68"/>
      <c r="EA205" s="68"/>
      <c r="EB205" s="68"/>
      <c r="EC205" s="68"/>
      <c r="ED205" s="68"/>
      <c r="EE205" s="68"/>
      <c r="EF205" s="68"/>
      <c r="EG205" s="68"/>
      <c r="EH205" s="68"/>
      <c r="EI205" s="68"/>
      <c r="EJ205" s="68"/>
      <c r="EK205" s="68"/>
      <c r="EL205" s="68"/>
      <c r="EM205" s="68"/>
      <c r="EN205" s="68"/>
      <c r="EO205" s="68"/>
      <c r="EP205" s="68"/>
      <c r="EQ205" s="68"/>
      <c r="ER205" s="3"/>
      <c r="ES205" s="3"/>
      <c r="EW205"/>
      <c r="EX205"/>
      <c r="EY205"/>
      <c r="FB205" s="1"/>
    </row>
    <row r="206" spans="3:158" ht="20.25" customHeight="1" x14ac:dyDescent="0.25">
      <c r="C206" s="1"/>
      <c r="D206" s="97"/>
      <c r="E206" s="97"/>
      <c r="F206" s="98"/>
      <c r="G206" s="68"/>
      <c r="H206" s="68"/>
      <c r="I206" s="68"/>
      <c r="J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108"/>
      <c r="AO206" s="68"/>
      <c r="AP206" s="68"/>
      <c r="AQ206" s="68"/>
      <c r="AR206" s="68"/>
      <c r="AS206" s="68"/>
      <c r="AT206" s="66"/>
      <c r="AU206" s="68"/>
      <c r="AV206" s="68"/>
      <c r="AW206" s="68"/>
      <c r="AX206" s="66"/>
      <c r="AY206" s="68"/>
      <c r="AZ206" s="66"/>
      <c r="BA206" s="68"/>
      <c r="BB206" s="68"/>
      <c r="BC206" s="68"/>
      <c r="BD206" s="68"/>
      <c r="BE206" s="68"/>
      <c r="BF206" s="66"/>
      <c r="BG206" s="66"/>
      <c r="BH206" s="66"/>
      <c r="BI206" s="66"/>
      <c r="BJ206" s="66"/>
      <c r="BK206" s="66"/>
      <c r="BL206" s="66"/>
      <c r="BM206" s="66"/>
      <c r="BN206" s="66"/>
      <c r="BO206" s="66"/>
      <c r="BP206" s="66"/>
      <c r="BQ206" s="66"/>
      <c r="BR206" s="66"/>
      <c r="BS206" s="66"/>
      <c r="BT206" s="66"/>
      <c r="BU206" s="66"/>
      <c r="BV206" s="66"/>
      <c r="BW206" s="66"/>
      <c r="BX206" s="66"/>
      <c r="BY206" s="66"/>
      <c r="BZ206" s="66"/>
      <c r="CA206" s="66"/>
      <c r="CB206" s="66"/>
      <c r="CC206" s="66"/>
      <c r="CD206" s="66"/>
      <c r="CE206" s="66"/>
      <c r="CF206" s="68"/>
      <c r="CG206" s="68"/>
      <c r="CH206" s="66"/>
      <c r="CI206" s="66"/>
      <c r="CJ206" s="68"/>
      <c r="CK206" s="68"/>
      <c r="CL206" s="68"/>
      <c r="CM206" s="68"/>
      <c r="CN206" s="66"/>
      <c r="CO206" s="68"/>
      <c r="CP206" s="66"/>
      <c r="CQ206" s="68"/>
      <c r="CR206" s="68"/>
      <c r="CS206" s="68"/>
      <c r="CT206" s="68"/>
      <c r="CU206" s="68"/>
      <c r="CV206" s="68"/>
      <c r="CW206" s="68"/>
      <c r="CX206" s="68"/>
      <c r="CY206" s="68"/>
      <c r="CZ206" s="68"/>
      <c r="DA206" s="68"/>
      <c r="DB206" s="68"/>
      <c r="DC206" s="68"/>
      <c r="DD206" s="68"/>
      <c r="DE206" s="68"/>
      <c r="DF206" s="68"/>
      <c r="DG206" s="68"/>
      <c r="DH206" s="68"/>
      <c r="DI206" s="68"/>
      <c r="DJ206" s="68"/>
      <c r="DK206" s="68"/>
      <c r="DL206" s="68"/>
      <c r="DM206" s="68"/>
      <c r="DN206" s="68"/>
      <c r="DO206" s="68"/>
      <c r="DP206" s="68"/>
      <c r="DQ206" s="99"/>
      <c r="DR206" s="99"/>
      <c r="DS206" s="68"/>
      <c r="DT206" s="68"/>
      <c r="DU206" s="68"/>
      <c r="DV206" s="68"/>
      <c r="DW206" s="68"/>
      <c r="DX206" s="68"/>
      <c r="DY206" s="68"/>
      <c r="DZ206" s="68"/>
      <c r="EA206" s="68"/>
      <c r="EB206" s="68"/>
      <c r="EC206" s="68"/>
      <c r="ED206" s="68"/>
      <c r="EE206" s="68"/>
      <c r="EF206" s="68"/>
      <c r="EG206" s="68"/>
      <c r="EH206" s="68"/>
      <c r="EI206" s="68"/>
      <c r="EJ206" s="68"/>
      <c r="EK206" s="68"/>
      <c r="EL206" s="68"/>
      <c r="EM206" s="68"/>
      <c r="EN206" s="68"/>
      <c r="EO206" s="68"/>
      <c r="EP206" s="68"/>
      <c r="EQ206" s="68"/>
      <c r="ER206" s="3"/>
      <c r="ES206" s="3"/>
      <c r="EW206"/>
      <c r="EX206"/>
      <c r="EY206"/>
      <c r="FB206" s="1"/>
    </row>
    <row r="207" spans="3:158" ht="20.25" customHeight="1" x14ac:dyDescent="0.25">
      <c r="C207" s="1"/>
      <c r="D207" s="97"/>
      <c r="E207" s="97"/>
      <c r="F207" s="98"/>
      <c r="G207" s="68"/>
      <c r="H207" s="68"/>
      <c r="I207" s="68"/>
      <c r="J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108"/>
      <c r="AO207" s="68"/>
      <c r="AP207" s="68"/>
      <c r="AQ207" s="68"/>
      <c r="AR207" s="68"/>
      <c r="AS207" s="68"/>
      <c r="AT207" s="66"/>
      <c r="AU207" s="68"/>
      <c r="AV207" s="68"/>
      <c r="AW207" s="68"/>
      <c r="AX207" s="66"/>
      <c r="AY207" s="68"/>
      <c r="AZ207" s="66"/>
      <c r="BA207" s="68"/>
      <c r="BB207" s="68"/>
      <c r="BC207" s="68"/>
      <c r="BD207" s="68"/>
      <c r="BE207" s="68"/>
      <c r="BF207" s="66"/>
      <c r="BG207" s="66"/>
      <c r="BH207" s="66"/>
      <c r="BI207" s="66"/>
      <c r="BJ207" s="66"/>
      <c r="BK207" s="66"/>
      <c r="BL207" s="66"/>
      <c r="BM207" s="66"/>
      <c r="BN207" s="66"/>
      <c r="BO207" s="66"/>
      <c r="BP207" s="66"/>
      <c r="BQ207" s="66"/>
      <c r="BR207" s="66"/>
      <c r="BS207" s="66"/>
      <c r="BT207" s="66"/>
      <c r="BU207" s="66"/>
      <c r="BV207" s="66"/>
      <c r="BW207" s="66"/>
      <c r="BX207" s="66"/>
      <c r="BY207" s="66"/>
      <c r="BZ207" s="66"/>
      <c r="CA207" s="66"/>
      <c r="CB207" s="66"/>
      <c r="CC207" s="66"/>
      <c r="CD207" s="66"/>
      <c r="CE207" s="66"/>
      <c r="CF207" s="68"/>
      <c r="CG207" s="68"/>
      <c r="CH207" s="66"/>
      <c r="CI207" s="66"/>
      <c r="CJ207" s="68"/>
      <c r="CK207" s="68"/>
      <c r="CL207" s="68"/>
      <c r="CM207" s="68"/>
      <c r="CN207" s="66"/>
      <c r="CO207" s="68"/>
      <c r="CP207" s="66"/>
      <c r="CQ207" s="68"/>
      <c r="CR207" s="68"/>
      <c r="CS207" s="68"/>
      <c r="CT207" s="68"/>
      <c r="CU207" s="68"/>
      <c r="CV207" s="68"/>
      <c r="CW207" s="68"/>
      <c r="CX207" s="68"/>
      <c r="CY207" s="68"/>
      <c r="CZ207" s="68"/>
      <c r="DA207" s="68"/>
      <c r="DB207" s="68"/>
      <c r="DC207" s="68"/>
      <c r="DD207" s="68"/>
      <c r="DE207" s="68"/>
      <c r="DF207" s="68"/>
      <c r="DG207" s="68"/>
      <c r="DH207" s="68"/>
      <c r="DI207" s="68"/>
      <c r="DJ207" s="68"/>
      <c r="DK207" s="68"/>
      <c r="DL207" s="68"/>
      <c r="DM207" s="68"/>
      <c r="DN207" s="68"/>
      <c r="DO207" s="68"/>
      <c r="DP207" s="68"/>
      <c r="DQ207" s="99"/>
      <c r="DR207" s="99"/>
      <c r="DS207" s="68"/>
      <c r="DT207" s="68"/>
      <c r="DU207" s="68"/>
      <c r="DV207" s="68"/>
      <c r="DW207" s="68"/>
      <c r="DX207" s="68"/>
      <c r="DY207" s="68"/>
      <c r="DZ207" s="68"/>
      <c r="EA207" s="68"/>
      <c r="EB207" s="68"/>
      <c r="EC207" s="68"/>
      <c r="ED207" s="68"/>
      <c r="EE207" s="68"/>
      <c r="EF207" s="68"/>
      <c r="EG207" s="68"/>
      <c r="EH207" s="68"/>
      <c r="EI207" s="68"/>
      <c r="EJ207" s="68"/>
      <c r="EK207" s="68"/>
      <c r="EL207" s="68"/>
      <c r="EM207" s="68"/>
      <c r="EN207" s="68"/>
      <c r="EO207" s="68"/>
      <c r="EP207" s="68"/>
      <c r="EQ207" s="68"/>
      <c r="ER207" s="3"/>
      <c r="ES207" s="3"/>
      <c r="EW207"/>
      <c r="EX207"/>
      <c r="EY207"/>
      <c r="FB207" s="1"/>
    </row>
    <row r="208" spans="3:158" ht="20.25" customHeight="1" x14ac:dyDescent="0.25">
      <c r="C208" s="1"/>
      <c r="D208" s="97"/>
      <c r="E208" s="97"/>
      <c r="F208" s="98"/>
      <c r="G208" s="68"/>
      <c r="H208" s="68"/>
      <c r="I208" s="68"/>
      <c r="J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108"/>
      <c r="AO208" s="68"/>
      <c r="AP208" s="68"/>
      <c r="AQ208" s="68"/>
      <c r="AR208" s="68"/>
      <c r="AS208" s="68"/>
      <c r="AT208" s="66"/>
      <c r="AU208" s="68"/>
      <c r="AV208" s="68"/>
      <c r="AW208" s="68"/>
      <c r="AX208" s="66"/>
      <c r="AY208" s="68"/>
      <c r="AZ208" s="66"/>
      <c r="BA208" s="68"/>
      <c r="BB208" s="68"/>
      <c r="BC208" s="68"/>
      <c r="BD208" s="68"/>
      <c r="BE208" s="68"/>
      <c r="BF208" s="66"/>
      <c r="BG208" s="66"/>
      <c r="BH208" s="66"/>
      <c r="BI208" s="66"/>
      <c r="BJ208" s="66"/>
      <c r="BK208" s="66"/>
      <c r="BL208" s="66"/>
      <c r="BM208" s="66"/>
      <c r="BN208" s="66"/>
      <c r="BO208" s="66"/>
      <c r="BP208" s="66"/>
      <c r="BQ208" s="66"/>
      <c r="BR208" s="66"/>
      <c r="BS208" s="66"/>
      <c r="BT208" s="66"/>
      <c r="BU208" s="66"/>
      <c r="BV208" s="66"/>
      <c r="BW208" s="66"/>
      <c r="BX208" s="66"/>
      <c r="BY208" s="66"/>
      <c r="BZ208" s="66"/>
      <c r="CA208" s="66"/>
      <c r="CB208" s="66"/>
      <c r="CC208" s="66"/>
      <c r="CD208" s="66"/>
      <c r="CE208" s="66"/>
      <c r="CF208" s="68"/>
      <c r="CG208" s="68"/>
      <c r="CH208" s="66"/>
      <c r="CI208" s="66"/>
      <c r="CJ208" s="68"/>
      <c r="CK208" s="68"/>
      <c r="CL208" s="68"/>
      <c r="CM208" s="68"/>
      <c r="CN208" s="66"/>
      <c r="CO208" s="68"/>
      <c r="CP208" s="66"/>
      <c r="CQ208" s="68"/>
      <c r="CR208" s="68"/>
      <c r="CS208" s="68"/>
      <c r="CT208" s="68"/>
      <c r="CU208" s="68"/>
      <c r="CV208" s="68"/>
      <c r="CW208" s="68"/>
      <c r="CX208" s="68"/>
      <c r="CY208" s="68"/>
      <c r="CZ208" s="68"/>
      <c r="DA208" s="68"/>
      <c r="DB208" s="68"/>
      <c r="DC208" s="68"/>
      <c r="DD208" s="68"/>
      <c r="DE208" s="68"/>
      <c r="DF208" s="68"/>
      <c r="DG208" s="68"/>
      <c r="DH208" s="68"/>
      <c r="DI208" s="68"/>
      <c r="DJ208" s="68"/>
      <c r="DK208" s="68"/>
      <c r="DL208" s="68"/>
      <c r="DM208" s="68"/>
      <c r="DN208" s="68"/>
      <c r="DO208" s="68"/>
      <c r="DP208" s="68"/>
      <c r="DQ208" s="99"/>
      <c r="DR208" s="99"/>
      <c r="DS208" s="68"/>
      <c r="DT208" s="68"/>
      <c r="DU208" s="68"/>
      <c r="DV208" s="68"/>
      <c r="DW208" s="68"/>
      <c r="DX208" s="68"/>
      <c r="DY208" s="68"/>
      <c r="DZ208" s="68"/>
      <c r="EA208" s="68"/>
      <c r="EB208" s="68"/>
      <c r="EC208" s="68"/>
      <c r="ED208" s="68"/>
      <c r="EE208" s="68"/>
      <c r="EF208" s="68"/>
      <c r="EG208" s="68"/>
      <c r="EH208" s="68"/>
      <c r="EI208" s="68"/>
      <c r="EJ208" s="68"/>
      <c r="EK208" s="68"/>
      <c r="EL208" s="68"/>
      <c r="EM208" s="68"/>
      <c r="EN208" s="68"/>
      <c r="EO208" s="68"/>
      <c r="EP208" s="68"/>
      <c r="EQ208" s="68"/>
      <c r="ER208" s="3"/>
      <c r="ES208" s="3"/>
      <c r="EW208"/>
      <c r="EX208"/>
      <c r="EY208"/>
      <c r="FB208" s="1"/>
    </row>
    <row r="209" spans="3:158" ht="20.25" customHeight="1" x14ac:dyDescent="0.25">
      <c r="C209" s="1"/>
      <c r="D209" s="97"/>
      <c r="E209" s="97"/>
      <c r="F209" s="98"/>
      <c r="G209" s="68"/>
      <c r="H209" s="68"/>
      <c r="I209" s="68"/>
      <c r="J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108"/>
      <c r="AO209" s="68"/>
      <c r="AP209" s="68"/>
      <c r="AQ209" s="68"/>
      <c r="AR209" s="68"/>
      <c r="AS209" s="68"/>
      <c r="AT209" s="66"/>
      <c r="AU209" s="68"/>
      <c r="AV209" s="68"/>
      <c r="AW209" s="68"/>
      <c r="AX209" s="66"/>
      <c r="AY209" s="68"/>
      <c r="AZ209" s="66"/>
      <c r="BA209" s="68"/>
      <c r="BB209" s="68"/>
      <c r="BC209" s="68"/>
      <c r="BD209" s="68"/>
      <c r="BE209" s="68"/>
      <c r="BF209" s="66"/>
      <c r="BG209" s="66"/>
      <c r="BH209" s="66"/>
      <c r="BI209" s="66"/>
      <c r="BJ209" s="66"/>
      <c r="BK209" s="66"/>
      <c r="BL209" s="66"/>
      <c r="BM209" s="66"/>
      <c r="BN209" s="66"/>
      <c r="BO209" s="66"/>
      <c r="BP209" s="66"/>
      <c r="BQ209" s="66"/>
      <c r="BR209" s="66"/>
      <c r="BS209" s="66"/>
      <c r="BT209" s="66"/>
      <c r="BU209" s="66"/>
      <c r="BV209" s="66"/>
      <c r="BW209" s="66"/>
      <c r="BX209" s="66"/>
      <c r="BY209" s="66"/>
      <c r="BZ209" s="66"/>
      <c r="CA209" s="66"/>
      <c r="CB209" s="66"/>
      <c r="CC209" s="66"/>
      <c r="CD209" s="66"/>
      <c r="CE209" s="66"/>
      <c r="CF209" s="68"/>
      <c r="CG209" s="68"/>
      <c r="CH209" s="66"/>
      <c r="CI209" s="66"/>
      <c r="CJ209" s="68"/>
      <c r="CK209" s="68"/>
      <c r="CL209" s="68"/>
      <c r="CM209" s="68"/>
      <c r="CN209" s="66"/>
      <c r="CO209" s="68"/>
      <c r="CP209" s="66"/>
      <c r="CQ209" s="68"/>
      <c r="CR209" s="68"/>
      <c r="CS209" s="68"/>
      <c r="CT209" s="68"/>
      <c r="CU209" s="68"/>
      <c r="CV209" s="68"/>
      <c r="CW209" s="68"/>
      <c r="CX209" s="68"/>
      <c r="CY209" s="68"/>
      <c r="CZ209" s="68"/>
      <c r="DA209" s="68"/>
      <c r="DB209" s="68"/>
      <c r="DC209" s="68"/>
      <c r="DD209" s="68"/>
      <c r="DE209" s="68"/>
      <c r="DF209" s="68"/>
      <c r="DG209" s="68"/>
      <c r="DH209" s="68"/>
      <c r="DI209" s="68"/>
      <c r="DJ209" s="68"/>
      <c r="DK209" s="68"/>
      <c r="DL209" s="68"/>
      <c r="DM209" s="68"/>
      <c r="DN209" s="68"/>
      <c r="DO209" s="68"/>
      <c r="DP209" s="68"/>
      <c r="DQ209" s="99"/>
      <c r="DR209" s="99"/>
      <c r="DS209" s="68"/>
      <c r="DT209" s="68"/>
      <c r="DU209" s="68"/>
      <c r="DV209" s="68"/>
      <c r="DW209" s="68"/>
      <c r="DX209" s="68"/>
      <c r="DY209" s="68"/>
      <c r="DZ209" s="68"/>
      <c r="EA209" s="68"/>
      <c r="EB209" s="68"/>
      <c r="EC209" s="68"/>
      <c r="ED209" s="68"/>
      <c r="EE209" s="68"/>
      <c r="EF209" s="68"/>
      <c r="EG209" s="68"/>
      <c r="EH209" s="68"/>
      <c r="EI209" s="68"/>
      <c r="EJ209" s="68"/>
      <c r="EK209" s="68"/>
      <c r="EL209" s="68"/>
      <c r="EM209" s="68"/>
      <c r="EN209" s="68"/>
      <c r="EO209" s="68"/>
      <c r="EP209" s="68"/>
      <c r="EQ209" s="68"/>
      <c r="ER209" s="3"/>
      <c r="ES209" s="3"/>
      <c r="EW209"/>
      <c r="EX209"/>
      <c r="EY209"/>
      <c r="FB209" s="1"/>
    </row>
    <row r="210" spans="3:158" ht="20.25" customHeight="1" x14ac:dyDescent="0.25">
      <c r="C210" s="1"/>
      <c r="D210" s="97"/>
      <c r="E210" s="97"/>
      <c r="F210" s="9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108"/>
      <c r="AO210" s="68"/>
      <c r="AP210" s="68"/>
      <c r="AQ210" s="68"/>
      <c r="AR210" s="68"/>
      <c r="AS210" s="68"/>
      <c r="AT210" s="66"/>
      <c r="AU210" s="68"/>
      <c r="AV210" s="68"/>
      <c r="AW210" s="68"/>
      <c r="AX210" s="66"/>
      <c r="AY210" s="68"/>
      <c r="AZ210" s="66"/>
      <c r="BA210" s="68"/>
      <c r="BB210" s="68"/>
      <c r="BC210" s="68"/>
      <c r="BD210" s="68"/>
      <c r="BE210" s="68"/>
      <c r="BF210" s="66"/>
      <c r="BG210" s="66"/>
      <c r="BH210" s="66"/>
      <c r="BI210" s="66"/>
      <c r="BJ210" s="66"/>
      <c r="BK210" s="66"/>
      <c r="BL210" s="66"/>
      <c r="BM210" s="66"/>
      <c r="BN210" s="66"/>
      <c r="BO210" s="66"/>
      <c r="BP210" s="66"/>
      <c r="BQ210" s="66"/>
      <c r="BR210" s="66"/>
      <c r="BS210" s="66"/>
      <c r="BT210" s="66"/>
      <c r="BU210" s="66"/>
      <c r="BV210" s="66"/>
      <c r="BW210" s="66"/>
      <c r="BX210" s="66"/>
      <c r="BY210" s="66"/>
      <c r="BZ210" s="66"/>
      <c r="CA210" s="66"/>
      <c r="CB210" s="66"/>
      <c r="CC210" s="66"/>
      <c r="CD210" s="66"/>
      <c r="CE210" s="66"/>
      <c r="CF210" s="68"/>
      <c r="CG210" s="68"/>
      <c r="CH210" s="66"/>
      <c r="CI210" s="66"/>
      <c r="CJ210" s="68"/>
      <c r="CK210" s="68"/>
      <c r="CL210" s="68"/>
      <c r="CM210" s="68"/>
      <c r="CN210" s="66"/>
      <c r="CO210" s="68"/>
      <c r="CP210" s="66"/>
      <c r="CQ210" s="68"/>
      <c r="CR210" s="68"/>
      <c r="CS210" s="68"/>
      <c r="CT210" s="68"/>
      <c r="CU210" s="68"/>
      <c r="CV210" s="68"/>
      <c r="CW210" s="68"/>
      <c r="CX210" s="68"/>
      <c r="CY210" s="68"/>
      <c r="CZ210" s="68"/>
      <c r="DA210" s="68"/>
      <c r="DB210" s="68"/>
      <c r="DC210" s="68"/>
      <c r="DD210" s="68"/>
      <c r="DE210" s="68"/>
      <c r="DF210" s="68"/>
      <c r="DG210" s="68"/>
      <c r="DH210" s="68"/>
      <c r="DI210" s="68"/>
      <c r="DJ210" s="68"/>
      <c r="DK210" s="68"/>
      <c r="DL210" s="68"/>
      <c r="DM210" s="68"/>
      <c r="DN210" s="68"/>
      <c r="DO210" s="68"/>
      <c r="DP210" s="68"/>
      <c r="DQ210" s="99"/>
      <c r="DR210" s="99"/>
      <c r="DS210" s="68"/>
      <c r="DT210" s="68"/>
      <c r="DU210" s="68"/>
      <c r="DV210" s="68"/>
      <c r="DW210" s="68"/>
      <c r="DX210" s="68"/>
      <c r="DY210" s="68"/>
      <c r="DZ210" s="68"/>
      <c r="EA210" s="68"/>
      <c r="EB210" s="68"/>
      <c r="EC210" s="68"/>
      <c r="ED210" s="68"/>
      <c r="EE210" s="68"/>
      <c r="EF210" s="68"/>
      <c r="EG210" s="68"/>
      <c r="EH210" s="68"/>
      <c r="EI210" s="68"/>
      <c r="EJ210" s="68"/>
      <c r="EK210" s="68"/>
      <c r="EL210" s="68"/>
      <c r="EM210" s="68"/>
      <c r="EN210" s="68"/>
      <c r="EO210" s="68"/>
      <c r="EP210" s="68"/>
      <c r="EQ210" s="68"/>
      <c r="ER210" s="3"/>
      <c r="ES210" s="3"/>
      <c r="EW210"/>
      <c r="EX210"/>
      <c r="EY210"/>
      <c r="FB210" s="1"/>
    </row>
    <row r="211" spans="3:158" ht="20.25" customHeight="1" x14ac:dyDescent="0.25">
      <c r="C211" s="1"/>
      <c r="D211" s="97"/>
      <c r="E211" s="97"/>
      <c r="F211" s="98"/>
      <c r="G211" s="68"/>
      <c r="H211" s="68"/>
      <c r="I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108"/>
      <c r="AO211" s="68"/>
      <c r="AP211" s="68"/>
      <c r="AQ211" s="68"/>
      <c r="AR211" s="68"/>
      <c r="AS211" s="68"/>
      <c r="AT211" s="66"/>
      <c r="AU211" s="68"/>
      <c r="AV211" s="68"/>
      <c r="AW211" s="68"/>
      <c r="AX211" s="66"/>
      <c r="AY211" s="68"/>
      <c r="AZ211" s="66"/>
      <c r="BA211" s="68"/>
      <c r="BB211" s="68"/>
      <c r="BC211" s="68"/>
      <c r="BD211" s="68"/>
      <c r="BE211" s="68"/>
      <c r="BF211" s="66"/>
      <c r="BG211" s="66"/>
      <c r="BH211" s="66"/>
      <c r="BI211" s="66"/>
      <c r="BJ211" s="66"/>
      <c r="BK211" s="66"/>
      <c r="BL211" s="66"/>
      <c r="BM211" s="66"/>
      <c r="BN211" s="66"/>
      <c r="BO211" s="66"/>
      <c r="BP211" s="66"/>
      <c r="BQ211" s="66"/>
      <c r="BR211" s="66"/>
      <c r="BS211" s="66"/>
      <c r="BT211" s="66"/>
      <c r="BU211" s="66"/>
      <c r="BV211" s="66"/>
      <c r="BW211" s="66"/>
      <c r="BX211" s="66"/>
      <c r="BY211" s="66"/>
      <c r="BZ211" s="66"/>
      <c r="CA211" s="66"/>
      <c r="CB211" s="66"/>
      <c r="CC211" s="66"/>
      <c r="CD211" s="66"/>
      <c r="CE211" s="66"/>
      <c r="CF211" s="68"/>
      <c r="CG211" s="68"/>
      <c r="CH211" s="66"/>
      <c r="CI211" s="66"/>
      <c r="CJ211" s="68"/>
      <c r="CK211" s="68"/>
      <c r="CL211" s="68"/>
      <c r="CM211" s="68"/>
      <c r="CN211" s="66"/>
      <c r="CO211" s="68"/>
      <c r="CP211" s="66"/>
      <c r="CQ211" s="68"/>
      <c r="CR211" s="68"/>
      <c r="CS211" s="68"/>
      <c r="CT211" s="68"/>
      <c r="CU211" s="68"/>
      <c r="CV211" s="68"/>
      <c r="CW211" s="68"/>
      <c r="CX211" s="68"/>
      <c r="CY211" s="68"/>
      <c r="CZ211" s="68"/>
      <c r="DA211" s="68"/>
      <c r="DB211" s="68"/>
      <c r="DC211" s="68"/>
      <c r="DD211" s="68"/>
      <c r="DE211" s="68"/>
      <c r="DF211" s="68"/>
      <c r="DG211" s="68"/>
      <c r="DH211" s="68"/>
      <c r="DI211" s="68"/>
      <c r="DJ211" s="68"/>
      <c r="DK211" s="68"/>
      <c r="DL211" s="68"/>
      <c r="DM211" s="68"/>
      <c r="DN211" s="68"/>
      <c r="DO211" s="68"/>
      <c r="DP211" s="68"/>
      <c r="DQ211" s="99"/>
      <c r="DR211" s="99"/>
      <c r="DS211" s="68"/>
      <c r="DT211" s="68"/>
      <c r="DU211" s="68"/>
      <c r="DV211" s="68"/>
      <c r="DW211" s="68"/>
      <c r="DX211" s="68"/>
      <c r="DY211" s="68"/>
      <c r="DZ211" s="68"/>
      <c r="EA211" s="68"/>
      <c r="EB211" s="68"/>
      <c r="EC211" s="68"/>
      <c r="ED211" s="68"/>
      <c r="EE211" s="68"/>
      <c r="EF211" s="68"/>
      <c r="EG211" s="68"/>
      <c r="EH211" s="68"/>
      <c r="EI211" s="68"/>
      <c r="EJ211" s="68"/>
      <c r="EK211" s="68"/>
      <c r="EL211" s="68"/>
      <c r="EM211" s="68"/>
      <c r="EN211" s="68"/>
      <c r="EO211" s="68"/>
      <c r="EP211" s="68"/>
      <c r="EQ211" s="68"/>
      <c r="ER211" s="3"/>
      <c r="ES211" s="3"/>
      <c r="EW211"/>
      <c r="EX211"/>
      <c r="EY211"/>
      <c r="FB211" s="1"/>
    </row>
    <row r="212" spans="3:158" ht="20.25" customHeight="1" x14ac:dyDescent="0.25">
      <c r="C212" s="1"/>
      <c r="D212" s="97"/>
      <c r="E212" s="97"/>
      <c r="F212" s="98"/>
      <c r="G212" s="68"/>
      <c r="H212" s="68"/>
      <c r="I212" s="68"/>
      <c r="J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108"/>
      <c r="AO212" s="68"/>
      <c r="AP212" s="68"/>
      <c r="AQ212" s="68"/>
      <c r="AR212" s="68"/>
      <c r="AS212" s="68"/>
      <c r="AT212" s="66"/>
      <c r="AU212" s="68"/>
      <c r="AV212" s="68"/>
      <c r="AW212" s="68"/>
      <c r="AX212" s="66"/>
      <c r="AY212" s="68"/>
      <c r="AZ212" s="66"/>
      <c r="BA212" s="68"/>
      <c r="BB212" s="68"/>
      <c r="BC212" s="68"/>
      <c r="BD212" s="68"/>
      <c r="BE212" s="68"/>
      <c r="BF212" s="66"/>
      <c r="BG212" s="66"/>
      <c r="BH212" s="66"/>
      <c r="BI212" s="66"/>
      <c r="BJ212" s="66"/>
      <c r="BK212" s="66"/>
      <c r="BL212" s="66"/>
      <c r="BM212" s="66"/>
      <c r="BN212" s="66"/>
      <c r="BO212" s="66"/>
      <c r="BP212" s="66"/>
      <c r="BQ212" s="66"/>
      <c r="BR212" s="66"/>
      <c r="BS212" s="66"/>
      <c r="BT212" s="66"/>
      <c r="BU212" s="66"/>
      <c r="BV212" s="66"/>
      <c r="BW212" s="66"/>
      <c r="BX212" s="66"/>
      <c r="BY212" s="66"/>
      <c r="BZ212" s="66"/>
      <c r="CA212" s="66"/>
      <c r="CB212" s="66"/>
      <c r="CC212" s="66"/>
      <c r="CD212" s="66"/>
      <c r="CE212" s="66"/>
      <c r="CF212" s="68"/>
      <c r="CG212" s="68"/>
      <c r="CH212" s="66"/>
      <c r="CI212" s="66"/>
      <c r="CJ212" s="68"/>
      <c r="CK212" s="68"/>
      <c r="CL212" s="68"/>
      <c r="CM212" s="68"/>
      <c r="CN212" s="66"/>
      <c r="CO212" s="68"/>
      <c r="CP212" s="66"/>
      <c r="CQ212" s="68"/>
      <c r="CR212" s="68"/>
      <c r="CS212" s="68"/>
      <c r="CT212" s="68"/>
      <c r="CU212" s="68"/>
      <c r="CV212" s="68"/>
      <c r="CW212" s="68"/>
      <c r="CX212" s="68"/>
      <c r="CY212" s="68"/>
      <c r="CZ212" s="68"/>
      <c r="DA212" s="68"/>
      <c r="DB212" s="68"/>
      <c r="DC212" s="68"/>
      <c r="DD212" s="68"/>
      <c r="DE212" s="68"/>
      <c r="DF212" s="68"/>
      <c r="DG212" s="68"/>
      <c r="DH212" s="68"/>
      <c r="DI212" s="68"/>
      <c r="DJ212" s="68"/>
      <c r="DK212" s="68"/>
      <c r="DL212" s="68"/>
      <c r="DM212" s="68"/>
      <c r="DN212" s="68"/>
      <c r="DO212" s="68"/>
      <c r="DP212" s="68"/>
      <c r="DQ212" s="99"/>
      <c r="DR212" s="99"/>
      <c r="DS212" s="68"/>
      <c r="DT212" s="68"/>
      <c r="DU212" s="68"/>
      <c r="DV212" s="68"/>
      <c r="DW212" s="68"/>
      <c r="DX212" s="68"/>
      <c r="DY212" s="68"/>
      <c r="DZ212" s="68"/>
      <c r="EA212" s="68"/>
      <c r="EB212" s="68"/>
      <c r="EC212" s="68"/>
      <c r="ED212" s="68"/>
      <c r="EE212" s="68"/>
      <c r="EF212" s="68"/>
      <c r="EG212" s="68"/>
      <c r="EH212" s="68"/>
      <c r="EI212" s="68"/>
      <c r="EJ212" s="68"/>
      <c r="EK212" s="68"/>
      <c r="EL212" s="68"/>
      <c r="EM212" s="68"/>
      <c r="EN212" s="68"/>
      <c r="EO212" s="68"/>
      <c r="EP212" s="68"/>
      <c r="EQ212" s="68"/>
      <c r="ER212" s="3"/>
      <c r="ES212" s="3"/>
      <c r="EW212"/>
      <c r="EX212"/>
      <c r="EY212"/>
      <c r="FB212" s="1"/>
    </row>
    <row r="213" spans="3:158" ht="20.25" customHeight="1" x14ac:dyDescent="0.25">
      <c r="C213" s="1"/>
      <c r="D213" s="97"/>
      <c r="E213" s="97"/>
      <c r="F213" s="98"/>
      <c r="G213" s="68"/>
      <c r="H213" s="68"/>
      <c r="I213" s="68"/>
      <c r="J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108"/>
      <c r="AO213" s="68"/>
      <c r="AP213" s="68"/>
      <c r="AQ213" s="68"/>
      <c r="AR213" s="68"/>
      <c r="AS213" s="68"/>
      <c r="AT213" s="66"/>
      <c r="AU213" s="68"/>
      <c r="AV213" s="68"/>
      <c r="AW213" s="68"/>
      <c r="AX213" s="66"/>
      <c r="AY213" s="68"/>
      <c r="AZ213" s="66"/>
      <c r="BA213" s="68"/>
      <c r="BB213" s="68"/>
      <c r="BC213" s="68"/>
      <c r="BD213" s="68"/>
      <c r="BE213" s="68"/>
      <c r="BF213" s="66"/>
      <c r="BG213" s="66"/>
      <c r="BH213" s="66"/>
      <c r="BI213" s="66"/>
      <c r="BJ213" s="66"/>
      <c r="BK213" s="66"/>
      <c r="BL213" s="66"/>
      <c r="BM213" s="66"/>
      <c r="BN213" s="66"/>
      <c r="BO213" s="66"/>
      <c r="BP213" s="66"/>
      <c r="BQ213" s="66"/>
      <c r="BR213" s="66"/>
      <c r="BS213" s="66"/>
      <c r="BT213" s="66"/>
      <c r="BU213" s="66"/>
      <c r="BV213" s="66"/>
      <c r="BW213" s="66"/>
      <c r="BX213" s="66"/>
      <c r="BY213" s="66"/>
      <c r="BZ213" s="66"/>
      <c r="CA213" s="66"/>
      <c r="CB213" s="66"/>
      <c r="CC213" s="66"/>
      <c r="CD213" s="66"/>
      <c r="CE213" s="66"/>
      <c r="CF213" s="68"/>
      <c r="CG213" s="68"/>
      <c r="CH213" s="66"/>
      <c r="CI213" s="66"/>
      <c r="CJ213" s="68"/>
      <c r="CK213" s="68"/>
      <c r="CL213" s="68"/>
      <c r="CM213" s="68"/>
      <c r="CN213" s="66"/>
      <c r="CO213" s="68"/>
      <c r="CP213" s="66"/>
      <c r="CQ213" s="68"/>
      <c r="CR213" s="68"/>
      <c r="CS213" s="68"/>
      <c r="CT213" s="68"/>
      <c r="CU213" s="68"/>
      <c r="CV213" s="68"/>
      <c r="CW213" s="68"/>
      <c r="CX213" s="68"/>
      <c r="CY213" s="68"/>
      <c r="CZ213" s="68"/>
      <c r="DA213" s="68"/>
      <c r="DB213" s="68"/>
      <c r="DC213" s="68"/>
      <c r="DD213" s="68"/>
      <c r="DE213" s="68"/>
      <c r="DF213" s="68"/>
      <c r="DG213" s="68"/>
      <c r="DH213" s="68"/>
      <c r="DI213" s="68"/>
      <c r="DJ213" s="68"/>
      <c r="DK213" s="68"/>
      <c r="DL213" s="68"/>
      <c r="DM213" s="68"/>
      <c r="DN213" s="68"/>
      <c r="DO213" s="68"/>
      <c r="DP213" s="68"/>
      <c r="DQ213" s="99"/>
      <c r="DR213" s="99"/>
      <c r="DS213" s="68"/>
      <c r="DT213" s="68"/>
      <c r="DU213" s="68"/>
      <c r="DV213" s="68"/>
      <c r="DW213" s="68"/>
      <c r="DX213" s="68"/>
      <c r="DY213" s="68"/>
      <c r="DZ213" s="68"/>
      <c r="EA213" s="68"/>
      <c r="EB213" s="68"/>
      <c r="EC213" s="68"/>
      <c r="ED213" s="68"/>
      <c r="EE213" s="68"/>
      <c r="EF213" s="68"/>
      <c r="EG213" s="68"/>
      <c r="EH213" s="68"/>
      <c r="EI213" s="68"/>
      <c r="EJ213" s="68"/>
      <c r="EK213" s="68"/>
      <c r="EL213" s="68"/>
      <c r="EM213" s="68"/>
      <c r="EN213" s="68"/>
      <c r="EO213" s="68"/>
      <c r="EP213" s="68"/>
      <c r="EQ213" s="68"/>
      <c r="ER213" s="3"/>
      <c r="ES213" s="3"/>
      <c r="EW213"/>
      <c r="EX213"/>
      <c r="EY213"/>
      <c r="FB213" s="1"/>
    </row>
    <row r="214" spans="3:158" ht="20.25" customHeight="1" x14ac:dyDescent="0.25">
      <c r="C214" s="1"/>
      <c r="D214" s="97"/>
      <c r="E214" s="97"/>
      <c r="F214" s="98"/>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108"/>
      <c r="AO214" s="68"/>
      <c r="AP214" s="68"/>
      <c r="AQ214" s="68"/>
      <c r="AR214" s="68"/>
      <c r="AS214" s="68"/>
      <c r="AT214" s="66"/>
      <c r="AU214" s="68"/>
      <c r="AV214" s="68"/>
      <c r="AW214" s="68"/>
      <c r="AX214" s="66"/>
      <c r="AY214" s="68"/>
      <c r="AZ214" s="66"/>
      <c r="BA214" s="68"/>
      <c r="BB214" s="68"/>
      <c r="BC214" s="68"/>
      <c r="BD214" s="68"/>
      <c r="BE214" s="68"/>
      <c r="BF214" s="66"/>
      <c r="BG214" s="66"/>
      <c r="BH214" s="66"/>
      <c r="BI214" s="66"/>
      <c r="BJ214" s="66"/>
      <c r="BK214" s="66"/>
      <c r="BL214" s="66"/>
      <c r="BM214" s="66"/>
      <c r="BN214" s="66"/>
      <c r="BO214" s="66"/>
      <c r="BP214" s="66"/>
      <c r="BQ214" s="66"/>
      <c r="BR214" s="66"/>
      <c r="BS214" s="66"/>
      <c r="BT214" s="66"/>
      <c r="BU214" s="66"/>
      <c r="BV214" s="66"/>
      <c r="BW214" s="66"/>
      <c r="BX214" s="66"/>
      <c r="BY214" s="66"/>
      <c r="BZ214" s="66"/>
      <c r="CA214" s="66"/>
      <c r="CB214" s="66"/>
      <c r="CC214" s="66"/>
      <c r="CD214" s="66"/>
      <c r="CE214" s="66"/>
      <c r="CF214" s="68"/>
      <c r="CG214" s="68"/>
      <c r="CH214" s="66"/>
      <c r="CI214" s="66"/>
      <c r="CJ214" s="68"/>
      <c r="CK214" s="68"/>
      <c r="CL214" s="68"/>
      <c r="CM214" s="68"/>
      <c r="CN214" s="66"/>
      <c r="CO214" s="68"/>
      <c r="CP214" s="66"/>
      <c r="CQ214" s="68"/>
      <c r="CR214" s="68"/>
      <c r="CS214" s="68"/>
      <c r="CT214" s="68"/>
      <c r="CU214" s="68"/>
      <c r="CV214" s="68"/>
      <c r="CW214" s="68"/>
      <c r="CX214" s="68"/>
      <c r="CY214" s="68"/>
      <c r="CZ214" s="68"/>
      <c r="DA214" s="68"/>
      <c r="DB214" s="68"/>
      <c r="DC214" s="68"/>
      <c r="DD214" s="68"/>
      <c r="DE214" s="68"/>
      <c r="DF214" s="68"/>
      <c r="DG214" s="68"/>
      <c r="DH214" s="68"/>
      <c r="DI214" s="68"/>
      <c r="DJ214" s="68"/>
      <c r="DK214" s="68"/>
      <c r="DL214" s="68"/>
      <c r="DM214" s="68"/>
      <c r="DN214" s="68"/>
      <c r="DO214" s="68"/>
      <c r="DP214" s="68"/>
      <c r="DQ214" s="99"/>
      <c r="DR214" s="99"/>
      <c r="DS214" s="68"/>
      <c r="DT214" s="68"/>
      <c r="DU214" s="68"/>
      <c r="DV214" s="68"/>
      <c r="DW214" s="68"/>
      <c r="DX214" s="68"/>
      <c r="DY214" s="68"/>
      <c r="DZ214" s="68"/>
      <c r="EA214" s="68"/>
      <c r="EB214" s="68"/>
      <c r="EC214" s="68"/>
      <c r="ED214" s="68"/>
      <c r="EE214" s="68"/>
      <c r="EF214" s="68"/>
      <c r="EG214" s="68"/>
      <c r="EH214" s="68"/>
      <c r="EI214" s="68"/>
      <c r="EJ214" s="68"/>
      <c r="EK214" s="68"/>
      <c r="EL214" s="68"/>
      <c r="EM214" s="68"/>
      <c r="EN214" s="68"/>
      <c r="EO214" s="68"/>
      <c r="EP214" s="68"/>
      <c r="EQ214" s="68"/>
      <c r="ER214" s="3"/>
      <c r="ES214" s="3"/>
      <c r="EW214"/>
      <c r="EX214"/>
      <c r="EY214"/>
      <c r="FB214" s="1"/>
    </row>
    <row r="215" spans="3:158" ht="20.25" customHeight="1" x14ac:dyDescent="0.25">
      <c r="C215" s="1"/>
      <c r="D215" s="97"/>
      <c r="E215" s="97"/>
      <c r="F215" s="98"/>
      <c r="G215" s="68"/>
      <c r="H215" s="68"/>
      <c r="I215" s="68"/>
      <c r="J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108"/>
      <c r="AO215" s="68"/>
      <c r="AP215" s="68"/>
      <c r="AQ215" s="68"/>
      <c r="AR215" s="68"/>
      <c r="AS215" s="68"/>
      <c r="AT215" s="66"/>
      <c r="AU215" s="68"/>
      <c r="AV215" s="68"/>
      <c r="AW215" s="68"/>
      <c r="AX215" s="66"/>
      <c r="AY215" s="68"/>
      <c r="AZ215" s="66"/>
      <c r="BA215" s="68"/>
      <c r="BB215" s="68"/>
      <c r="BC215" s="68"/>
      <c r="BD215" s="68"/>
      <c r="BE215" s="68"/>
      <c r="BF215" s="66"/>
      <c r="BG215" s="66"/>
      <c r="BH215" s="66"/>
      <c r="BI215" s="66"/>
      <c r="BJ215" s="66"/>
      <c r="BK215" s="66"/>
      <c r="BL215" s="66"/>
      <c r="BM215" s="66"/>
      <c r="BN215" s="66"/>
      <c r="BO215" s="66"/>
      <c r="BP215" s="66"/>
      <c r="BQ215" s="66"/>
      <c r="BR215" s="66"/>
      <c r="BS215" s="66"/>
      <c r="BT215" s="66"/>
      <c r="BU215" s="66"/>
      <c r="BV215" s="66"/>
      <c r="BW215" s="66"/>
      <c r="BX215" s="66"/>
      <c r="BY215" s="66"/>
      <c r="BZ215" s="66"/>
      <c r="CA215" s="66"/>
      <c r="CB215" s="66"/>
      <c r="CC215" s="66"/>
      <c r="CD215" s="66"/>
      <c r="CE215" s="66"/>
      <c r="CF215" s="68"/>
      <c r="CG215" s="68"/>
      <c r="CH215" s="66"/>
      <c r="CI215" s="66"/>
      <c r="CJ215" s="68"/>
      <c r="CK215" s="68"/>
      <c r="CL215" s="68"/>
      <c r="CM215" s="68"/>
      <c r="CN215" s="66"/>
      <c r="CO215" s="68"/>
      <c r="CP215" s="66"/>
      <c r="CQ215" s="68"/>
      <c r="CR215" s="68"/>
      <c r="CS215" s="68"/>
      <c r="CT215" s="68"/>
      <c r="CU215" s="68"/>
      <c r="CV215" s="68"/>
      <c r="CW215" s="68"/>
      <c r="CX215" s="68"/>
      <c r="CY215" s="68"/>
      <c r="CZ215" s="68"/>
      <c r="DA215" s="68"/>
      <c r="DB215" s="68"/>
      <c r="DC215" s="68"/>
      <c r="DD215" s="68"/>
      <c r="DE215" s="68"/>
      <c r="DF215" s="68"/>
      <c r="DG215" s="68"/>
      <c r="DH215" s="68"/>
      <c r="DI215" s="68"/>
      <c r="DJ215" s="68"/>
      <c r="DK215" s="68"/>
      <c r="DL215" s="68"/>
      <c r="DM215" s="68"/>
      <c r="DN215" s="68"/>
      <c r="DO215" s="68"/>
      <c r="DP215" s="68"/>
      <c r="DQ215" s="99"/>
      <c r="DR215" s="99"/>
      <c r="DS215" s="68"/>
      <c r="DT215" s="68"/>
      <c r="DU215" s="68"/>
      <c r="DV215" s="68"/>
      <c r="DW215" s="68"/>
      <c r="DX215" s="68"/>
      <c r="DY215" s="68"/>
      <c r="DZ215" s="68"/>
      <c r="EA215" s="68"/>
      <c r="EB215" s="68"/>
      <c r="EC215" s="68"/>
      <c r="ED215" s="68"/>
      <c r="EE215" s="68"/>
      <c r="EF215" s="68"/>
      <c r="EG215" s="68"/>
      <c r="EH215" s="68"/>
      <c r="EI215" s="68"/>
      <c r="EJ215" s="68"/>
      <c r="EK215" s="68"/>
      <c r="EL215" s="68"/>
      <c r="EM215" s="68"/>
      <c r="EN215" s="68"/>
      <c r="EO215" s="68"/>
      <c r="EP215" s="68"/>
      <c r="EQ215" s="68"/>
      <c r="ER215" s="3"/>
      <c r="ES215" s="3"/>
      <c r="EW215"/>
      <c r="EX215"/>
      <c r="EY215"/>
      <c r="FB215" s="1"/>
    </row>
    <row r="216" spans="3:158" ht="20.25" customHeight="1" x14ac:dyDescent="0.25">
      <c r="C216" s="1"/>
      <c r="D216" s="97"/>
      <c r="E216" s="97"/>
      <c r="F216" s="9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108"/>
      <c r="AO216" s="68"/>
      <c r="AP216" s="68"/>
      <c r="AQ216" s="68"/>
      <c r="AR216" s="68"/>
      <c r="AS216" s="68"/>
      <c r="AT216" s="66"/>
      <c r="AU216" s="68"/>
      <c r="AV216" s="68"/>
      <c r="AW216" s="68"/>
      <c r="AX216" s="66"/>
      <c r="AY216" s="68"/>
      <c r="AZ216" s="66"/>
      <c r="BA216" s="68"/>
      <c r="BB216" s="68"/>
      <c r="BC216" s="68"/>
      <c r="BD216" s="68"/>
      <c r="BE216" s="68"/>
      <c r="BF216" s="66"/>
      <c r="BG216" s="66"/>
      <c r="BH216" s="66"/>
      <c r="BI216" s="66"/>
      <c r="BJ216" s="66"/>
      <c r="BK216" s="66"/>
      <c r="BL216" s="66"/>
      <c r="BM216" s="66"/>
      <c r="BN216" s="66"/>
      <c r="BO216" s="66"/>
      <c r="BP216" s="66"/>
      <c r="BQ216" s="66"/>
      <c r="BR216" s="66"/>
      <c r="BS216" s="66"/>
      <c r="BT216" s="66"/>
      <c r="BU216" s="66"/>
      <c r="BV216" s="66"/>
      <c r="BW216" s="66"/>
      <c r="BX216" s="66"/>
      <c r="BY216" s="66"/>
      <c r="BZ216" s="66"/>
      <c r="CA216" s="66"/>
      <c r="CB216" s="66"/>
      <c r="CC216" s="66"/>
      <c r="CD216" s="66"/>
      <c r="CE216" s="66"/>
      <c r="CF216" s="68"/>
      <c r="CG216" s="68"/>
      <c r="CH216" s="66"/>
      <c r="CI216" s="66"/>
      <c r="CJ216" s="68"/>
      <c r="CK216" s="68"/>
      <c r="CL216" s="68"/>
      <c r="CM216" s="68"/>
      <c r="CN216" s="66"/>
      <c r="CO216" s="68"/>
      <c r="CP216" s="66"/>
      <c r="CQ216" s="68"/>
      <c r="CR216" s="68"/>
      <c r="CS216" s="68"/>
      <c r="CT216" s="68"/>
      <c r="CU216" s="68"/>
      <c r="CV216" s="68"/>
      <c r="CW216" s="68"/>
      <c r="CX216" s="68"/>
      <c r="CY216" s="68"/>
      <c r="CZ216" s="68"/>
      <c r="DA216" s="68"/>
      <c r="DB216" s="68"/>
      <c r="DC216" s="68"/>
      <c r="DD216" s="68"/>
      <c r="DE216" s="68"/>
      <c r="DF216" s="68"/>
      <c r="DG216" s="68"/>
      <c r="DH216" s="68"/>
      <c r="DI216" s="68"/>
      <c r="DJ216" s="68"/>
      <c r="DK216" s="68"/>
      <c r="DL216" s="68"/>
      <c r="DM216" s="68"/>
      <c r="DN216" s="68"/>
      <c r="DO216" s="68"/>
      <c r="DP216" s="68"/>
      <c r="DQ216" s="99"/>
      <c r="DR216" s="99"/>
      <c r="DS216" s="68"/>
      <c r="DT216" s="68"/>
      <c r="DU216" s="68"/>
      <c r="DV216" s="68"/>
      <c r="DW216" s="68"/>
      <c r="DX216" s="68"/>
      <c r="DY216" s="68"/>
      <c r="DZ216" s="68"/>
      <c r="EA216" s="68"/>
      <c r="EB216" s="68"/>
      <c r="EC216" s="68"/>
      <c r="ED216" s="68"/>
      <c r="EE216" s="68"/>
      <c r="EF216" s="68"/>
      <c r="EG216" s="68"/>
      <c r="EH216" s="68"/>
      <c r="EI216" s="68"/>
      <c r="EJ216" s="68"/>
      <c r="EK216" s="68"/>
      <c r="EL216" s="68"/>
      <c r="EM216" s="68"/>
      <c r="EN216" s="68"/>
      <c r="EO216" s="68"/>
      <c r="EP216" s="68"/>
      <c r="EQ216" s="68"/>
      <c r="ER216" s="3"/>
      <c r="ES216" s="3"/>
      <c r="EW216"/>
      <c r="EX216"/>
      <c r="EY216"/>
      <c r="FB216" s="1"/>
    </row>
    <row r="217" spans="3:158" ht="20.25" customHeight="1" x14ac:dyDescent="0.25">
      <c r="C217" s="1"/>
      <c r="D217" s="97"/>
      <c r="E217" s="97"/>
      <c r="F217" s="98"/>
      <c r="G217" s="68"/>
      <c r="H217" s="68"/>
      <c r="I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108"/>
      <c r="AO217" s="68"/>
      <c r="AP217" s="68"/>
      <c r="AQ217" s="68"/>
      <c r="AR217" s="68"/>
      <c r="AS217" s="68"/>
      <c r="AT217" s="66"/>
      <c r="AU217" s="68"/>
      <c r="AV217" s="68"/>
      <c r="AW217" s="68"/>
      <c r="AX217" s="66"/>
      <c r="AY217" s="68"/>
      <c r="AZ217" s="66"/>
      <c r="BA217" s="68"/>
      <c r="BB217" s="68"/>
      <c r="BC217" s="68"/>
      <c r="BD217" s="68"/>
      <c r="BE217" s="68"/>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c r="CF217" s="68"/>
      <c r="CG217" s="68"/>
      <c r="CH217" s="66"/>
      <c r="CI217" s="66"/>
      <c r="CJ217" s="68"/>
      <c r="CK217" s="68"/>
      <c r="CL217" s="68"/>
      <c r="CM217" s="68"/>
      <c r="CN217" s="66"/>
      <c r="CO217" s="68"/>
      <c r="CP217" s="66"/>
      <c r="CQ217" s="68"/>
      <c r="CR217" s="68"/>
      <c r="CS217" s="68"/>
      <c r="CT217" s="68"/>
      <c r="CU217" s="68"/>
      <c r="CV217" s="68"/>
      <c r="CW217" s="68"/>
      <c r="CX217" s="68"/>
      <c r="CY217" s="68"/>
      <c r="CZ217" s="68"/>
      <c r="DA217" s="68"/>
      <c r="DB217" s="68"/>
      <c r="DC217" s="68"/>
      <c r="DD217" s="68"/>
      <c r="DE217" s="68"/>
      <c r="DF217" s="68"/>
      <c r="DG217" s="68"/>
      <c r="DH217" s="68"/>
      <c r="DI217" s="68"/>
      <c r="DJ217" s="68"/>
      <c r="DK217" s="68"/>
      <c r="DL217" s="68"/>
      <c r="DM217" s="68"/>
      <c r="DN217" s="68"/>
      <c r="DO217" s="68"/>
      <c r="DP217" s="68"/>
      <c r="DQ217" s="99"/>
      <c r="DR217" s="99"/>
      <c r="DS217" s="68"/>
      <c r="DT217" s="68"/>
      <c r="DU217" s="68"/>
      <c r="DV217" s="68"/>
      <c r="DW217" s="68"/>
      <c r="DX217" s="68"/>
      <c r="DY217" s="68"/>
      <c r="DZ217" s="68"/>
      <c r="EA217" s="68"/>
      <c r="EB217" s="68"/>
      <c r="EC217" s="68"/>
      <c r="ED217" s="68"/>
      <c r="EE217" s="68"/>
      <c r="EF217" s="68"/>
      <c r="EG217" s="68"/>
      <c r="EH217" s="68"/>
      <c r="EI217" s="68"/>
      <c r="EJ217" s="68"/>
      <c r="EK217" s="68"/>
      <c r="EL217" s="68"/>
      <c r="EM217" s="68"/>
      <c r="EN217" s="68"/>
      <c r="EO217" s="68"/>
      <c r="EP217" s="68"/>
      <c r="EQ217" s="68"/>
      <c r="ER217" s="3"/>
      <c r="ES217" s="3"/>
      <c r="EW217"/>
      <c r="EX217"/>
      <c r="EY217"/>
      <c r="FB217" s="1"/>
    </row>
    <row r="218" spans="3:158" ht="20.25" customHeight="1" x14ac:dyDescent="0.25">
      <c r="C218" s="1"/>
      <c r="D218" s="97"/>
      <c r="E218" s="97"/>
      <c r="F218" s="98"/>
      <c r="G218" s="68"/>
      <c r="H218" s="68"/>
      <c r="I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108"/>
      <c r="AO218" s="68"/>
      <c r="AP218" s="68"/>
      <c r="AQ218" s="68"/>
      <c r="AR218" s="68"/>
      <c r="AS218" s="68"/>
      <c r="AT218" s="66"/>
      <c r="AU218" s="68"/>
      <c r="AV218" s="68"/>
      <c r="AW218" s="68"/>
      <c r="AX218" s="66"/>
      <c r="AY218" s="68"/>
      <c r="AZ218" s="66"/>
      <c r="BA218" s="68"/>
      <c r="BB218" s="68"/>
      <c r="BC218" s="68"/>
      <c r="BD218" s="68"/>
      <c r="BE218" s="68"/>
      <c r="BF218" s="66"/>
      <c r="BG218" s="66"/>
      <c r="BH218" s="66"/>
      <c r="BI218" s="66"/>
      <c r="BJ218" s="66"/>
      <c r="BK218" s="66"/>
      <c r="BL218" s="66"/>
      <c r="BM218" s="66"/>
      <c r="BN218" s="66"/>
      <c r="BO218" s="66"/>
      <c r="BP218" s="66"/>
      <c r="BQ218" s="66"/>
      <c r="BR218" s="66"/>
      <c r="BS218" s="66"/>
      <c r="BT218" s="66"/>
      <c r="BU218" s="66"/>
      <c r="BV218" s="66"/>
      <c r="BW218" s="66"/>
      <c r="BX218" s="66"/>
      <c r="BY218" s="66"/>
      <c r="BZ218" s="66"/>
      <c r="CA218" s="66"/>
      <c r="CB218" s="66"/>
      <c r="CC218" s="66"/>
      <c r="CD218" s="66"/>
      <c r="CE218" s="66"/>
      <c r="CF218" s="68"/>
      <c r="CG218" s="68"/>
      <c r="CH218" s="66"/>
      <c r="CI218" s="66"/>
      <c r="CJ218" s="68"/>
      <c r="CK218" s="68"/>
      <c r="CL218" s="68"/>
      <c r="CM218" s="68"/>
      <c r="CN218" s="66"/>
      <c r="CO218" s="68"/>
      <c r="CP218" s="66"/>
      <c r="CQ218" s="68"/>
      <c r="CR218" s="68"/>
      <c r="CS218" s="68"/>
      <c r="CT218" s="68"/>
      <c r="CU218" s="68"/>
      <c r="CV218" s="68"/>
      <c r="CW218" s="68"/>
      <c r="CX218" s="68"/>
      <c r="CY218" s="68"/>
      <c r="CZ218" s="68"/>
      <c r="DA218" s="68"/>
      <c r="DB218" s="68"/>
      <c r="DC218" s="68"/>
      <c r="DD218" s="68"/>
      <c r="DE218" s="68"/>
      <c r="DF218" s="68"/>
      <c r="DG218" s="68"/>
      <c r="DH218" s="68"/>
      <c r="DI218" s="68"/>
      <c r="DJ218" s="68"/>
      <c r="DK218" s="68"/>
      <c r="DL218" s="68"/>
      <c r="DM218" s="68"/>
      <c r="DN218" s="68"/>
      <c r="DO218" s="68"/>
      <c r="DP218" s="68"/>
      <c r="DQ218" s="99"/>
      <c r="DR218" s="99"/>
      <c r="DS218" s="68"/>
      <c r="DT218" s="68"/>
      <c r="DU218" s="68"/>
      <c r="DV218" s="68"/>
      <c r="DW218" s="68"/>
      <c r="DX218" s="68"/>
      <c r="DY218" s="68"/>
      <c r="DZ218" s="68"/>
      <c r="EA218" s="68"/>
      <c r="EB218" s="68"/>
      <c r="EC218" s="68"/>
      <c r="ED218" s="68"/>
      <c r="EE218" s="68"/>
      <c r="EF218" s="68"/>
      <c r="EG218" s="68"/>
      <c r="EH218" s="68"/>
      <c r="EI218" s="68"/>
      <c r="EJ218" s="68"/>
      <c r="EK218" s="68"/>
      <c r="EL218" s="68"/>
      <c r="EM218" s="68"/>
      <c r="EN218" s="68"/>
      <c r="EO218" s="68"/>
      <c r="EP218" s="68"/>
      <c r="EQ218" s="68"/>
      <c r="ER218" s="3"/>
      <c r="ES218" s="3"/>
      <c r="EW218"/>
      <c r="EX218"/>
      <c r="EY218"/>
      <c r="FB218" s="1"/>
    </row>
    <row r="219" spans="3:158" ht="20.25" customHeight="1" x14ac:dyDescent="0.25">
      <c r="C219" s="1"/>
      <c r="D219" s="97"/>
      <c r="E219" s="97"/>
      <c r="F219" s="98"/>
      <c r="G219" s="68"/>
      <c r="H219" s="68"/>
      <c r="I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108"/>
      <c r="AO219" s="68"/>
      <c r="AP219" s="68"/>
      <c r="AQ219" s="68"/>
      <c r="AR219" s="68"/>
      <c r="AS219" s="68"/>
      <c r="AT219" s="66"/>
      <c r="AU219" s="68"/>
      <c r="AV219" s="68"/>
      <c r="AW219" s="68"/>
      <c r="AX219" s="66"/>
      <c r="AY219" s="68"/>
      <c r="AZ219" s="66"/>
      <c r="BA219" s="68"/>
      <c r="BB219" s="68"/>
      <c r="BC219" s="68"/>
      <c r="BD219" s="68"/>
      <c r="BE219" s="68"/>
      <c r="BF219" s="66"/>
      <c r="BG219" s="66"/>
      <c r="BH219" s="66"/>
      <c r="BI219" s="66"/>
      <c r="BJ219" s="66"/>
      <c r="BK219" s="66"/>
      <c r="BL219" s="66"/>
      <c r="BM219" s="66"/>
      <c r="BN219" s="66"/>
      <c r="BO219" s="66"/>
      <c r="BP219" s="66"/>
      <c r="BQ219" s="66"/>
      <c r="BR219" s="66"/>
      <c r="BS219" s="66"/>
      <c r="BT219" s="66"/>
      <c r="BU219" s="66"/>
      <c r="BV219" s="66"/>
      <c r="BW219" s="66"/>
      <c r="BX219" s="66"/>
      <c r="BY219" s="66"/>
      <c r="BZ219" s="66"/>
      <c r="CA219" s="66"/>
      <c r="CB219" s="66"/>
      <c r="CC219" s="66"/>
      <c r="CD219" s="66"/>
      <c r="CE219" s="66"/>
      <c r="CF219" s="68"/>
      <c r="CG219" s="68"/>
      <c r="CH219" s="66"/>
      <c r="CI219" s="66"/>
      <c r="CJ219" s="68"/>
      <c r="CK219" s="68"/>
      <c r="CL219" s="68"/>
      <c r="CM219" s="68"/>
      <c r="CN219" s="66"/>
      <c r="CO219" s="68"/>
      <c r="CP219" s="66"/>
      <c r="CQ219" s="68"/>
      <c r="CR219" s="68"/>
      <c r="CS219" s="68"/>
      <c r="CT219" s="68"/>
      <c r="CU219" s="68"/>
      <c r="CV219" s="68"/>
      <c r="CW219" s="68"/>
      <c r="CX219" s="68"/>
      <c r="CY219" s="68"/>
      <c r="CZ219" s="68"/>
      <c r="DA219" s="68"/>
      <c r="DB219" s="68"/>
      <c r="DC219" s="68"/>
      <c r="DD219" s="68"/>
      <c r="DE219" s="68"/>
      <c r="DF219" s="68"/>
      <c r="DG219" s="68"/>
      <c r="DH219" s="68"/>
      <c r="DI219" s="68"/>
      <c r="DJ219" s="68"/>
      <c r="DK219" s="68"/>
      <c r="DL219" s="68"/>
      <c r="DM219" s="68"/>
      <c r="DN219" s="68"/>
      <c r="DO219" s="68"/>
      <c r="DP219" s="68"/>
      <c r="DQ219" s="99"/>
      <c r="DR219" s="99"/>
      <c r="DS219" s="68"/>
      <c r="DT219" s="68"/>
      <c r="DU219" s="68"/>
      <c r="DV219" s="68"/>
      <c r="DW219" s="68"/>
      <c r="DX219" s="68"/>
      <c r="DY219" s="68"/>
      <c r="DZ219" s="68"/>
      <c r="EA219" s="68"/>
      <c r="EB219" s="68"/>
      <c r="EC219" s="68"/>
      <c r="ED219" s="68"/>
      <c r="EE219" s="68"/>
      <c r="EF219" s="68"/>
      <c r="EG219" s="68"/>
      <c r="EH219" s="68"/>
      <c r="EI219" s="68"/>
      <c r="EJ219" s="68"/>
      <c r="EK219" s="68"/>
      <c r="EL219" s="68"/>
      <c r="EM219" s="68"/>
      <c r="EN219" s="68"/>
      <c r="EO219" s="68"/>
      <c r="EP219" s="68"/>
      <c r="EQ219" s="68"/>
      <c r="ER219" s="3"/>
      <c r="ES219" s="3"/>
      <c r="EW219"/>
      <c r="EX219"/>
      <c r="EY219"/>
      <c r="FB219" s="1"/>
    </row>
    <row r="220" spans="3:158" ht="20.25" customHeight="1" x14ac:dyDescent="0.25">
      <c r="C220" s="1"/>
      <c r="D220" s="97"/>
      <c r="E220" s="97"/>
      <c r="F220" s="98"/>
      <c r="G220" s="68"/>
      <c r="H220" s="68"/>
      <c r="I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108"/>
      <c r="AO220" s="68"/>
      <c r="AP220" s="68"/>
      <c r="AQ220" s="68"/>
      <c r="AR220" s="68"/>
      <c r="AS220" s="68"/>
      <c r="AT220" s="66"/>
      <c r="AU220" s="68"/>
      <c r="AV220" s="68"/>
      <c r="AW220" s="68"/>
      <c r="AX220" s="66"/>
      <c r="AY220" s="68"/>
      <c r="AZ220" s="66"/>
      <c r="BA220" s="68"/>
      <c r="BB220" s="68"/>
      <c r="BC220" s="68"/>
      <c r="BD220" s="68"/>
      <c r="BE220" s="68"/>
      <c r="BF220" s="66"/>
      <c r="BG220" s="66"/>
      <c r="BH220" s="66"/>
      <c r="BI220" s="66"/>
      <c r="BJ220" s="66"/>
      <c r="BK220" s="66"/>
      <c r="BL220" s="66"/>
      <c r="BM220" s="66"/>
      <c r="BN220" s="66"/>
      <c r="BO220" s="66"/>
      <c r="BP220" s="66"/>
      <c r="BQ220" s="66"/>
      <c r="BR220" s="66"/>
      <c r="BS220" s="66"/>
      <c r="BT220" s="66"/>
      <c r="BU220" s="66"/>
      <c r="BV220" s="66"/>
      <c r="BW220" s="66"/>
      <c r="BX220" s="66"/>
      <c r="BY220" s="66"/>
      <c r="BZ220" s="66"/>
      <c r="CA220" s="66"/>
      <c r="CB220" s="66"/>
      <c r="CC220" s="66"/>
      <c r="CD220" s="66"/>
      <c r="CE220" s="66"/>
      <c r="CF220" s="68"/>
      <c r="CG220" s="68"/>
      <c r="CH220" s="66"/>
      <c r="CI220" s="66"/>
      <c r="CJ220" s="68"/>
      <c r="CK220" s="68"/>
      <c r="CL220" s="68"/>
      <c r="CM220" s="68"/>
      <c r="CN220" s="66"/>
      <c r="CO220" s="68"/>
      <c r="CP220" s="66"/>
      <c r="CQ220" s="68"/>
      <c r="CR220" s="68"/>
      <c r="CS220" s="68"/>
      <c r="CT220" s="68"/>
      <c r="CU220" s="68"/>
      <c r="CV220" s="68"/>
      <c r="CW220" s="68"/>
      <c r="CX220" s="68"/>
      <c r="CY220" s="68"/>
      <c r="CZ220" s="68"/>
      <c r="DA220" s="68"/>
      <c r="DB220" s="68"/>
      <c r="DC220" s="68"/>
      <c r="DD220" s="68"/>
      <c r="DE220" s="68"/>
      <c r="DF220" s="68"/>
      <c r="DG220" s="68"/>
      <c r="DH220" s="68"/>
      <c r="DI220" s="68"/>
      <c r="DJ220" s="68"/>
      <c r="DK220" s="68"/>
      <c r="DL220" s="68"/>
      <c r="DM220" s="68"/>
      <c r="DN220" s="68"/>
      <c r="DO220" s="68"/>
      <c r="DP220" s="68"/>
      <c r="DQ220" s="99"/>
      <c r="DR220" s="99"/>
      <c r="DS220" s="68"/>
      <c r="DT220" s="68"/>
      <c r="DU220" s="68"/>
      <c r="DV220" s="68"/>
      <c r="DW220" s="68"/>
      <c r="DX220" s="68"/>
      <c r="DY220" s="68"/>
      <c r="DZ220" s="68"/>
      <c r="EA220" s="68"/>
      <c r="EB220" s="68"/>
      <c r="EC220" s="68"/>
      <c r="ED220" s="68"/>
      <c r="EE220" s="68"/>
      <c r="EF220" s="68"/>
      <c r="EG220" s="68"/>
      <c r="EH220" s="68"/>
      <c r="EI220" s="68"/>
      <c r="EJ220" s="68"/>
      <c r="EK220" s="68"/>
      <c r="EL220" s="68"/>
      <c r="EM220" s="68"/>
      <c r="EN220" s="68"/>
      <c r="EO220" s="68"/>
      <c r="EP220" s="68"/>
      <c r="EQ220" s="68"/>
      <c r="ER220" s="3"/>
      <c r="ES220" s="3"/>
      <c r="EW220"/>
      <c r="EX220"/>
      <c r="EY220"/>
      <c r="FB220" s="1"/>
    </row>
    <row r="221" spans="3:158" ht="20.25" customHeight="1" x14ac:dyDescent="0.25">
      <c r="C221" s="1"/>
      <c r="D221" s="97"/>
      <c r="E221" s="97"/>
      <c r="F221" s="98"/>
      <c r="G221" s="68"/>
      <c r="H221" s="68"/>
      <c r="I221" s="68"/>
      <c r="J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108"/>
      <c r="AO221" s="68"/>
      <c r="AP221" s="68"/>
      <c r="AQ221" s="68"/>
      <c r="AR221" s="68"/>
      <c r="AS221" s="68"/>
      <c r="AT221" s="66"/>
      <c r="AU221" s="68"/>
      <c r="AV221" s="68"/>
      <c r="AW221" s="68"/>
      <c r="AX221" s="66"/>
      <c r="AY221" s="68"/>
      <c r="AZ221" s="66"/>
      <c r="BA221" s="68"/>
      <c r="BB221" s="68"/>
      <c r="BC221" s="68"/>
      <c r="BD221" s="68"/>
      <c r="BE221" s="68"/>
      <c r="BF221" s="66"/>
      <c r="BG221" s="66"/>
      <c r="BH221" s="66"/>
      <c r="BI221" s="66"/>
      <c r="BJ221" s="66"/>
      <c r="BK221" s="66"/>
      <c r="BL221" s="66"/>
      <c r="BM221" s="66"/>
      <c r="BN221" s="66"/>
      <c r="BO221" s="66"/>
      <c r="BP221" s="66"/>
      <c r="BQ221" s="66"/>
      <c r="BR221" s="66"/>
      <c r="BS221" s="66"/>
      <c r="BT221" s="66"/>
      <c r="BU221" s="66"/>
      <c r="BV221" s="66"/>
      <c r="BW221" s="66"/>
      <c r="BX221" s="66"/>
      <c r="BY221" s="66"/>
      <c r="BZ221" s="66"/>
      <c r="CA221" s="66"/>
      <c r="CB221" s="66"/>
      <c r="CC221" s="66"/>
      <c r="CD221" s="66"/>
      <c r="CE221" s="66"/>
      <c r="CF221" s="68"/>
      <c r="CG221" s="68"/>
      <c r="CH221" s="66"/>
      <c r="CI221" s="66"/>
      <c r="CJ221" s="68"/>
      <c r="CK221" s="68"/>
      <c r="CL221" s="68"/>
      <c r="CM221" s="68"/>
      <c r="CN221" s="66"/>
      <c r="CO221" s="68"/>
      <c r="CP221" s="66"/>
      <c r="CQ221" s="68"/>
      <c r="CR221" s="68"/>
      <c r="CS221" s="68"/>
      <c r="CT221" s="68"/>
      <c r="CU221" s="68"/>
      <c r="CV221" s="68"/>
      <c r="CW221" s="68"/>
      <c r="CX221" s="68"/>
      <c r="CY221" s="68"/>
      <c r="CZ221" s="68"/>
      <c r="DA221" s="68"/>
      <c r="DB221" s="68"/>
      <c r="DC221" s="68"/>
      <c r="DD221" s="68"/>
      <c r="DE221" s="68"/>
      <c r="DF221" s="68"/>
      <c r="DG221" s="68"/>
      <c r="DH221" s="68"/>
      <c r="DI221" s="68"/>
      <c r="DJ221" s="68"/>
      <c r="DK221" s="68"/>
      <c r="DL221" s="68"/>
      <c r="DM221" s="68"/>
      <c r="DN221" s="68"/>
      <c r="DO221" s="68"/>
      <c r="DP221" s="68"/>
      <c r="DQ221" s="99"/>
      <c r="DR221" s="99"/>
      <c r="DS221" s="68"/>
      <c r="DT221" s="68"/>
      <c r="DU221" s="68"/>
      <c r="DV221" s="68"/>
      <c r="DW221" s="68"/>
      <c r="DX221" s="68"/>
      <c r="DY221" s="68"/>
      <c r="DZ221" s="68"/>
      <c r="EA221" s="68"/>
      <c r="EB221" s="68"/>
      <c r="EC221" s="68"/>
      <c r="ED221" s="68"/>
      <c r="EE221" s="68"/>
      <c r="EF221" s="68"/>
      <c r="EG221" s="68"/>
      <c r="EH221" s="68"/>
      <c r="EI221" s="68"/>
      <c r="EJ221" s="68"/>
      <c r="EK221" s="68"/>
      <c r="EL221" s="68"/>
      <c r="EM221" s="68"/>
      <c r="EN221" s="68"/>
      <c r="EO221" s="68"/>
      <c r="EP221" s="68"/>
      <c r="EQ221" s="68"/>
      <c r="ER221" s="3"/>
      <c r="ES221" s="3"/>
      <c r="EW221"/>
      <c r="EX221"/>
      <c r="EY221"/>
      <c r="FB221" s="1"/>
    </row>
    <row r="222" spans="3:158" ht="20.25" customHeight="1" x14ac:dyDescent="0.25">
      <c r="C222" s="1"/>
      <c r="D222" s="97"/>
      <c r="E222" s="97"/>
      <c r="F222" s="98"/>
      <c r="G222" s="68"/>
      <c r="H222" s="68"/>
      <c r="I222" s="68"/>
      <c r="J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108"/>
      <c r="AO222" s="68"/>
      <c r="AP222" s="68"/>
      <c r="AQ222" s="68"/>
      <c r="AR222" s="68"/>
      <c r="AS222" s="68"/>
      <c r="AT222" s="66"/>
      <c r="AU222" s="68"/>
      <c r="AV222" s="68"/>
      <c r="AW222" s="68"/>
      <c r="AX222" s="66"/>
      <c r="AY222" s="68"/>
      <c r="AZ222" s="66"/>
      <c r="BA222" s="68"/>
      <c r="BB222" s="68"/>
      <c r="BC222" s="68"/>
      <c r="BD222" s="68"/>
      <c r="BE222" s="68"/>
      <c r="BF222" s="66"/>
      <c r="BG222" s="66"/>
      <c r="BH222" s="66"/>
      <c r="BI222" s="66"/>
      <c r="BJ222" s="66"/>
      <c r="BK222" s="66"/>
      <c r="BL222" s="66"/>
      <c r="BM222" s="66"/>
      <c r="BN222" s="66"/>
      <c r="BO222" s="66"/>
      <c r="BP222" s="66"/>
      <c r="BQ222" s="66"/>
      <c r="BR222" s="66"/>
      <c r="BS222" s="66"/>
      <c r="BT222" s="66"/>
      <c r="BU222" s="66"/>
      <c r="BV222" s="66"/>
      <c r="BW222" s="66"/>
      <c r="BX222" s="66"/>
      <c r="BY222" s="66"/>
      <c r="BZ222" s="66"/>
      <c r="CA222" s="66"/>
      <c r="CB222" s="66"/>
      <c r="CC222" s="66"/>
      <c r="CD222" s="66"/>
      <c r="CE222" s="66"/>
      <c r="CF222" s="68"/>
      <c r="CG222" s="68"/>
      <c r="CH222" s="66"/>
      <c r="CI222" s="66"/>
      <c r="CJ222" s="68"/>
      <c r="CK222" s="68"/>
      <c r="CL222" s="68"/>
      <c r="CM222" s="68"/>
      <c r="CN222" s="66"/>
      <c r="CO222" s="68"/>
      <c r="CP222" s="66"/>
      <c r="CQ222" s="68"/>
      <c r="CR222" s="68"/>
      <c r="CS222" s="68"/>
      <c r="CT222" s="68"/>
      <c r="CU222" s="68"/>
      <c r="CV222" s="68"/>
      <c r="CW222" s="68"/>
      <c r="CX222" s="68"/>
      <c r="CY222" s="68"/>
      <c r="CZ222" s="68"/>
      <c r="DA222" s="68"/>
      <c r="DB222" s="68"/>
      <c r="DC222" s="68"/>
      <c r="DD222" s="68"/>
      <c r="DE222" s="68"/>
      <c r="DF222" s="68"/>
      <c r="DG222" s="68"/>
      <c r="DH222" s="68"/>
      <c r="DI222" s="68"/>
      <c r="DJ222" s="68"/>
      <c r="DK222" s="68"/>
      <c r="DL222" s="68"/>
      <c r="DM222" s="68"/>
      <c r="DN222" s="68"/>
      <c r="DO222" s="68"/>
      <c r="DP222" s="68"/>
      <c r="DQ222" s="99"/>
      <c r="DR222" s="99"/>
      <c r="DS222" s="68"/>
      <c r="DT222" s="68"/>
      <c r="DU222" s="68"/>
      <c r="DV222" s="68"/>
      <c r="DW222" s="68"/>
      <c r="DX222" s="68"/>
      <c r="DY222" s="68"/>
      <c r="DZ222" s="68"/>
      <c r="EA222" s="68"/>
      <c r="EB222" s="68"/>
      <c r="EC222" s="68"/>
      <c r="ED222" s="68"/>
      <c r="EE222" s="68"/>
      <c r="EF222" s="68"/>
      <c r="EG222" s="68"/>
      <c r="EH222" s="68"/>
      <c r="EI222" s="68"/>
      <c r="EJ222" s="68"/>
      <c r="EK222" s="68"/>
      <c r="EL222" s="68"/>
      <c r="EM222" s="68"/>
      <c r="EN222" s="68"/>
      <c r="EO222" s="68"/>
      <c r="EP222" s="68"/>
      <c r="EQ222" s="68"/>
      <c r="ER222" s="3"/>
      <c r="ES222" s="3"/>
      <c r="EW222"/>
      <c r="EX222"/>
      <c r="EY222"/>
      <c r="FB222" s="1"/>
    </row>
    <row r="223" spans="3:158" ht="20.25" customHeight="1" x14ac:dyDescent="0.25">
      <c r="C223" s="1"/>
      <c r="D223" s="97"/>
      <c r="E223" s="97"/>
      <c r="F223" s="98"/>
      <c r="G223" s="68"/>
      <c r="H223" s="68"/>
      <c r="I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108"/>
      <c r="AO223" s="68"/>
      <c r="AP223" s="68"/>
      <c r="AQ223" s="68"/>
      <c r="AR223" s="68"/>
      <c r="AS223" s="68"/>
      <c r="AT223" s="66"/>
      <c r="AU223" s="68"/>
      <c r="AV223" s="68"/>
      <c r="AW223" s="68"/>
      <c r="AX223" s="66"/>
      <c r="AY223" s="68"/>
      <c r="AZ223" s="66"/>
      <c r="BA223" s="68"/>
      <c r="BB223" s="68"/>
      <c r="BC223" s="68"/>
      <c r="BD223" s="68"/>
      <c r="BE223" s="68"/>
      <c r="BF223" s="66"/>
      <c r="BG223" s="66"/>
      <c r="BH223" s="66"/>
      <c r="BI223" s="66"/>
      <c r="BJ223" s="66"/>
      <c r="BK223" s="66"/>
      <c r="BL223" s="66"/>
      <c r="BM223" s="66"/>
      <c r="BN223" s="66"/>
      <c r="BO223" s="66"/>
      <c r="BP223" s="66"/>
      <c r="BQ223" s="66"/>
      <c r="BR223" s="66"/>
      <c r="BS223" s="66"/>
      <c r="BT223" s="66"/>
      <c r="BU223" s="66"/>
      <c r="BV223" s="66"/>
      <c r="BW223" s="66"/>
      <c r="BX223" s="66"/>
      <c r="BY223" s="66"/>
      <c r="BZ223" s="66"/>
      <c r="CA223" s="66"/>
      <c r="CB223" s="66"/>
      <c r="CC223" s="66"/>
      <c r="CD223" s="66"/>
      <c r="CE223" s="66"/>
      <c r="CF223" s="68"/>
      <c r="CG223" s="68"/>
      <c r="CH223" s="66"/>
      <c r="CI223" s="66"/>
      <c r="CJ223" s="68"/>
      <c r="CK223" s="68"/>
      <c r="CL223" s="68"/>
      <c r="CM223" s="68"/>
      <c r="CN223" s="66"/>
      <c r="CO223" s="68"/>
      <c r="CP223" s="66"/>
      <c r="CQ223" s="68"/>
      <c r="CR223" s="68"/>
      <c r="CS223" s="68"/>
      <c r="CT223" s="68"/>
      <c r="CU223" s="68"/>
      <c r="CV223" s="68"/>
      <c r="CW223" s="68"/>
      <c r="CX223" s="68"/>
      <c r="CY223" s="68"/>
      <c r="CZ223" s="68"/>
      <c r="DA223" s="68"/>
      <c r="DB223" s="68"/>
      <c r="DC223" s="68"/>
      <c r="DD223" s="68"/>
      <c r="DE223" s="68"/>
      <c r="DF223" s="68"/>
      <c r="DG223" s="68"/>
      <c r="DH223" s="68"/>
      <c r="DI223" s="68"/>
      <c r="DJ223" s="68"/>
      <c r="DK223" s="68"/>
      <c r="DL223" s="68"/>
      <c r="DM223" s="68"/>
      <c r="DN223" s="68"/>
      <c r="DO223" s="68"/>
      <c r="DP223" s="68"/>
      <c r="DQ223" s="99"/>
      <c r="DR223" s="99"/>
      <c r="DS223" s="68"/>
      <c r="DT223" s="68"/>
      <c r="DU223" s="68"/>
      <c r="DV223" s="68"/>
      <c r="DW223" s="68"/>
      <c r="DX223" s="68"/>
      <c r="DY223" s="68"/>
      <c r="DZ223" s="68"/>
      <c r="EA223" s="68"/>
      <c r="EB223" s="68"/>
      <c r="EC223" s="68"/>
      <c r="ED223" s="68"/>
      <c r="EE223" s="68"/>
      <c r="EF223" s="68"/>
      <c r="EG223" s="68"/>
      <c r="EH223" s="68"/>
      <c r="EI223" s="68"/>
      <c r="EJ223" s="68"/>
      <c r="EK223" s="68"/>
      <c r="EL223" s="68"/>
      <c r="EM223" s="68"/>
      <c r="EN223" s="68"/>
      <c r="EO223" s="68"/>
      <c r="EP223" s="68"/>
      <c r="EQ223" s="68"/>
      <c r="ER223" s="3"/>
      <c r="ES223" s="3"/>
      <c r="EW223"/>
      <c r="EX223"/>
      <c r="EY223"/>
      <c r="FB223" s="1"/>
    </row>
    <row r="224" spans="3:158" ht="20.25" customHeight="1" x14ac:dyDescent="0.25">
      <c r="C224" s="1"/>
      <c r="D224" s="97"/>
      <c r="E224" s="97"/>
      <c r="F224" s="98"/>
      <c r="G224" s="68"/>
      <c r="H224" s="68"/>
      <c r="I224" s="68"/>
      <c r="J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108"/>
      <c r="AO224" s="68"/>
      <c r="AP224" s="68"/>
      <c r="AQ224" s="68"/>
      <c r="AR224" s="68"/>
      <c r="AS224" s="68"/>
      <c r="AT224" s="66"/>
      <c r="AU224" s="68"/>
      <c r="AV224" s="68"/>
      <c r="AW224" s="68"/>
      <c r="AX224" s="66"/>
      <c r="AY224" s="68"/>
      <c r="AZ224" s="66"/>
      <c r="BA224" s="68"/>
      <c r="BB224" s="68"/>
      <c r="BC224" s="68"/>
      <c r="BD224" s="68"/>
      <c r="BE224" s="68"/>
      <c r="BF224" s="66"/>
      <c r="BG224" s="66"/>
      <c r="BH224" s="66"/>
      <c r="BI224" s="66"/>
      <c r="BJ224" s="66"/>
      <c r="BK224" s="66"/>
      <c r="BL224" s="66"/>
      <c r="BM224" s="66"/>
      <c r="BN224" s="66"/>
      <c r="BO224" s="66"/>
      <c r="BP224" s="66"/>
      <c r="BQ224" s="66"/>
      <c r="BR224" s="66"/>
      <c r="BS224" s="66"/>
      <c r="BT224" s="66"/>
      <c r="BU224" s="66"/>
      <c r="BV224" s="66"/>
      <c r="BW224" s="66"/>
      <c r="BX224" s="66"/>
      <c r="BY224" s="66"/>
      <c r="BZ224" s="66"/>
      <c r="CA224" s="66"/>
      <c r="CB224" s="66"/>
      <c r="CC224" s="66"/>
      <c r="CD224" s="66"/>
      <c r="CE224" s="66"/>
      <c r="CF224" s="68"/>
      <c r="CG224" s="68"/>
      <c r="CH224" s="66"/>
      <c r="CI224" s="66"/>
      <c r="CJ224" s="68"/>
      <c r="CK224" s="68"/>
      <c r="CL224" s="68"/>
      <c r="CM224" s="68"/>
      <c r="CN224" s="66"/>
      <c r="CO224" s="68"/>
      <c r="CP224" s="66"/>
      <c r="CQ224" s="68"/>
      <c r="CR224" s="68"/>
      <c r="CS224" s="68"/>
      <c r="CT224" s="68"/>
      <c r="CU224" s="68"/>
      <c r="CV224" s="68"/>
      <c r="CW224" s="68"/>
      <c r="CX224" s="68"/>
      <c r="CY224" s="68"/>
      <c r="CZ224" s="68"/>
      <c r="DA224" s="68"/>
      <c r="DB224" s="68"/>
      <c r="DC224" s="68"/>
      <c r="DD224" s="68"/>
      <c r="DE224" s="68"/>
      <c r="DF224" s="68"/>
      <c r="DG224" s="68"/>
      <c r="DH224" s="68"/>
      <c r="DI224" s="68"/>
      <c r="DJ224" s="68"/>
      <c r="DK224" s="68"/>
      <c r="DL224" s="68"/>
      <c r="DM224" s="68"/>
      <c r="DN224" s="68"/>
      <c r="DO224" s="68"/>
      <c r="DP224" s="68"/>
      <c r="DQ224" s="99"/>
      <c r="DR224" s="99"/>
      <c r="DS224" s="68"/>
      <c r="DT224" s="68"/>
      <c r="DU224" s="68"/>
      <c r="DV224" s="68"/>
      <c r="DW224" s="68"/>
      <c r="DX224" s="68"/>
      <c r="DY224" s="68"/>
      <c r="DZ224" s="68"/>
      <c r="EA224" s="68"/>
      <c r="EB224" s="68"/>
      <c r="EC224" s="68"/>
      <c r="ED224" s="68"/>
      <c r="EE224" s="68"/>
      <c r="EF224" s="68"/>
      <c r="EG224" s="68"/>
      <c r="EH224" s="68"/>
      <c r="EI224" s="68"/>
      <c r="EJ224" s="68"/>
      <c r="EK224" s="68"/>
      <c r="EL224" s="68"/>
      <c r="EM224" s="68"/>
      <c r="EN224" s="68"/>
      <c r="EO224" s="68"/>
      <c r="EP224" s="68"/>
      <c r="EQ224" s="68"/>
      <c r="ER224" s="3"/>
      <c r="ES224" s="3"/>
      <c r="EW224"/>
      <c r="EX224"/>
      <c r="EY224"/>
      <c r="FB224" s="1"/>
    </row>
    <row r="225" spans="3:158" ht="20.25" customHeight="1" x14ac:dyDescent="0.25">
      <c r="C225" s="1"/>
      <c r="D225" s="97"/>
      <c r="E225" s="97"/>
      <c r="F225" s="98"/>
      <c r="G225" s="68"/>
      <c r="H225" s="68"/>
      <c r="I225" s="68"/>
      <c r="J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108"/>
      <c r="AO225" s="68"/>
      <c r="AP225" s="68"/>
      <c r="AQ225" s="68"/>
      <c r="AR225" s="68"/>
      <c r="AS225" s="68"/>
      <c r="AT225" s="66"/>
      <c r="AU225" s="68"/>
      <c r="AV225" s="68"/>
      <c r="AW225" s="68"/>
      <c r="AX225" s="66"/>
      <c r="AY225" s="68"/>
      <c r="AZ225" s="66"/>
      <c r="BA225" s="68"/>
      <c r="BB225" s="68"/>
      <c r="BC225" s="68"/>
      <c r="BD225" s="68"/>
      <c r="BE225" s="68"/>
      <c r="BF225" s="66"/>
      <c r="BG225" s="66"/>
      <c r="BH225" s="66"/>
      <c r="BI225" s="66"/>
      <c r="BJ225" s="66"/>
      <c r="BK225" s="66"/>
      <c r="BL225" s="66"/>
      <c r="BM225" s="66"/>
      <c r="BN225" s="66"/>
      <c r="BO225" s="66"/>
      <c r="BP225" s="66"/>
      <c r="BQ225" s="66"/>
      <c r="BR225" s="66"/>
      <c r="BS225" s="66"/>
      <c r="BT225" s="66"/>
      <c r="BU225" s="66"/>
      <c r="BV225" s="66"/>
      <c r="BW225" s="66"/>
      <c r="BX225" s="66"/>
      <c r="BY225" s="66"/>
      <c r="BZ225" s="66"/>
      <c r="CA225" s="66"/>
      <c r="CB225" s="66"/>
      <c r="CC225" s="66"/>
      <c r="CD225" s="66"/>
      <c r="CE225" s="66"/>
      <c r="CF225" s="68"/>
      <c r="CG225" s="68"/>
      <c r="CH225" s="66"/>
      <c r="CI225" s="66"/>
      <c r="CJ225" s="68"/>
      <c r="CK225" s="68"/>
      <c r="CL225" s="68"/>
      <c r="CM225" s="68"/>
      <c r="CN225" s="66"/>
      <c r="CO225" s="68"/>
      <c r="CP225" s="66"/>
      <c r="CQ225" s="68"/>
      <c r="CR225" s="68"/>
      <c r="CS225" s="68"/>
      <c r="CT225" s="68"/>
      <c r="CU225" s="68"/>
      <c r="CV225" s="68"/>
      <c r="CW225" s="68"/>
      <c r="CX225" s="68"/>
      <c r="CY225" s="68"/>
      <c r="CZ225" s="68"/>
      <c r="DA225" s="68"/>
      <c r="DB225" s="68"/>
      <c r="DC225" s="68"/>
      <c r="DD225" s="68"/>
      <c r="DE225" s="68"/>
      <c r="DF225" s="68"/>
      <c r="DG225" s="68"/>
      <c r="DH225" s="68"/>
      <c r="DI225" s="68"/>
      <c r="DJ225" s="68"/>
      <c r="DK225" s="68"/>
      <c r="DL225" s="68"/>
      <c r="DM225" s="68"/>
      <c r="DN225" s="68"/>
      <c r="DO225" s="68"/>
      <c r="DP225" s="68"/>
      <c r="DQ225" s="99"/>
      <c r="DR225" s="99"/>
      <c r="DS225" s="68"/>
      <c r="DT225" s="68"/>
      <c r="DU225" s="68"/>
      <c r="DV225" s="68"/>
      <c r="DW225" s="68"/>
      <c r="DX225" s="68"/>
      <c r="DY225" s="68"/>
      <c r="DZ225" s="68"/>
      <c r="EA225" s="68"/>
      <c r="EB225" s="68"/>
      <c r="EC225" s="68"/>
      <c r="ED225" s="68"/>
      <c r="EE225" s="68"/>
      <c r="EF225" s="68"/>
      <c r="EG225" s="68"/>
      <c r="EH225" s="68"/>
      <c r="EI225" s="68"/>
      <c r="EJ225" s="68"/>
      <c r="EK225" s="68"/>
      <c r="EL225" s="68"/>
      <c r="EM225" s="68"/>
      <c r="EN225" s="68"/>
      <c r="EO225" s="68"/>
      <c r="EP225" s="68"/>
      <c r="EQ225" s="68"/>
      <c r="ER225" s="3"/>
      <c r="ES225" s="3"/>
      <c r="EW225"/>
      <c r="EX225"/>
      <c r="EY225"/>
      <c r="FB225" s="1"/>
    </row>
    <row r="226" spans="3:158" ht="20.25" customHeight="1" x14ac:dyDescent="0.25">
      <c r="C226" s="1"/>
      <c r="D226" s="97"/>
      <c r="E226" s="97"/>
      <c r="F226" s="98"/>
      <c r="G226" s="68"/>
      <c r="H226" s="68"/>
      <c r="I226" s="68"/>
      <c r="J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108"/>
      <c r="AO226" s="68"/>
      <c r="AP226" s="68"/>
      <c r="AQ226" s="68"/>
      <c r="AR226" s="68"/>
      <c r="AS226" s="68"/>
      <c r="AT226" s="66"/>
      <c r="AU226" s="68"/>
      <c r="AV226" s="68"/>
      <c r="AW226" s="68"/>
      <c r="AX226" s="66"/>
      <c r="AY226" s="68"/>
      <c r="AZ226" s="66"/>
      <c r="BA226" s="68"/>
      <c r="BB226" s="68"/>
      <c r="BC226" s="68"/>
      <c r="BD226" s="68"/>
      <c r="BE226" s="68"/>
      <c r="BF226" s="66"/>
      <c r="BG226" s="66"/>
      <c r="BH226" s="66"/>
      <c r="BI226" s="66"/>
      <c r="BJ226" s="66"/>
      <c r="BK226" s="66"/>
      <c r="BL226" s="66"/>
      <c r="BM226" s="66"/>
      <c r="BN226" s="66"/>
      <c r="BO226" s="66"/>
      <c r="BP226" s="66"/>
      <c r="BQ226" s="66"/>
      <c r="BR226" s="66"/>
      <c r="BS226" s="66"/>
      <c r="BT226" s="66"/>
      <c r="BU226" s="66"/>
      <c r="BV226" s="66"/>
      <c r="BW226" s="66"/>
      <c r="BX226" s="66"/>
      <c r="BY226" s="66"/>
      <c r="BZ226" s="66"/>
      <c r="CA226" s="66"/>
      <c r="CB226" s="66"/>
      <c r="CC226" s="66"/>
      <c r="CD226" s="66"/>
      <c r="CE226" s="66"/>
      <c r="CF226" s="68"/>
      <c r="CG226" s="68"/>
      <c r="CH226" s="66"/>
      <c r="CI226" s="66"/>
      <c r="CJ226" s="68"/>
      <c r="CK226" s="68"/>
      <c r="CL226" s="68"/>
      <c r="CM226" s="68"/>
      <c r="CN226" s="66"/>
      <c r="CO226" s="68"/>
      <c r="CP226" s="66"/>
      <c r="CQ226" s="68"/>
      <c r="CR226" s="68"/>
      <c r="CS226" s="68"/>
      <c r="CT226" s="68"/>
      <c r="CU226" s="68"/>
      <c r="CV226" s="68"/>
      <c r="CW226" s="68"/>
      <c r="CX226" s="68"/>
      <c r="CY226" s="68"/>
      <c r="CZ226" s="68"/>
      <c r="DA226" s="68"/>
      <c r="DB226" s="68"/>
      <c r="DC226" s="68"/>
      <c r="DD226" s="68"/>
      <c r="DE226" s="68"/>
      <c r="DF226" s="68"/>
      <c r="DG226" s="68"/>
      <c r="DH226" s="68"/>
      <c r="DI226" s="68"/>
      <c r="DJ226" s="68"/>
      <c r="DK226" s="68"/>
      <c r="DL226" s="68"/>
      <c r="DM226" s="68"/>
      <c r="DN226" s="68"/>
      <c r="DO226" s="68"/>
      <c r="DP226" s="68"/>
      <c r="DQ226" s="99"/>
      <c r="DR226" s="99"/>
      <c r="DS226" s="68"/>
      <c r="DT226" s="68"/>
      <c r="DU226" s="68"/>
      <c r="DV226" s="68"/>
      <c r="DW226" s="68"/>
      <c r="DX226" s="68"/>
      <c r="DY226" s="68"/>
      <c r="DZ226" s="68"/>
      <c r="EA226" s="68"/>
      <c r="EB226" s="68"/>
      <c r="EC226" s="68"/>
      <c r="ED226" s="68"/>
      <c r="EE226" s="68"/>
      <c r="EF226" s="68"/>
      <c r="EG226" s="68"/>
      <c r="EH226" s="68"/>
      <c r="EI226" s="68"/>
      <c r="EJ226" s="68"/>
      <c r="EK226" s="68"/>
      <c r="EL226" s="68"/>
      <c r="EM226" s="68"/>
      <c r="EN226" s="68"/>
      <c r="EO226" s="68"/>
      <c r="EP226" s="68"/>
      <c r="EQ226" s="68"/>
      <c r="ER226" s="3"/>
      <c r="ES226" s="3"/>
      <c r="EW226"/>
      <c r="EX226"/>
      <c r="EY226"/>
      <c r="FB226" s="1"/>
    </row>
    <row r="227" spans="3:158" ht="20.25" customHeight="1" x14ac:dyDescent="0.25">
      <c r="C227" s="1"/>
      <c r="D227" s="97"/>
      <c r="E227" s="97"/>
      <c r="F227" s="98"/>
      <c r="G227" s="68"/>
      <c r="H227" s="68"/>
      <c r="I227" s="68"/>
      <c r="J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108"/>
      <c r="AO227" s="68"/>
      <c r="AP227" s="68"/>
      <c r="AQ227" s="68"/>
      <c r="AR227" s="68"/>
      <c r="AS227" s="68"/>
      <c r="AT227" s="66"/>
      <c r="AU227" s="68"/>
      <c r="AV227" s="68"/>
      <c r="AW227" s="68"/>
      <c r="AX227" s="66"/>
      <c r="AY227" s="68"/>
      <c r="AZ227" s="66"/>
      <c r="BA227" s="68"/>
      <c r="BB227" s="68"/>
      <c r="BC227" s="68"/>
      <c r="BD227" s="68"/>
      <c r="BE227" s="68"/>
      <c r="BF227" s="66"/>
      <c r="BG227" s="66"/>
      <c r="BH227" s="66"/>
      <c r="BI227" s="66"/>
      <c r="BJ227" s="66"/>
      <c r="BK227" s="66"/>
      <c r="BL227" s="66"/>
      <c r="BM227" s="66"/>
      <c r="BN227" s="66"/>
      <c r="BO227" s="66"/>
      <c r="BP227" s="66"/>
      <c r="BQ227" s="66"/>
      <c r="BR227" s="66"/>
      <c r="BS227" s="66"/>
      <c r="BT227" s="66"/>
      <c r="BU227" s="66"/>
      <c r="BV227" s="66"/>
      <c r="BW227" s="66"/>
      <c r="BX227" s="66"/>
      <c r="BY227" s="66"/>
      <c r="BZ227" s="66"/>
      <c r="CA227" s="66"/>
      <c r="CB227" s="66"/>
      <c r="CC227" s="66"/>
      <c r="CD227" s="66"/>
      <c r="CE227" s="66"/>
      <c r="CF227" s="68"/>
      <c r="CG227" s="68"/>
      <c r="CH227" s="66"/>
      <c r="CI227" s="66"/>
      <c r="CJ227" s="68"/>
      <c r="CK227" s="68"/>
      <c r="CL227" s="68"/>
      <c r="CM227" s="68"/>
      <c r="CN227" s="66"/>
      <c r="CO227" s="68"/>
      <c r="CP227" s="66"/>
      <c r="CQ227" s="68"/>
      <c r="CR227" s="68"/>
      <c r="CS227" s="68"/>
      <c r="CT227" s="68"/>
      <c r="CU227" s="68"/>
      <c r="CV227" s="68"/>
      <c r="CW227" s="68"/>
      <c r="CX227" s="68"/>
      <c r="CY227" s="68"/>
      <c r="CZ227" s="68"/>
      <c r="DA227" s="68"/>
      <c r="DB227" s="68"/>
      <c r="DC227" s="68"/>
      <c r="DD227" s="68"/>
      <c r="DE227" s="68"/>
      <c r="DF227" s="68"/>
      <c r="DG227" s="68"/>
      <c r="DH227" s="68"/>
      <c r="DI227" s="68"/>
      <c r="DJ227" s="68"/>
      <c r="DK227" s="68"/>
      <c r="DL227" s="68"/>
      <c r="DM227" s="68"/>
      <c r="DN227" s="68"/>
      <c r="DO227" s="68"/>
      <c r="DP227" s="68"/>
      <c r="DQ227" s="99"/>
      <c r="DR227" s="99"/>
      <c r="DS227" s="68"/>
      <c r="DT227" s="68"/>
      <c r="DU227" s="68"/>
      <c r="DV227" s="68"/>
      <c r="DW227" s="68"/>
      <c r="DX227" s="68"/>
      <c r="DY227" s="68"/>
      <c r="DZ227" s="68"/>
      <c r="EA227" s="68"/>
      <c r="EB227" s="68"/>
      <c r="EC227" s="68"/>
      <c r="ED227" s="68"/>
      <c r="EE227" s="68"/>
      <c r="EF227" s="68"/>
      <c r="EG227" s="68"/>
      <c r="EH227" s="68"/>
      <c r="EI227" s="68"/>
      <c r="EJ227" s="68"/>
      <c r="EK227" s="68"/>
      <c r="EL227" s="68"/>
      <c r="EM227" s="68"/>
      <c r="EN227" s="68"/>
      <c r="EO227" s="68"/>
      <c r="EP227" s="68"/>
      <c r="EQ227" s="68"/>
      <c r="ER227" s="3"/>
      <c r="ES227" s="3"/>
      <c r="EW227"/>
      <c r="EX227"/>
      <c r="EY227"/>
      <c r="FB227" s="1"/>
    </row>
    <row r="228" spans="3:158" ht="20.25" customHeight="1" x14ac:dyDescent="0.25">
      <c r="C228" s="1"/>
      <c r="D228" s="97"/>
      <c r="E228" s="97"/>
      <c r="F228" s="98"/>
      <c r="G228" s="68"/>
      <c r="H228" s="68"/>
      <c r="I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108"/>
      <c r="AO228" s="68"/>
      <c r="AP228" s="68"/>
      <c r="AQ228" s="68"/>
      <c r="AR228" s="68"/>
      <c r="AS228" s="68"/>
      <c r="AT228" s="66"/>
      <c r="AU228" s="68"/>
      <c r="AV228" s="68"/>
      <c r="AW228" s="68"/>
      <c r="AX228" s="66"/>
      <c r="AY228" s="68"/>
      <c r="AZ228" s="66"/>
      <c r="BA228" s="68"/>
      <c r="BB228" s="68"/>
      <c r="BC228" s="68"/>
      <c r="BD228" s="68"/>
      <c r="BE228" s="68"/>
      <c r="BF228" s="66"/>
      <c r="BG228" s="66"/>
      <c r="BH228" s="66"/>
      <c r="BI228" s="66"/>
      <c r="BJ228" s="66"/>
      <c r="BK228" s="66"/>
      <c r="BL228" s="66"/>
      <c r="BM228" s="66"/>
      <c r="BN228" s="66"/>
      <c r="BO228" s="66"/>
      <c r="BP228" s="66"/>
      <c r="BQ228" s="66"/>
      <c r="BR228" s="66"/>
      <c r="BS228" s="66"/>
      <c r="BT228" s="66"/>
      <c r="BU228" s="66"/>
      <c r="BV228" s="66"/>
      <c r="BW228" s="66"/>
      <c r="BX228" s="66"/>
      <c r="BY228" s="66"/>
      <c r="BZ228" s="66"/>
      <c r="CA228" s="66"/>
      <c r="CB228" s="66"/>
      <c r="CC228" s="66"/>
      <c r="CD228" s="66"/>
      <c r="CE228" s="66"/>
      <c r="CF228" s="68"/>
      <c r="CG228" s="68"/>
      <c r="CH228" s="66"/>
      <c r="CI228" s="66"/>
      <c r="CJ228" s="68"/>
      <c r="CK228" s="68"/>
      <c r="CL228" s="68"/>
      <c r="CM228" s="68"/>
      <c r="CN228" s="66"/>
      <c r="CO228" s="68"/>
      <c r="CP228" s="66"/>
      <c r="CQ228" s="68"/>
      <c r="CR228" s="68"/>
      <c r="CS228" s="68"/>
      <c r="CT228" s="68"/>
      <c r="CU228" s="68"/>
      <c r="CV228" s="68"/>
      <c r="CW228" s="68"/>
      <c r="CX228" s="68"/>
      <c r="CY228" s="68"/>
      <c r="CZ228" s="68"/>
      <c r="DA228" s="68"/>
      <c r="DB228" s="68"/>
      <c r="DC228" s="68"/>
      <c r="DD228" s="68"/>
      <c r="DE228" s="68"/>
      <c r="DF228" s="68"/>
      <c r="DG228" s="68"/>
      <c r="DH228" s="68"/>
      <c r="DI228" s="68"/>
      <c r="DJ228" s="68"/>
      <c r="DK228" s="68"/>
      <c r="DL228" s="68"/>
      <c r="DM228" s="68"/>
      <c r="DN228" s="68"/>
      <c r="DO228" s="68"/>
      <c r="DP228" s="68"/>
      <c r="DQ228" s="99"/>
      <c r="DR228" s="99"/>
      <c r="DS228" s="68"/>
      <c r="DT228" s="68"/>
      <c r="DU228" s="68"/>
      <c r="DV228" s="68"/>
      <c r="DW228" s="68"/>
      <c r="DX228" s="68"/>
      <c r="DY228" s="68"/>
      <c r="DZ228" s="68"/>
      <c r="EA228" s="68"/>
      <c r="EB228" s="68"/>
      <c r="EC228" s="68"/>
      <c r="ED228" s="68"/>
      <c r="EE228" s="68"/>
      <c r="EF228" s="68"/>
      <c r="EG228" s="68"/>
      <c r="EH228" s="68"/>
      <c r="EI228" s="68"/>
      <c r="EJ228" s="68"/>
      <c r="EK228" s="68"/>
      <c r="EL228" s="68"/>
      <c r="EM228" s="68"/>
      <c r="EN228" s="68"/>
      <c r="EO228" s="68"/>
      <c r="EP228" s="68"/>
      <c r="EQ228" s="68"/>
      <c r="ER228" s="3"/>
      <c r="ES228" s="3"/>
      <c r="EW228"/>
      <c r="EX228"/>
      <c r="EY228"/>
      <c r="FB228" s="1"/>
    </row>
    <row r="229" spans="3:158" ht="20.25" customHeight="1" x14ac:dyDescent="0.25">
      <c r="C229" s="1"/>
      <c r="D229" s="97"/>
      <c r="E229" s="97"/>
      <c r="F229" s="98"/>
      <c r="G229" s="68"/>
      <c r="H229" s="68"/>
      <c r="I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108"/>
      <c r="AO229" s="68"/>
      <c r="AP229" s="68"/>
      <c r="AQ229" s="68"/>
      <c r="AR229" s="68"/>
      <c r="AS229" s="68"/>
      <c r="AT229" s="66"/>
      <c r="AU229" s="68"/>
      <c r="AV229" s="68"/>
      <c r="AW229" s="68"/>
      <c r="AX229" s="66"/>
      <c r="AY229" s="68"/>
      <c r="AZ229" s="66"/>
      <c r="BA229" s="68"/>
      <c r="BB229" s="68"/>
      <c r="BC229" s="68"/>
      <c r="BD229" s="68"/>
      <c r="BE229" s="68"/>
      <c r="BF229" s="66"/>
      <c r="BG229" s="66"/>
      <c r="BH229" s="66"/>
      <c r="BI229" s="66"/>
      <c r="BJ229" s="66"/>
      <c r="BK229" s="66"/>
      <c r="BL229" s="66"/>
      <c r="BM229" s="66"/>
      <c r="BN229" s="66"/>
      <c r="BO229" s="66"/>
      <c r="BP229" s="66"/>
      <c r="BQ229" s="66"/>
      <c r="BR229" s="66"/>
      <c r="BS229" s="66"/>
      <c r="BT229" s="66"/>
      <c r="BU229" s="66"/>
      <c r="BV229" s="66"/>
      <c r="BW229" s="66"/>
      <c r="BX229" s="66"/>
      <c r="BY229" s="66"/>
      <c r="BZ229" s="66"/>
      <c r="CA229" s="66"/>
      <c r="CB229" s="66"/>
      <c r="CC229" s="66"/>
      <c r="CD229" s="66"/>
      <c r="CE229" s="66"/>
      <c r="CF229" s="68"/>
      <c r="CG229" s="68"/>
      <c r="CH229" s="66"/>
      <c r="CI229" s="66"/>
      <c r="CJ229" s="68"/>
      <c r="CK229" s="68"/>
      <c r="CL229" s="68"/>
      <c r="CM229" s="68"/>
      <c r="CN229" s="66"/>
      <c r="CO229" s="68"/>
      <c r="CP229" s="66"/>
      <c r="CQ229" s="68"/>
      <c r="CR229" s="68"/>
      <c r="CS229" s="68"/>
      <c r="CT229" s="68"/>
      <c r="CU229" s="68"/>
      <c r="CV229" s="68"/>
      <c r="CW229" s="68"/>
      <c r="CX229" s="68"/>
      <c r="CY229" s="68"/>
      <c r="CZ229" s="68"/>
      <c r="DA229" s="68"/>
      <c r="DB229" s="68"/>
      <c r="DC229" s="68"/>
      <c r="DD229" s="68"/>
      <c r="DE229" s="68"/>
      <c r="DF229" s="68"/>
      <c r="DG229" s="68"/>
      <c r="DH229" s="68"/>
      <c r="DI229" s="68"/>
      <c r="DJ229" s="68"/>
      <c r="DK229" s="68"/>
      <c r="DL229" s="68"/>
      <c r="DM229" s="68"/>
      <c r="DN229" s="68"/>
      <c r="DO229" s="68"/>
      <c r="DP229" s="68"/>
      <c r="DQ229" s="99"/>
      <c r="DR229" s="99"/>
      <c r="DS229" s="68"/>
      <c r="DT229" s="68"/>
      <c r="DU229" s="68"/>
      <c r="DV229" s="68"/>
      <c r="DW229" s="68"/>
      <c r="DX229" s="68"/>
      <c r="DY229" s="68"/>
      <c r="DZ229" s="68"/>
      <c r="EA229" s="68"/>
      <c r="EB229" s="68"/>
      <c r="EC229" s="68"/>
      <c r="ED229" s="68"/>
      <c r="EE229" s="68"/>
      <c r="EF229" s="68"/>
      <c r="EG229" s="68"/>
      <c r="EH229" s="68"/>
      <c r="EI229" s="68"/>
      <c r="EJ229" s="68"/>
      <c r="EK229" s="68"/>
      <c r="EL229" s="68"/>
      <c r="EM229" s="68"/>
      <c r="EN229" s="68"/>
      <c r="EO229" s="68"/>
      <c r="EP229" s="68"/>
      <c r="EQ229" s="68"/>
      <c r="ER229" s="3"/>
      <c r="ES229" s="3"/>
      <c r="EW229"/>
      <c r="EX229"/>
      <c r="EY229"/>
      <c r="FB229" s="1"/>
    </row>
    <row r="230" spans="3:158" ht="20.25" customHeight="1" x14ac:dyDescent="0.25">
      <c r="C230" s="1"/>
      <c r="D230" s="97"/>
      <c r="E230" s="97"/>
      <c r="F230" s="98"/>
      <c r="G230" s="68"/>
      <c r="H230" s="68"/>
      <c r="I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108"/>
      <c r="AO230" s="68"/>
      <c r="AP230" s="68"/>
      <c r="AQ230" s="68"/>
      <c r="AR230" s="68"/>
      <c r="AS230" s="68"/>
      <c r="AT230" s="66"/>
      <c r="AU230" s="68"/>
      <c r="AV230" s="68"/>
      <c r="AW230" s="68"/>
      <c r="AX230" s="66"/>
      <c r="AY230" s="68"/>
      <c r="AZ230" s="66"/>
      <c r="BA230" s="68"/>
      <c r="BB230" s="68"/>
      <c r="BC230" s="68"/>
      <c r="BD230" s="68"/>
      <c r="BE230" s="68"/>
      <c r="BF230" s="66"/>
      <c r="BG230" s="66"/>
      <c r="BH230" s="66"/>
      <c r="BI230" s="66"/>
      <c r="BJ230" s="66"/>
      <c r="BK230" s="66"/>
      <c r="BL230" s="66"/>
      <c r="BM230" s="66"/>
      <c r="BN230" s="66"/>
      <c r="BO230" s="66"/>
      <c r="BP230" s="66"/>
      <c r="BQ230" s="66"/>
      <c r="BR230" s="66"/>
      <c r="BS230" s="66"/>
      <c r="BT230" s="66"/>
      <c r="BU230" s="66"/>
      <c r="BV230" s="66"/>
      <c r="BW230" s="66"/>
      <c r="BX230" s="66"/>
      <c r="BY230" s="66"/>
      <c r="BZ230" s="66"/>
      <c r="CA230" s="66"/>
      <c r="CB230" s="66"/>
      <c r="CC230" s="66"/>
      <c r="CD230" s="66"/>
      <c r="CE230" s="66"/>
      <c r="CF230" s="68"/>
      <c r="CG230" s="68"/>
      <c r="CH230" s="66"/>
      <c r="CI230" s="66"/>
      <c r="CJ230" s="68"/>
      <c r="CK230" s="68"/>
      <c r="CL230" s="68"/>
      <c r="CM230" s="68"/>
      <c r="CN230" s="66"/>
      <c r="CO230" s="68"/>
      <c r="CP230" s="66"/>
      <c r="CQ230" s="68"/>
      <c r="CR230" s="68"/>
      <c r="CS230" s="68"/>
      <c r="CT230" s="68"/>
      <c r="CU230" s="68"/>
      <c r="CV230" s="68"/>
      <c r="CW230" s="68"/>
      <c r="CX230" s="68"/>
      <c r="CY230" s="68"/>
      <c r="CZ230" s="68"/>
      <c r="DA230" s="68"/>
      <c r="DB230" s="68"/>
      <c r="DC230" s="68"/>
      <c r="DD230" s="68"/>
      <c r="DE230" s="68"/>
      <c r="DF230" s="68"/>
      <c r="DG230" s="68"/>
      <c r="DH230" s="68"/>
      <c r="DI230" s="68"/>
      <c r="DJ230" s="68"/>
      <c r="DK230" s="68"/>
      <c r="DL230" s="68"/>
      <c r="DM230" s="68"/>
      <c r="DN230" s="68"/>
      <c r="DO230" s="68"/>
      <c r="DP230" s="68"/>
      <c r="DQ230" s="99"/>
      <c r="DR230" s="99"/>
      <c r="DS230" s="68"/>
      <c r="DT230" s="68"/>
      <c r="DU230" s="68"/>
      <c r="DV230" s="68"/>
      <c r="DW230" s="68"/>
      <c r="DX230" s="68"/>
      <c r="DY230" s="68"/>
      <c r="DZ230" s="68"/>
      <c r="EA230" s="68"/>
      <c r="EB230" s="68"/>
      <c r="EC230" s="68"/>
      <c r="ED230" s="68"/>
      <c r="EE230" s="68"/>
      <c r="EF230" s="68"/>
      <c r="EG230" s="68"/>
      <c r="EH230" s="68"/>
      <c r="EI230" s="68"/>
      <c r="EJ230" s="68"/>
      <c r="EK230" s="68"/>
      <c r="EL230" s="68"/>
      <c r="EM230" s="68"/>
      <c r="EN230" s="68"/>
      <c r="EO230" s="68"/>
      <c r="EP230" s="68"/>
      <c r="EQ230" s="68"/>
      <c r="ER230" s="3"/>
      <c r="ES230" s="3"/>
      <c r="EW230"/>
      <c r="EX230"/>
      <c r="EY230"/>
      <c r="FB230" s="1"/>
    </row>
    <row r="231" spans="3:158" ht="20.25" customHeight="1" x14ac:dyDescent="0.25">
      <c r="C231" s="1"/>
      <c r="D231" s="97"/>
      <c r="E231" s="97"/>
      <c r="F231" s="98"/>
      <c r="G231" s="68"/>
      <c r="H231" s="68"/>
      <c r="I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108"/>
      <c r="AO231" s="68"/>
      <c r="AP231" s="68"/>
      <c r="AQ231" s="68"/>
      <c r="AR231" s="68"/>
      <c r="AS231" s="68"/>
      <c r="AT231" s="66"/>
      <c r="AU231" s="68"/>
      <c r="AV231" s="68"/>
      <c r="AW231" s="68"/>
      <c r="AX231" s="66"/>
      <c r="AY231" s="68"/>
      <c r="AZ231" s="66"/>
      <c r="BA231" s="68"/>
      <c r="BB231" s="68"/>
      <c r="BC231" s="68"/>
      <c r="BD231" s="68"/>
      <c r="BE231" s="68"/>
      <c r="BF231" s="66"/>
      <c r="BG231" s="66"/>
      <c r="BH231" s="66"/>
      <c r="BI231" s="66"/>
      <c r="BJ231" s="66"/>
      <c r="BK231" s="66"/>
      <c r="BL231" s="66"/>
      <c r="BM231" s="66"/>
      <c r="BN231" s="66"/>
      <c r="BO231" s="66"/>
      <c r="BP231" s="66"/>
      <c r="BQ231" s="66"/>
      <c r="BR231" s="66"/>
      <c r="BS231" s="66"/>
      <c r="BT231" s="66"/>
      <c r="BU231" s="66"/>
      <c r="BV231" s="66"/>
      <c r="BW231" s="66"/>
      <c r="BX231" s="66"/>
      <c r="BY231" s="66"/>
      <c r="BZ231" s="66"/>
      <c r="CA231" s="66"/>
      <c r="CB231" s="66"/>
      <c r="CC231" s="66"/>
      <c r="CD231" s="66"/>
      <c r="CE231" s="66"/>
      <c r="CF231" s="68"/>
      <c r="CG231" s="68"/>
      <c r="CH231" s="66"/>
      <c r="CI231" s="66"/>
      <c r="CJ231" s="68"/>
      <c r="CK231" s="68"/>
      <c r="CL231" s="68"/>
      <c r="CM231" s="68"/>
      <c r="CN231" s="66"/>
      <c r="CO231" s="68"/>
      <c r="CP231" s="66"/>
      <c r="CQ231" s="68"/>
      <c r="CR231" s="68"/>
      <c r="CS231" s="68"/>
      <c r="CT231" s="68"/>
      <c r="CU231" s="68"/>
      <c r="CV231" s="68"/>
      <c r="CW231" s="68"/>
      <c r="CX231" s="68"/>
      <c r="CY231" s="68"/>
      <c r="CZ231" s="68"/>
      <c r="DA231" s="68"/>
      <c r="DB231" s="68"/>
      <c r="DC231" s="68"/>
      <c r="DD231" s="68"/>
      <c r="DE231" s="68"/>
      <c r="DF231" s="68"/>
      <c r="DG231" s="68"/>
      <c r="DH231" s="68"/>
      <c r="DI231" s="68"/>
      <c r="DJ231" s="68"/>
      <c r="DK231" s="68"/>
      <c r="DL231" s="68"/>
      <c r="DM231" s="68"/>
      <c r="DN231" s="68"/>
      <c r="DO231" s="68"/>
      <c r="DP231" s="68"/>
      <c r="DQ231" s="99"/>
      <c r="DR231" s="99"/>
      <c r="DS231" s="68"/>
      <c r="DT231" s="68"/>
      <c r="DU231" s="68"/>
      <c r="DV231" s="68"/>
      <c r="DW231" s="68"/>
      <c r="DX231" s="68"/>
      <c r="DY231" s="68"/>
      <c r="DZ231" s="68"/>
      <c r="EA231" s="68"/>
      <c r="EB231" s="68"/>
      <c r="EC231" s="68"/>
      <c r="ED231" s="68"/>
      <c r="EE231" s="68"/>
      <c r="EF231" s="68"/>
      <c r="EG231" s="68"/>
      <c r="EH231" s="68"/>
      <c r="EI231" s="68"/>
      <c r="EJ231" s="68"/>
      <c r="EK231" s="68"/>
      <c r="EL231" s="68"/>
      <c r="EM231" s="68"/>
      <c r="EN231" s="68"/>
      <c r="EO231" s="68"/>
      <c r="EP231" s="68"/>
      <c r="EQ231" s="68"/>
      <c r="ER231" s="3"/>
      <c r="ES231" s="3"/>
      <c r="EW231"/>
      <c r="EX231"/>
      <c r="EY231"/>
      <c r="FB231" s="1"/>
    </row>
    <row r="232" spans="3:158" ht="20.25" customHeight="1" x14ac:dyDescent="0.25">
      <c r="C232" s="1"/>
      <c r="D232" s="97"/>
      <c r="E232" s="97"/>
      <c r="F232" s="98"/>
      <c r="G232" s="68"/>
      <c r="H232" s="68"/>
      <c r="I232" s="68"/>
      <c r="J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108"/>
      <c r="AO232" s="68"/>
      <c r="AP232" s="68"/>
      <c r="AQ232" s="68"/>
      <c r="AR232" s="68"/>
      <c r="AS232" s="68"/>
      <c r="AT232" s="66"/>
      <c r="AU232" s="68"/>
      <c r="AV232" s="68"/>
      <c r="AW232" s="68"/>
      <c r="AX232" s="66"/>
      <c r="AY232" s="68"/>
      <c r="AZ232" s="66"/>
      <c r="BA232" s="68"/>
      <c r="BB232" s="68"/>
      <c r="BC232" s="68"/>
      <c r="BD232" s="68"/>
      <c r="BE232" s="68"/>
      <c r="BF232" s="66"/>
      <c r="BG232" s="66"/>
      <c r="BH232" s="66"/>
      <c r="BI232" s="66"/>
      <c r="BJ232" s="66"/>
      <c r="BK232" s="66"/>
      <c r="BL232" s="66"/>
      <c r="BM232" s="66"/>
      <c r="BN232" s="66"/>
      <c r="BO232" s="66"/>
      <c r="BP232" s="66"/>
      <c r="BQ232" s="66"/>
      <c r="BR232" s="66"/>
      <c r="BS232" s="66"/>
      <c r="BT232" s="66"/>
      <c r="BU232" s="66"/>
      <c r="BV232" s="66"/>
      <c r="BW232" s="66"/>
      <c r="BX232" s="66"/>
      <c r="BY232" s="66"/>
      <c r="BZ232" s="66"/>
      <c r="CA232" s="66"/>
      <c r="CB232" s="66"/>
      <c r="CC232" s="66"/>
      <c r="CD232" s="66"/>
      <c r="CE232" s="66"/>
      <c r="CF232" s="68"/>
      <c r="CG232" s="68"/>
      <c r="CH232" s="66"/>
      <c r="CI232" s="66"/>
      <c r="CJ232" s="68"/>
      <c r="CK232" s="68"/>
      <c r="CL232" s="68"/>
      <c r="CM232" s="68"/>
      <c r="CN232" s="66"/>
      <c r="CO232" s="68"/>
      <c r="CP232" s="66"/>
      <c r="CQ232" s="68"/>
      <c r="CR232" s="68"/>
      <c r="CS232" s="68"/>
      <c r="CT232" s="68"/>
      <c r="CU232" s="68"/>
      <c r="CV232" s="68"/>
      <c r="CW232" s="68"/>
      <c r="CX232" s="68"/>
      <c r="CY232" s="68"/>
      <c r="CZ232" s="68"/>
      <c r="DA232" s="68"/>
      <c r="DB232" s="68"/>
      <c r="DC232" s="68"/>
      <c r="DD232" s="68"/>
      <c r="DE232" s="68"/>
      <c r="DF232" s="68"/>
      <c r="DG232" s="68"/>
      <c r="DH232" s="68"/>
      <c r="DI232" s="68"/>
      <c r="DJ232" s="68"/>
      <c r="DK232" s="68"/>
      <c r="DL232" s="68"/>
      <c r="DM232" s="68"/>
      <c r="DN232" s="68"/>
      <c r="DO232" s="68"/>
      <c r="DP232" s="68"/>
      <c r="DQ232" s="99"/>
      <c r="DR232" s="99"/>
      <c r="DS232" s="68"/>
      <c r="DT232" s="68"/>
      <c r="DU232" s="68"/>
      <c r="DV232" s="68"/>
      <c r="DW232" s="68"/>
      <c r="DX232" s="68"/>
      <c r="DY232" s="68"/>
      <c r="DZ232" s="68"/>
      <c r="EA232" s="68"/>
      <c r="EB232" s="68"/>
      <c r="EC232" s="68"/>
      <c r="ED232" s="68"/>
      <c r="EE232" s="68"/>
      <c r="EF232" s="68"/>
      <c r="EG232" s="68"/>
      <c r="EH232" s="68"/>
      <c r="EI232" s="68"/>
      <c r="EJ232" s="68"/>
      <c r="EK232" s="68"/>
      <c r="EL232" s="68"/>
      <c r="EM232" s="68"/>
      <c r="EN232" s="68"/>
      <c r="EO232" s="68"/>
      <c r="EP232" s="68"/>
      <c r="EQ232" s="68"/>
      <c r="ER232" s="3"/>
      <c r="ES232" s="3"/>
      <c r="EW232"/>
      <c r="EX232"/>
      <c r="EY232"/>
      <c r="FB232" s="1"/>
    </row>
    <row r="233" spans="3:158" ht="20.25" customHeight="1" x14ac:dyDescent="0.25">
      <c r="C233" s="1"/>
      <c r="D233" s="97"/>
      <c r="E233" s="97"/>
      <c r="F233" s="98"/>
      <c r="G233" s="68"/>
      <c r="H233" s="68"/>
      <c r="I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108"/>
      <c r="AO233" s="68"/>
      <c r="AP233" s="68"/>
      <c r="AQ233" s="68"/>
      <c r="AR233" s="68"/>
      <c r="AS233" s="68"/>
      <c r="AT233" s="66"/>
      <c r="AU233" s="68"/>
      <c r="AV233" s="68"/>
      <c r="AW233" s="68"/>
      <c r="AX233" s="66"/>
      <c r="AY233" s="68"/>
      <c r="AZ233" s="66"/>
      <c r="BA233" s="68"/>
      <c r="BB233" s="68"/>
      <c r="BC233" s="68"/>
      <c r="BD233" s="68"/>
      <c r="BE233" s="68"/>
      <c r="BF233" s="66"/>
      <c r="BG233" s="66"/>
      <c r="BH233" s="66"/>
      <c r="BI233" s="66"/>
      <c r="BJ233" s="66"/>
      <c r="BK233" s="66"/>
      <c r="BL233" s="66"/>
      <c r="BM233" s="66"/>
      <c r="BN233" s="66"/>
      <c r="BO233" s="66"/>
      <c r="BP233" s="66"/>
      <c r="BQ233" s="66"/>
      <c r="BR233" s="66"/>
      <c r="BS233" s="66"/>
      <c r="BT233" s="66"/>
      <c r="BU233" s="66"/>
      <c r="BV233" s="66"/>
      <c r="BW233" s="66"/>
      <c r="BX233" s="66"/>
      <c r="BY233" s="66"/>
      <c r="BZ233" s="66"/>
      <c r="CA233" s="66"/>
      <c r="CB233" s="66"/>
      <c r="CC233" s="66"/>
      <c r="CD233" s="66"/>
      <c r="CE233" s="66"/>
      <c r="CF233" s="68"/>
      <c r="CG233" s="68"/>
      <c r="CH233" s="66"/>
      <c r="CI233" s="66"/>
      <c r="CJ233" s="68"/>
      <c r="CK233" s="68"/>
      <c r="CL233" s="68"/>
      <c r="CM233" s="68"/>
      <c r="CN233" s="66"/>
      <c r="CO233" s="68"/>
      <c r="CP233" s="66"/>
      <c r="CQ233" s="68"/>
      <c r="CR233" s="68"/>
      <c r="CS233" s="68"/>
      <c r="CT233" s="68"/>
      <c r="CU233" s="68"/>
      <c r="CV233" s="68"/>
      <c r="CW233" s="68"/>
      <c r="CX233" s="68"/>
      <c r="CY233" s="68"/>
      <c r="CZ233" s="68"/>
      <c r="DA233" s="68"/>
      <c r="DB233" s="68"/>
      <c r="DC233" s="68"/>
      <c r="DD233" s="68"/>
      <c r="DE233" s="68"/>
      <c r="DF233" s="68"/>
      <c r="DG233" s="68"/>
      <c r="DH233" s="68"/>
      <c r="DI233" s="68"/>
      <c r="DJ233" s="68"/>
      <c r="DK233" s="68"/>
      <c r="DL233" s="68"/>
      <c r="DM233" s="68"/>
      <c r="DN233" s="68"/>
      <c r="DO233" s="68"/>
      <c r="DP233" s="68"/>
      <c r="DQ233" s="99"/>
      <c r="DR233" s="99"/>
      <c r="DS233" s="68"/>
      <c r="DT233" s="68"/>
      <c r="DU233" s="68"/>
      <c r="DV233" s="68"/>
      <c r="DW233" s="68"/>
      <c r="DX233" s="68"/>
      <c r="DY233" s="68"/>
      <c r="DZ233" s="68"/>
      <c r="EA233" s="68"/>
      <c r="EB233" s="68"/>
      <c r="EC233" s="68"/>
      <c r="ED233" s="68"/>
      <c r="EE233" s="68"/>
      <c r="EF233" s="68"/>
      <c r="EG233" s="68"/>
      <c r="EH233" s="68"/>
      <c r="EI233" s="68"/>
      <c r="EJ233" s="68"/>
      <c r="EK233" s="68"/>
      <c r="EL233" s="68"/>
      <c r="EM233" s="68"/>
      <c r="EN233" s="68"/>
      <c r="EO233" s="68"/>
      <c r="EP233" s="68"/>
      <c r="EQ233" s="68"/>
      <c r="ER233" s="3"/>
      <c r="ES233" s="3"/>
      <c r="EW233"/>
      <c r="EX233"/>
      <c r="EY233"/>
      <c r="FB233" s="1"/>
    </row>
    <row r="234" spans="3:158" ht="20.25" customHeight="1" x14ac:dyDescent="0.25">
      <c r="C234" s="1"/>
      <c r="D234" s="97"/>
      <c r="E234" s="97"/>
      <c r="F234" s="98"/>
      <c r="G234" s="68"/>
      <c r="H234" s="68"/>
      <c r="I234" s="68"/>
      <c r="J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108"/>
      <c r="AO234" s="68"/>
      <c r="AP234" s="68"/>
      <c r="AQ234" s="68"/>
      <c r="AR234" s="68"/>
      <c r="AS234" s="68"/>
      <c r="AT234" s="66"/>
      <c r="AU234" s="68"/>
      <c r="AV234" s="68"/>
      <c r="AW234" s="68"/>
      <c r="AX234" s="66"/>
      <c r="AY234" s="68"/>
      <c r="AZ234" s="66"/>
      <c r="BA234" s="68"/>
      <c r="BB234" s="68"/>
      <c r="BC234" s="68"/>
      <c r="BD234" s="68"/>
      <c r="BE234" s="68"/>
      <c r="BF234" s="66"/>
      <c r="BG234" s="66"/>
      <c r="BH234" s="66"/>
      <c r="BI234" s="66"/>
      <c r="BJ234" s="66"/>
      <c r="BK234" s="66"/>
      <c r="BL234" s="66"/>
      <c r="BM234" s="66"/>
      <c r="BN234" s="66"/>
      <c r="BO234" s="66"/>
      <c r="BP234" s="66"/>
      <c r="BQ234" s="66"/>
      <c r="BR234" s="66"/>
      <c r="BS234" s="66"/>
      <c r="BT234" s="66"/>
      <c r="BU234" s="66"/>
      <c r="BV234" s="66"/>
      <c r="BW234" s="66"/>
      <c r="BX234" s="66"/>
      <c r="BY234" s="66"/>
      <c r="BZ234" s="66"/>
      <c r="CA234" s="66"/>
      <c r="CB234" s="66"/>
      <c r="CC234" s="66"/>
      <c r="CD234" s="66"/>
      <c r="CE234" s="66"/>
      <c r="CF234" s="68"/>
      <c r="CG234" s="68"/>
      <c r="CH234" s="66"/>
      <c r="CI234" s="66"/>
      <c r="CJ234" s="68"/>
      <c r="CK234" s="68"/>
      <c r="CL234" s="68"/>
      <c r="CM234" s="68"/>
      <c r="CN234" s="66"/>
      <c r="CO234" s="68"/>
      <c r="CP234" s="66"/>
      <c r="CQ234" s="68"/>
      <c r="CR234" s="68"/>
      <c r="CS234" s="68"/>
      <c r="CT234" s="68"/>
      <c r="CU234" s="68"/>
      <c r="CV234" s="68"/>
      <c r="CW234" s="68"/>
      <c r="CX234" s="68"/>
      <c r="CY234" s="68"/>
      <c r="CZ234" s="68"/>
      <c r="DA234" s="68"/>
      <c r="DB234" s="68"/>
      <c r="DC234" s="68"/>
      <c r="DD234" s="68"/>
      <c r="DE234" s="68"/>
      <c r="DF234" s="68"/>
      <c r="DG234" s="68"/>
      <c r="DH234" s="68"/>
      <c r="DI234" s="68"/>
      <c r="DJ234" s="68"/>
      <c r="DK234" s="68"/>
      <c r="DL234" s="68"/>
      <c r="DM234" s="68"/>
      <c r="DN234" s="68"/>
      <c r="DO234" s="68"/>
      <c r="DP234" s="68"/>
      <c r="DQ234" s="99"/>
      <c r="DR234" s="99"/>
      <c r="DS234" s="68"/>
      <c r="DT234" s="68"/>
      <c r="DU234" s="68"/>
      <c r="DV234" s="68"/>
      <c r="DW234" s="68"/>
      <c r="DX234" s="68"/>
      <c r="DY234" s="68"/>
      <c r="DZ234" s="68"/>
      <c r="EA234" s="68"/>
      <c r="EB234" s="68"/>
      <c r="EC234" s="68"/>
      <c r="ED234" s="68"/>
      <c r="EE234" s="68"/>
      <c r="EF234" s="68"/>
      <c r="EG234" s="68"/>
      <c r="EH234" s="68"/>
      <c r="EI234" s="68"/>
      <c r="EJ234" s="68"/>
      <c r="EK234" s="68"/>
      <c r="EL234" s="68"/>
      <c r="EM234" s="68"/>
      <c r="EN234" s="68"/>
      <c r="EO234" s="68"/>
      <c r="EP234" s="68"/>
      <c r="EQ234" s="68"/>
      <c r="ER234" s="3"/>
      <c r="ES234" s="3"/>
      <c r="EW234"/>
      <c r="EX234"/>
      <c r="EY234"/>
      <c r="FB234" s="1"/>
    </row>
    <row r="235" spans="3:158" ht="20.25" customHeight="1" x14ac:dyDescent="0.25">
      <c r="C235" s="1"/>
      <c r="D235" s="97"/>
      <c r="E235" s="97"/>
      <c r="F235" s="98"/>
      <c r="G235" s="68"/>
      <c r="H235" s="68"/>
      <c r="I235" s="68"/>
      <c r="J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108"/>
      <c r="AO235" s="68"/>
      <c r="AP235" s="68"/>
      <c r="AQ235" s="68"/>
      <c r="AR235" s="68"/>
      <c r="AS235" s="68"/>
      <c r="AT235" s="66"/>
      <c r="AU235" s="68"/>
      <c r="AV235" s="68"/>
      <c r="AW235" s="68"/>
      <c r="AX235" s="66"/>
      <c r="AY235" s="68"/>
      <c r="AZ235" s="66"/>
      <c r="BA235" s="68"/>
      <c r="BB235" s="68"/>
      <c r="BC235" s="68"/>
      <c r="BD235" s="68"/>
      <c r="BE235" s="68"/>
      <c r="BF235" s="66"/>
      <c r="BG235" s="66"/>
      <c r="BH235" s="66"/>
      <c r="BI235" s="66"/>
      <c r="BJ235" s="66"/>
      <c r="BK235" s="66"/>
      <c r="BL235" s="66"/>
      <c r="BM235" s="66"/>
      <c r="BN235" s="66"/>
      <c r="BO235" s="66"/>
      <c r="BP235" s="66"/>
      <c r="BQ235" s="66"/>
      <c r="BR235" s="66"/>
      <c r="BS235" s="66"/>
      <c r="BT235" s="66"/>
      <c r="BU235" s="66"/>
      <c r="BV235" s="66"/>
      <c r="BW235" s="66"/>
      <c r="BX235" s="66"/>
      <c r="BY235" s="66"/>
      <c r="BZ235" s="66"/>
      <c r="CA235" s="66"/>
      <c r="CB235" s="66"/>
      <c r="CC235" s="66"/>
      <c r="CD235" s="66"/>
      <c r="CE235" s="66"/>
      <c r="CF235" s="68"/>
      <c r="CG235" s="68"/>
      <c r="CH235" s="66"/>
      <c r="CI235" s="66"/>
      <c r="CJ235" s="68"/>
      <c r="CK235" s="68"/>
      <c r="CL235" s="68"/>
      <c r="CM235" s="68"/>
      <c r="CN235" s="66"/>
      <c r="CO235" s="68"/>
      <c r="CP235" s="66"/>
      <c r="CQ235" s="68"/>
      <c r="CR235" s="68"/>
      <c r="CS235" s="68"/>
      <c r="CT235" s="68"/>
      <c r="CU235" s="68"/>
      <c r="CV235" s="68"/>
      <c r="CW235" s="68"/>
      <c r="CX235" s="68"/>
      <c r="CY235" s="68"/>
      <c r="CZ235" s="68"/>
      <c r="DA235" s="68"/>
      <c r="DB235" s="68"/>
      <c r="DC235" s="68"/>
      <c r="DD235" s="68"/>
      <c r="DE235" s="68"/>
      <c r="DF235" s="68"/>
      <c r="DG235" s="68"/>
      <c r="DH235" s="68"/>
      <c r="DI235" s="68"/>
      <c r="DJ235" s="68"/>
      <c r="DK235" s="68"/>
      <c r="DL235" s="68"/>
      <c r="DM235" s="68"/>
      <c r="DN235" s="68"/>
      <c r="DO235" s="68"/>
      <c r="DP235" s="68"/>
      <c r="DQ235" s="99"/>
      <c r="DR235" s="99"/>
      <c r="DS235" s="68"/>
      <c r="DT235" s="68"/>
      <c r="DU235" s="68"/>
      <c r="DV235" s="68"/>
      <c r="DW235" s="68"/>
      <c r="DX235" s="68"/>
      <c r="DY235" s="68"/>
      <c r="DZ235" s="68"/>
      <c r="EA235" s="68"/>
      <c r="EB235" s="68"/>
      <c r="EC235" s="68"/>
      <c r="ED235" s="68"/>
      <c r="EE235" s="68"/>
      <c r="EF235" s="68"/>
      <c r="EG235" s="68"/>
      <c r="EH235" s="68"/>
      <c r="EI235" s="68"/>
      <c r="EJ235" s="68"/>
      <c r="EK235" s="68"/>
      <c r="EL235" s="68"/>
      <c r="EM235" s="68"/>
      <c r="EN235" s="68"/>
      <c r="EO235" s="68"/>
      <c r="EP235" s="68"/>
      <c r="EQ235" s="68"/>
      <c r="ER235" s="3"/>
      <c r="ES235" s="3"/>
      <c r="EW235"/>
      <c r="EX235"/>
      <c r="EY235"/>
      <c r="FB235" s="1"/>
    </row>
    <row r="236" spans="3:158" ht="20.25" customHeight="1" x14ac:dyDescent="0.25">
      <c r="C236" s="1"/>
      <c r="D236" s="97"/>
      <c r="E236" s="97"/>
      <c r="F236" s="98"/>
      <c r="G236" s="68"/>
      <c r="H236" s="68"/>
      <c r="I236" s="68"/>
      <c r="J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108"/>
      <c r="AO236" s="68"/>
      <c r="AP236" s="68"/>
      <c r="AQ236" s="68"/>
      <c r="AR236" s="68"/>
      <c r="AS236" s="68"/>
      <c r="AT236" s="66"/>
      <c r="AU236" s="68"/>
      <c r="AV236" s="68"/>
      <c r="AW236" s="68"/>
      <c r="AX236" s="66"/>
      <c r="AY236" s="68"/>
      <c r="AZ236" s="66"/>
      <c r="BA236" s="68"/>
      <c r="BB236" s="68"/>
      <c r="BC236" s="68"/>
      <c r="BD236" s="68"/>
      <c r="BE236" s="68"/>
      <c r="BF236" s="66"/>
      <c r="BG236" s="66"/>
      <c r="BH236" s="66"/>
      <c r="BI236" s="66"/>
      <c r="BJ236" s="66"/>
      <c r="BK236" s="66"/>
      <c r="BL236" s="66"/>
      <c r="BM236" s="66"/>
      <c r="BN236" s="66"/>
      <c r="BO236" s="66"/>
      <c r="BP236" s="66"/>
      <c r="BQ236" s="66"/>
      <c r="BR236" s="66"/>
      <c r="BS236" s="66"/>
      <c r="BT236" s="66"/>
      <c r="BU236" s="66"/>
      <c r="BV236" s="66"/>
      <c r="BW236" s="66"/>
      <c r="BX236" s="66"/>
      <c r="BY236" s="66"/>
      <c r="BZ236" s="66"/>
      <c r="CA236" s="66"/>
      <c r="CB236" s="66"/>
      <c r="CC236" s="66"/>
      <c r="CD236" s="66"/>
      <c r="CE236" s="66"/>
      <c r="CF236" s="68"/>
      <c r="CG236" s="68"/>
      <c r="CH236" s="66"/>
      <c r="CI236" s="66"/>
      <c r="CJ236" s="68"/>
      <c r="CK236" s="68"/>
      <c r="CL236" s="68"/>
      <c r="CM236" s="68"/>
      <c r="CN236" s="66"/>
      <c r="CO236" s="68"/>
      <c r="CP236" s="66"/>
      <c r="CQ236" s="68"/>
      <c r="CR236" s="68"/>
      <c r="CS236" s="68"/>
      <c r="CT236" s="68"/>
      <c r="CU236" s="68"/>
      <c r="CV236" s="68"/>
      <c r="CW236" s="68"/>
      <c r="CX236" s="68"/>
      <c r="CY236" s="68"/>
      <c r="CZ236" s="68"/>
      <c r="DA236" s="68"/>
      <c r="DB236" s="68"/>
      <c r="DC236" s="68"/>
      <c r="DD236" s="68"/>
      <c r="DE236" s="68"/>
      <c r="DF236" s="68"/>
      <c r="DG236" s="68"/>
      <c r="DH236" s="68"/>
      <c r="DI236" s="68"/>
      <c r="DJ236" s="68"/>
      <c r="DK236" s="68"/>
      <c r="DL236" s="68"/>
      <c r="DM236" s="68"/>
      <c r="DN236" s="68"/>
      <c r="DO236" s="68"/>
      <c r="DP236" s="68"/>
      <c r="DQ236" s="99"/>
      <c r="DR236" s="99"/>
      <c r="DS236" s="68"/>
      <c r="DT236" s="68"/>
      <c r="DU236" s="68"/>
      <c r="DV236" s="68"/>
      <c r="DW236" s="68"/>
      <c r="DX236" s="68"/>
      <c r="DY236" s="68"/>
      <c r="DZ236" s="68"/>
      <c r="EA236" s="68"/>
      <c r="EB236" s="68"/>
      <c r="EC236" s="68"/>
      <c r="ED236" s="68"/>
      <c r="EE236" s="68"/>
      <c r="EF236" s="68"/>
      <c r="EG236" s="68"/>
      <c r="EH236" s="68"/>
      <c r="EI236" s="68"/>
      <c r="EJ236" s="68"/>
      <c r="EK236" s="68"/>
      <c r="EL236" s="68"/>
      <c r="EM236" s="68"/>
      <c r="EN236" s="68"/>
      <c r="EO236" s="68"/>
      <c r="EP236" s="68"/>
      <c r="EQ236" s="68"/>
      <c r="ER236" s="3"/>
      <c r="ES236" s="3"/>
      <c r="EW236"/>
      <c r="EX236"/>
      <c r="EY236"/>
      <c r="FB236" s="1"/>
    </row>
    <row r="237" spans="3:158" ht="20.25" customHeight="1" x14ac:dyDescent="0.25">
      <c r="C237" s="1"/>
      <c r="D237" s="97"/>
      <c r="E237" s="97"/>
      <c r="F237" s="98"/>
      <c r="G237" s="68"/>
      <c r="H237" s="68"/>
      <c r="I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108"/>
      <c r="AO237" s="68"/>
      <c r="AP237" s="68"/>
      <c r="AQ237" s="68"/>
      <c r="AR237" s="68"/>
      <c r="AS237" s="68"/>
      <c r="AT237" s="66"/>
      <c r="AU237" s="68"/>
      <c r="AV237" s="68"/>
      <c r="AW237" s="68"/>
      <c r="AX237" s="66"/>
      <c r="AY237" s="68"/>
      <c r="AZ237" s="66"/>
      <c r="BA237" s="68"/>
      <c r="BB237" s="68"/>
      <c r="BC237" s="68"/>
      <c r="BD237" s="68"/>
      <c r="BE237" s="68"/>
      <c r="BF237" s="66"/>
      <c r="BG237" s="66"/>
      <c r="BH237" s="66"/>
      <c r="BI237" s="66"/>
      <c r="BJ237" s="66"/>
      <c r="BK237" s="66"/>
      <c r="BL237" s="66"/>
      <c r="BM237" s="66"/>
      <c r="BN237" s="66"/>
      <c r="BO237" s="66"/>
      <c r="BP237" s="66"/>
      <c r="BQ237" s="66"/>
      <c r="BR237" s="66"/>
      <c r="BS237" s="66"/>
      <c r="BT237" s="66"/>
      <c r="BU237" s="66"/>
      <c r="BV237" s="66"/>
      <c r="BW237" s="66"/>
      <c r="BX237" s="66"/>
      <c r="BY237" s="66"/>
      <c r="BZ237" s="66"/>
      <c r="CA237" s="66"/>
      <c r="CB237" s="66"/>
      <c r="CC237" s="66"/>
      <c r="CD237" s="66"/>
      <c r="CE237" s="66"/>
      <c r="CF237" s="68"/>
      <c r="CG237" s="68"/>
      <c r="CH237" s="66"/>
      <c r="CI237" s="66"/>
      <c r="CJ237" s="68"/>
      <c r="CK237" s="68"/>
      <c r="CL237" s="68"/>
      <c r="CM237" s="68"/>
      <c r="CN237" s="66"/>
      <c r="CO237" s="68"/>
      <c r="CP237" s="66"/>
      <c r="CQ237" s="68"/>
      <c r="CR237" s="68"/>
      <c r="CS237" s="68"/>
      <c r="CT237" s="68"/>
      <c r="CU237" s="68"/>
      <c r="CV237" s="68"/>
      <c r="CW237" s="68"/>
      <c r="CX237" s="68"/>
      <c r="CY237" s="68"/>
      <c r="CZ237" s="68"/>
      <c r="DA237" s="68"/>
      <c r="DB237" s="68"/>
      <c r="DC237" s="68"/>
      <c r="DD237" s="68"/>
      <c r="DE237" s="68"/>
      <c r="DF237" s="68"/>
      <c r="DG237" s="68"/>
      <c r="DH237" s="68"/>
      <c r="DI237" s="68"/>
      <c r="DJ237" s="68"/>
      <c r="DK237" s="68"/>
      <c r="DL237" s="68"/>
      <c r="DM237" s="68"/>
      <c r="DN237" s="68"/>
      <c r="DO237" s="68"/>
      <c r="DP237" s="68"/>
      <c r="DQ237" s="99"/>
      <c r="DR237" s="99"/>
      <c r="DS237" s="68"/>
      <c r="DT237" s="68"/>
      <c r="DU237" s="68"/>
      <c r="DV237" s="68"/>
      <c r="DW237" s="68"/>
      <c r="DX237" s="68"/>
      <c r="DY237" s="68"/>
      <c r="DZ237" s="68"/>
      <c r="EA237" s="68"/>
      <c r="EB237" s="68"/>
      <c r="EC237" s="68"/>
      <c r="ED237" s="68"/>
      <c r="EE237" s="68"/>
      <c r="EF237" s="68"/>
      <c r="EG237" s="68"/>
      <c r="EH237" s="68"/>
      <c r="EI237" s="68"/>
      <c r="EJ237" s="68"/>
      <c r="EK237" s="68"/>
      <c r="EL237" s="68"/>
      <c r="EM237" s="68"/>
      <c r="EN237" s="68"/>
      <c r="EO237" s="68"/>
      <c r="EP237" s="68"/>
      <c r="EQ237" s="68"/>
      <c r="ER237" s="3"/>
      <c r="ES237" s="3"/>
      <c r="EW237"/>
      <c r="EX237"/>
      <c r="EY237"/>
      <c r="FB237" s="1"/>
    </row>
    <row r="238" spans="3:158" ht="20.25" customHeight="1" x14ac:dyDescent="0.25">
      <c r="C238" s="1"/>
      <c r="D238" s="97"/>
      <c r="E238" s="97"/>
      <c r="F238" s="98"/>
      <c r="G238" s="68"/>
      <c r="H238" s="68"/>
      <c r="I238" s="68"/>
      <c r="J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108"/>
      <c r="AO238" s="68"/>
      <c r="AP238" s="68"/>
      <c r="AQ238" s="68"/>
      <c r="AR238" s="68"/>
      <c r="AS238" s="68"/>
      <c r="AT238" s="66"/>
      <c r="AU238" s="68"/>
      <c r="AV238" s="68"/>
      <c r="AW238" s="68"/>
      <c r="AX238" s="66"/>
      <c r="AY238" s="68"/>
      <c r="AZ238" s="66"/>
      <c r="BA238" s="68"/>
      <c r="BB238" s="68"/>
      <c r="BC238" s="68"/>
      <c r="BD238" s="68"/>
      <c r="BE238" s="68"/>
      <c r="BF238" s="66"/>
      <c r="BG238" s="66"/>
      <c r="BH238" s="66"/>
      <c r="BI238" s="66"/>
      <c r="BJ238" s="66"/>
      <c r="BK238" s="66"/>
      <c r="BL238" s="66"/>
      <c r="BM238" s="66"/>
      <c r="BN238" s="66"/>
      <c r="BO238" s="66"/>
      <c r="BP238" s="66"/>
      <c r="BQ238" s="66"/>
      <c r="BR238" s="66"/>
      <c r="BS238" s="66"/>
      <c r="BT238" s="66"/>
      <c r="BU238" s="66"/>
      <c r="BV238" s="66"/>
      <c r="BW238" s="66"/>
      <c r="BX238" s="66"/>
      <c r="BY238" s="66"/>
      <c r="BZ238" s="66"/>
      <c r="CA238" s="66"/>
      <c r="CB238" s="66"/>
      <c r="CC238" s="66"/>
      <c r="CD238" s="66"/>
      <c r="CE238" s="66"/>
      <c r="CF238" s="68"/>
      <c r="CG238" s="68"/>
      <c r="CH238" s="66"/>
      <c r="CI238" s="66"/>
      <c r="CJ238" s="68"/>
      <c r="CK238" s="68"/>
      <c r="CL238" s="68"/>
      <c r="CM238" s="68"/>
      <c r="CN238" s="66"/>
      <c r="CO238" s="68"/>
      <c r="CP238" s="66"/>
      <c r="CQ238" s="68"/>
      <c r="CR238" s="68"/>
      <c r="CS238" s="68"/>
      <c r="CT238" s="68"/>
      <c r="CU238" s="68"/>
      <c r="CV238" s="68"/>
      <c r="CW238" s="68"/>
      <c r="CX238" s="68"/>
      <c r="CY238" s="68"/>
      <c r="CZ238" s="68"/>
      <c r="DA238" s="68"/>
      <c r="DB238" s="68"/>
      <c r="DC238" s="68"/>
      <c r="DD238" s="68"/>
      <c r="DE238" s="68"/>
      <c r="DF238" s="68"/>
      <c r="DG238" s="68"/>
      <c r="DH238" s="68"/>
      <c r="DI238" s="68"/>
      <c r="DJ238" s="68"/>
      <c r="DK238" s="68"/>
      <c r="DL238" s="68"/>
      <c r="DM238" s="68"/>
      <c r="DN238" s="68"/>
      <c r="DO238" s="68"/>
      <c r="DP238" s="68"/>
      <c r="DQ238" s="99"/>
      <c r="DR238" s="99"/>
      <c r="DS238" s="68"/>
      <c r="DT238" s="68"/>
      <c r="DU238" s="68"/>
      <c r="DV238" s="68"/>
      <c r="DW238" s="68"/>
      <c r="DX238" s="68"/>
      <c r="DY238" s="68"/>
      <c r="DZ238" s="68"/>
      <c r="EA238" s="68"/>
      <c r="EB238" s="68"/>
      <c r="EC238" s="68"/>
      <c r="ED238" s="68"/>
      <c r="EE238" s="68"/>
      <c r="EF238" s="68"/>
      <c r="EG238" s="68"/>
      <c r="EH238" s="68"/>
      <c r="EI238" s="68"/>
      <c r="EJ238" s="68"/>
      <c r="EK238" s="68"/>
      <c r="EL238" s="68"/>
      <c r="EM238" s="68"/>
      <c r="EN238" s="68"/>
      <c r="EO238" s="68"/>
      <c r="EP238" s="68"/>
      <c r="EQ238" s="68"/>
      <c r="ER238" s="3"/>
      <c r="ES238" s="3"/>
      <c r="EW238"/>
      <c r="EX238"/>
      <c r="EY238"/>
      <c r="FB238" s="1"/>
    </row>
    <row r="239" spans="3:158" ht="20.25" customHeight="1" x14ac:dyDescent="0.25">
      <c r="C239" s="1"/>
      <c r="D239" s="97"/>
      <c r="E239" s="97"/>
      <c r="F239" s="9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108"/>
      <c r="AO239" s="68"/>
      <c r="AP239" s="68"/>
      <c r="AQ239" s="68"/>
      <c r="AR239" s="68"/>
      <c r="AS239" s="68"/>
      <c r="AT239" s="66"/>
      <c r="AU239" s="68"/>
      <c r="AV239" s="68"/>
      <c r="AW239" s="68"/>
      <c r="AX239" s="66"/>
      <c r="AY239" s="68"/>
      <c r="AZ239" s="66"/>
      <c r="BA239" s="68"/>
      <c r="BB239" s="68"/>
      <c r="BC239" s="68"/>
      <c r="BD239" s="68"/>
      <c r="BE239" s="68"/>
      <c r="BF239" s="66"/>
      <c r="BG239" s="66"/>
      <c r="BH239" s="66"/>
      <c r="BI239" s="66"/>
      <c r="BJ239" s="66"/>
      <c r="BK239" s="66"/>
      <c r="BL239" s="66"/>
      <c r="BM239" s="66"/>
      <c r="BN239" s="66"/>
      <c r="BO239" s="66"/>
      <c r="BP239" s="66"/>
      <c r="BQ239" s="66"/>
      <c r="BR239" s="66"/>
      <c r="BS239" s="66"/>
      <c r="BT239" s="66"/>
      <c r="BU239" s="66"/>
      <c r="BV239" s="66"/>
      <c r="BW239" s="66"/>
      <c r="BX239" s="66"/>
      <c r="BY239" s="66"/>
      <c r="BZ239" s="66"/>
      <c r="CA239" s="66"/>
      <c r="CB239" s="66"/>
      <c r="CC239" s="66"/>
      <c r="CD239" s="66"/>
      <c r="CE239" s="66"/>
      <c r="CF239" s="68"/>
      <c r="CG239" s="68"/>
      <c r="CH239" s="66"/>
      <c r="CI239" s="66"/>
      <c r="CJ239" s="68"/>
      <c r="CK239" s="68"/>
      <c r="CL239" s="68"/>
      <c r="CM239" s="68"/>
      <c r="CN239" s="66"/>
      <c r="CO239" s="68"/>
      <c r="CP239" s="66"/>
      <c r="CQ239" s="68"/>
      <c r="CR239" s="68"/>
      <c r="CS239" s="68"/>
      <c r="CT239" s="68"/>
      <c r="CU239" s="68"/>
      <c r="CV239" s="68"/>
      <c r="CW239" s="68"/>
      <c r="CX239" s="68"/>
      <c r="CY239" s="68"/>
      <c r="CZ239" s="68"/>
      <c r="DA239" s="68"/>
      <c r="DB239" s="68"/>
      <c r="DC239" s="68"/>
      <c r="DD239" s="68"/>
      <c r="DE239" s="68"/>
      <c r="DF239" s="68"/>
      <c r="DG239" s="68"/>
      <c r="DH239" s="68"/>
      <c r="DI239" s="68"/>
      <c r="DJ239" s="68"/>
      <c r="DK239" s="68"/>
      <c r="DL239" s="68"/>
      <c r="DM239" s="68"/>
      <c r="DN239" s="68"/>
      <c r="DO239" s="68"/>
      <c r="DP239" s="68"/>
      <c r="DQ239" s="99"/>
      <c r="DR239" s="99"/>
      <c r="DS239" s="68"/>
      <c r="DT239" s="68"/>
      <c r="DU239" s="68"/>
      <c r="DV239" s="68"/>
      <c r="DW239" s="68"/>
      <c r="DX239" s="68"/>
      <c r="DY239" s="68"/>
      <c r="DZ239" s="68"/>
      <c r="EA239" s="68"/>
      <c r="EB239" s="68"/>
      <c r="EC239" s="68"/>
      <c r="ED239" s="68"/>
      <c r="EE239" s="68"/>
      <c r="EF239" s="68"/>
      <c r="EG239" s="68"/>
      <c r="EH239" s="68"/>
      <c r="EI239" s="68"/>
      <c r="EJ239" s="68"/>
      <c r="EK239" s="68"/>
      <c r="EL239" s="68"/>
      <c r="EM239" s="68"/>
      <c r="EN239" s="68"/>
      <c r="EO239" s="68"/>
      <c r="EP239" s="68"/>
      <c r="EQ239" s="68"/>
      <c r="ER239" s="3"/>
      <c r="ES239" s="3"/>
      <c r="EW239"/>
      <c r="EX239"/>
      <c r="EY239"/>
      <c r="FB239" s="1"/>
    </row>
    <row r="240" spans="3:158" ht="20.25" customHeight="1" x14ac:dyDescent="0.25">
      <c r="C240" s="1"/>
      <c r="D240" s="97"/>
      <c r="E240" s="97"/>
      <c r="F240" s="9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108"/>
      <c r="AO240" s="68"/>
      <c r="AP240" s="68"/>
      <c r="AQ240" s="68"/>
      <c r="AR240" s="68"/>
      <c r="AS240" s="68"/>
      <c r="AT240" s="66"/>
      <c r="AU240" s="68"/>
      <c r="AV240" s="68"/>
      <c r="AW240" s="68"/>
      <c r="AX240" s="66"/>
      <c r="AY240" s="68"/>
      <c r="AZ240" s="66"/>
      <c r="BA240" s="68"/>
      <c r="BB240" s="68"/>
      <c r="BC240" s="68"/>
      <c r="BD240" s="68"/>
      <c r="BE240" s="68"/>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66"/>
      <c r="CB240" s="66"/>
      <c r="CC240" s="66"/>
      <c r="CD240" s="66"/>
      <c r="CE240" s="66"/>
      <c r="CF240" s="68"/>
      <c r="CG240" s="68"/>
      <c r="CH240" s="66"/>
      <c r="CI240" s="66"/>
      <c r="CJ240" s="68"/>
      <c r="CK240" s="68"/>
      <c r="CL240" s="68"/>
      <c r="CM240" s="68"/>
      <c r="CN240" s="66"/>
      <c r="CO240" s="68"/>
      <c r="CP240" s="66"/>
      <c r="CQ240" s="68"/>
      <c r="CR240" s="68"/>
      <c r="CS240" s="68"/>
      <c r="CT240" s="68"/>
      <c r="CU240" s="68"/>
      <c r="CV240" s="68"/>
      <c r="CW240" s="68"/>
      <c r="CX240" s="68"/>
      <c r="CY240" s="68"/>
      <c r="CZ240" s="68"/>
      <c r="DA240" s="68"/>
      <c r="DB240" s="68"/>
      <c r="DC240" s="68"/>
      <c r="DD240" s="68"/>
      <c r="DE240" s="68"/>
      <c r="DF240" s="68"/>
      <c r="DG240" s="68"/>
      <c r="DH240" s="68"/>
      <c r="DI240" s="68"/>
      <c r="DJ240" s="68"/>
      <c r="DK240" s="68"/>
      <c r="DL240" s="68"/>
      <c r="DM240" s="68"/>
      <c r="DN240" s="68"/>
      <c r="DO240" s="68"/>
      <c r="DP240" s="68"/>
      <c r="DQ240" s="99"/>
      <c r="DR240" s="99"/>
      <c r="DS240" s="68"/>
      <c r="DT240" s="68"/>
      <c r="DU240" s="68"/>
      <c r="DV240" s="68"/>
      <c r="DW240" s="68"/>
      <c r="DX240" s="68"/>
      <c r="DY240" s="68"/>
      <c r="DZ240" s="68"/>
      <c r="EA240" s="68"/>
      <c r="EB240" s="68"/>
      <c r="EC240" s="68"/>
      <c r="ED240" s="68"/>
      <c r="EE240" s="68"/>
      <c r="EF240" s="68"/>
      <c r="EG240" s="68"/>
      <c r="EH240" s="68"/>
      <c r="EI240" s="68"/>
      <c r="EJ240" s="68"/>
      <c r="EK240" s="68"/>
      <c r="EL240" s="68"/>
      <c r="EM240" s="68"/>
      <c r="EN240" s="68"/>
      <c r="EO240" s="68"/>
      <c r="EP240" s="68"/>
      <c r="EQ240" s="68"/>
      <c r="ER240" s="3"/>
      <c r="ES240" s="3"/>
      <c r="EW240"/>
      <c r="EX240"/>
      <c r="EY240"/>
      <c r="FB240" s="1"/>
    </row>
    <row r="241" spans="3:158" ht="20.25" customHeight="1" x14ac:dyDescent="0.25">
      <c r="C241" s="1"/>
      <c r="D241" s="97"/>
      <c r="E241" s="97"/>
      <c r="F241" s="98"/>
      <c r="G241" s="68"/>
      <c r="H241" s="68"/>
      <c r="I241" s="68"/>
      <c r="J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108"/>
      <c r="AO241" s="68"/>
      <c r="AP241" s="68"/>
      <c r="AQ241" s="68"/>
      <c r="AR241" s="68"/>
      <c r="AS241" s="68"/>
      <c r="AT241" s="66"/>
      <c r="AU241" s="68"/>
      <c r="AV241" s="68"/>
      <c r="AW241" s="68"/>
      <c r="AX241" s="66"/>
      <c r="AY241" s="68"/>
      <c r="AZ241" s="66"/>
      <c r="BA241" s="68"/>
      <c r="BB241" s="68"/>
      <c r="BC241" s="68"/>
      <c r="BD241" s="68"/>
      <c r="BE241" s="68"/>
      <c r="BF241" s="66"/>
      <c r="BG241" s="66"/>
      <c r="BH241" s="66"/>
      <c r="BI241" s="66"/>
      <c r="BJ241" s="66"/>
      <c r="BK241" s="66"/>
      <c r="BL241" s="66"/>
      <c r="BM241" s="66"/>
      <c r="BN241" s="66"/>
      <c r="BO241" s="66"/>
      <c r="BP241" s="66"/>
      <c r="BQ241" s="66"/>
      <c r="BR241" s="66"/>
      <c r="BS241" s="66"/>
      <c r="BT241" s="66"/>
      <c r="BU241" s="66"/>
      <c r="BV241" s="66"/>
      <c r="BW241" s="66"/>
      <c r="BX241" s="66"/>
      <c r="BY241" s="66"/>
      <c r="BZ241" s="66"/>
      <c r="CA241" s="66"/>
      <c r="CB241" s="66"/>
      <c r="CC241" s="66"/>
      <c r="CD241" s="66"/>
      <c r="CE241" s="66"/>
      <c r="CF241" s="68"/>
      <c r="CG241" s="68"/>
      <c r="CH241" s="66"/>
      <c r="CI241" s="66"/>
      <c r="CJ241" s="68"/>
      <c r="CK241" s="68"/>
      <c r="CL241" s="68"/>
      <c r="CM241" s="68"/>
      <c r="CN241" s="66"/>
      <c r="CO241" s="68"/>
      <c r="CP241" s="66"/>
      <c r="CQ241" s="68"/>
      <c r="CR241" s="68"/>
      <c r="CS241" s="68"/>
      <c r="CT241" s="68"/>
      <c r="CU241" s="68"/>
      <c r="CV241" s="68"/>
      <c r="CW241" s="68"/>
      <c r="CX241" s="68"/>
      <c r="CY241" s="68"/>
      <c r="CZ241" s="68"/>
      <c r="DA241" s="68"/>
      <c r="DB241" s="68"/>
      <c r="DC241" s="68"/>
      <c r="DD241" s="68"/>
      <c r="DE241" s="68"/>
      <c r="DF241" s="68"/>
      <c r="DG241" s="68"/>
      <c r="DH241" s="68"/>
      <c r="DI241" s="68"/>
      <c r="DJ241" s="68"/>
      <c r="DK241" s="68"/>
      <c r="DL241" s="68"/>
      <c r="DM241" s="68"/>
      <c r="DN241" s="68"/>
      <c r="DO241" s="68"/>
      <c r="DP241" s="68"/>
      <c r="DQ241" s="99"/>
      <c r="DR241" s="99"/>
      <c r="DS241" s="68"/>
      <c r="DT241" s="68"/>
      <c r="DU241" s="68"/>
      <c r="DV241" s="68"/>
      <c r="DW241" s="68"/>
      <c r="DX241" s="68"/>
      <c r="DY241" s="68"/>
      <c r="DZ241" s="68"/>
      <c r="EA241" s="68"/>
      <c r="EB241" s="68"/>
      <c r="EC241" s="68"/>
      <c r="ED241" s="68"/>
      <c r="EE241" s="68"/>
      <c r="EF241" s="68"/>
      <c r="EG241" s="68"/>
      <c r="EH241" s="68"/>
      <c r="EI241" s="68"/>
      <c r="EJ241" s="68"/>
      <c r="EK241" s="68"/>
      <c r="EL241" s="68"/>
      <c r="EM241" s="68"/>
      <c r="EN241" s="68"/>
      <c r="EO241" s="68"/>
      <c r="EP241" s="68"/>
      <c r="EQ241" s="68"/>
      <c r="ER241" s="3"/>
      <c r="ES241" s="3"/>
      <c r="EW241"/>
      <c r="EX241"/>
      <c r="EY241"/>
      <c r="FB241" s="1"/>
    </row>
    <row r="242" spans="3:158" ht="20.25" customHeight="1" x14ac:dyDescent="0.25">
      <c r="C242" s="1"/>
      <c r="D242" s="97"/>
      <c r="E242" s="97"/>
      <c r="F242" s="98"/>
      <c r="G242" s="68"/>
      <c r="H242" s="68"/>
      <c r="I242" s="68"/>
      <c r="J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108"/>
      <c r="AO242" s="68"/>
      <c r="AP242" s="68"/>
      <c r="AQ242" s="68"/>
      <c r="AR242" s="68"/>
      <c r="AS242" s="68"/>
      <c r="AT242" s="66"/>
      <c r="AU242" s="68"/>
      <c r="AV242" s="68"/>
      <c r="AW242" s="68"/>
      <c r="AX242" s="66"/>
      <c r="AY242" s="68"/>
      <c r="AZ242" s="66"/>
      <c r="BA242" s="68"/>
      <c r="BB242" s="68"/>
      <c r="BC242" s="68"/>
      <c r="BD242" s="68"/>
      <c r="BE242" s="68"/>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66"/>
      <c r="CB242" s="66"/>
      <c r="CC242" s="66"/>
      <c r="CD242" s="66"/>
      <c r="CE242" s="66"/>
      <c r="CF242" s="68"/>
      <c r="CG242" s="68"/>
      <c r="CH242" s="66"/>
      <c r="CI242" s="66"/>
      <c r="CJ242" s="68"/>
      <c r="CK242" s="68"/>
      <c r="CL242" s="68"/>
      <c r="CM242" s="68"/>
      <c r="CN242" s="66"/>
      <c r="CO242" s="68"/>
      <c r="CP242" s="66"/>
      <c r="CQ242" s="68"/>
      <c r="CR242" s="68"/>
      <c r="CS242" s="68"/>
      <c r="CT242" s="68"/>
      <c r="CU242" s="68"/>
      <c r="CV242" s="68"/>
      <c r="CW242" s="68"/>
      <c r="CX242" s="68"/>
      <c r="CY242" s="68"/>
      <c r="CZ242" s="68"/>
      <c r="DA242" s="68"/>
      <c r="DB242" s="68"/>
      <c r="DC242" s="68"/>
      <c r="DD242" s="68"/>
      <c r="DE242" s="68"/>
      <c r="DF242" s="68"/>
      <c r="DG242" s="68"/>
      <c r="DH242" s="68"/>
      <c r="DI242" s="68"/>
      <c r="DJ242" s="68"/>
      <c r="DK242" s="68"/>
      <c r="DL242" s="68"/>
      <c r="DM242" s="68"/>
      <c r="DN242" s="68"/>
      <c r="DO242" s="68"/>
      <c r="DP242" s="68"/>
      <c r="DQ242" s="99"/>
      <c r="DR242" s="99"/>
      <c r="DS242" s="68"/>
      <c r="DT242" s="68"/>
      <c r="DU242" s="68"/>
      <c r="DV242" s="68"/>
      <c r="DW242" s="68"/>
      <c r="DX242" s="68"/>
      <c r="DY242" s="68"/>
      <c r="DZ242" s="68"/>
      <c r="EA242" s="68"/>
      <c r="EB242" s="68"/>
      <c r="EC242" s="68"/>
      <c r="ED242" s="68"/>
      <c r="EE242" s="68"/>
      <c r="EF242" s="68"/>
      <c r="EG242" s="68"/>
      <c r="EH242" s="68"/>
      <c r="EI242" s="68"/>
      <c r="EJ242" s="68"/>
      <c r="EK242" s="68"/>
      <c r="EL242" s="68"/>
      <c r="EM242" s="68"/>
      <c r="EN242" s="68"/>
      <c r="EO242" s="68"/>
      <c r="EP242" s="68"/>
      <c r="EQ242" s="68"/>
      <c r="ER242" s="3"/>
      <c r="ES242" s="3"/>
      <c r="EW242"/>
      <c r="EX242"/>
      <c r="EY242"/>
      <c r="FB242" s="1"/>
    </row>
    <row r="243" spans="3:158" ht="20.25" customHeight="1" x14ac:dyDescent="0.25">
      <c r="C243" s="1"/>
      <c r="D243" s="97"/>
      <c r="E243" s="97"/>
      <c r="F243" s="98"/>
      <c r="G243" s="68"/>
      <c r="H243" s="68"/>
      <c r="I243" s="68"/>
      <c r="J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108"/>
      <c r="AO243" s="68"/>
      <c r="AP243" s="68"/>
      <c r="AQ243" s="68"/>
      <c r="AR243" s="68"/>
      <c r="AS243" s="68"/>
      <c r="AT243" s="66"/>
      <c r="AU243" s="68"/>
      <c r="AV243" s="68"/>
      <c r="AW243" s="68"/>
      <c r="AX243" s="66"/>
      <c r="AY243" s="68"/>
      <c r="AZ243" s="66"/>
      <c r="BA243" s="68"/>
      <c r="BB243" s="68"/>
      <c r="BC243" s="68"/>
      <c r="BD243" s="68"/>
      <c r="BE243" s="68"/>
      <c r="BF243" s="66"/>
      <c r="BG243" s="66"/>
      <c r="BH243" s="66"/>
      <c r="BI243" s="66"/>
      <c r="BJ243" s="66"/>
      <c r="BK243" s="66"/>
      <c r="BL243" s="66"/>
      <c r="BM243" s="66"/>
      <c r="BN243" s="66"/>
      <c r="BO243" s="66"/>
      <c r="BP243" s="66"/>
      <c r="BQ243" s="66"/>
      <c r="BR243" s="66"/>
      <c r="BS243" s="66"/>
      <c r="BT243" s="66"/>
      <c r="BU243" s="66"/>
      <c r="BV243" s="66"/>
      <c r="BW243" s="66"/>
      <c r="BX243" s="66"/>
      <c r="BY243" s="66"/>
      <c r="BZ243" s="66"/>
      <c r="CA243" s="66"/>
      <c r="CB243" s="66"/>
      <c r="CC243" s="66"/>
      <c r="CD243" s="66"/>
      <c r="CE243" s="66"/>
      <c r="CF243" s="68"/>
      <c r="CG243" s="68"/>
      <c r="CH243" s="66"/>
      <c r="CI243" s="66"/>
      <c r="CJ243" s="68"/>
      <c r="CK243" s="68"/>
      <c r="CL243" s="68"/>
      <c r="CM243" s="68"/>
      <c r="CN243" s="66"/>
      <c r="CO243" s="68"/>
      <c r="CP243" s="66"/>
      <c r="CQ243" s="68"/>
      <c r="CR243" s="68"/>
      <c r="CS243" s="68"/>
      <c r="CT243" s="68"/>
      <c r="CU243" s="68"/>
      <c r="CV243" s="68"/>
      <c r="CW243" s="68"/>
      <c r="CX243" s="68"/>
      <c r="CY243" s="68"/>
      <c r="CZ243" s="68"/>
      <c r="DA243" s="68"/>
      <c r="DB243" s="68"/>
      <c r="DC243" s="68"/>
      <c r="DD243" s="68"/>
      <c r="DE243" s="68"/>
      <c r="DF243" s="68"/>
      <c r="DG243" s="68"/>
      <c r="DH243" s="68"/>
      <c r="DI243" s="68"/>
      <c r="DJ243" s="68"/>
      <c r="DK243" s="68"/>
      <c r="DL243" s="68"/>
      <c r="DM243" s="68"/>
      <c r="DN243" s="68"/>
      <c r="DO243" s="68"/>
      <c r="DP243" s="68"/>
      <c r="DQ243" s="99"/>
      <c r="DR243" s="99"/>
      <c r="DS243" s="68"/>
      <c r="DT243" s="68"/>
      <c r="DU243" s="68"/>
      <c r="DV243" s="68"/>
      <c r="DW243" s="68"/>
      <c r="DX243" s="68"/>
      <c r="DY243" s="68"/>
      <c r="DZ243" s="68"/>
      <c r="EA243" s="68"/>
      <c r="EB243" s="68"/>
      <c r="EC243" s="68"/>
      <c r="ED243" s="68"/>
      <c r="EE243" s="68"/>
      <c r="EF243" s="68"/>
      <c r="EG243" s="68"/>
      <c r="EH243" s="68"/>
      <c r="EI243" s="68"/>
      <c r="EJ243" s="68"/>
      <c r="EK243" s="68"/>
      <c r="EL243" s="68"/>
      <c r="EM243" s="68"/>
      <c r="EN243" s="68"/>
      <c r="EO243" s="68"/>
      <c r="EP243" s="68"/>
      <c r="EQ243" s="68"/>
      <c r="ER243" s="3"/>
      <c r="ES243" s="3"/>
      <c r="EW243"/>
      <c r="EX243"/>
      <c r="EY243"/>
      <c r="FB243" s="1"/>
    </row>
    <row r="244" spans="3:158" ht="15" customHeight="1" x14ac:dyDescent="0.25">
      <c r="DQ244" s="99"/>
      <c r="DR244" s="99"/>
      <c r="EW244"/>
      <c r="EX244"/>
      <c r="EY244"/>
    </row>
    <row r="245" spans="3:158" ht="15" customHeight="1" x14ac:dyDescent="0.25">
      <c r="DQ245" s="99"/>
      <c r="DR245" s="99"/>
      <c r="EW245"/>
      <c r="EX245"/>
      <c r="EY245"/>
    </row>
    <row r="246" spans="3:158" ht="15" customHeight="1" x14ac:dyDescent="0.25">
      <c r="DQ246" s="99"/>
      <c r="DR246" s="99"/>
      <c r="EW246"/>
      <c r="EX246"/>
      <c r="EY246"/>
    </row>
    <row r="247" spans="3:158" ht="15" customHeight="1" x14ac:dyDescent="0.25">
      <c r="DQ247" s="99"/>
      <c r="DR247" s="99"/>
      <c r="EW247"/>
      <c r="EX247"/>
      <c r="EY247"/>
    </row>
    <row r="248" spans="3:158" ht="15" customHeight="1" x14ac:dyDescent="0.25">
      <c r="DQ248" s="99"/>
      <c r="DR248" s="99"/>
      <c r="EW248"/>
      <c r="EX248"/>
      <c r="EY248"/>
    </row>
    <row r="249" spans="3:158" ht="15" customHeight="1" x14ac:dyDescent="0.25">
      <c r="DQ249" s="99"/>
      <c r="DR249" s="99"/>
      <c r="EW249"/>
      <c r="EX249"/>
      <c r="EY249"/>
    </row>
    <row r="250" spans="3:158" ht="15" customHeight="1" x14ac:dyDescent="0.25">
      <c r="DQ250" s="99"/>
      <c r="DR250" s="99"/>
      <c r="EW250"/>
      <c r="EX250"/>
      <c r="EY250"/>
    </row>
    <row r="251" spans="3:158" ht="15" customHeight="1" x14ac:dyDescent="0.25">
      <c r="DQ251" s="99"/>
      <c r="DR251" s="99"/>
      <c r="EW251"/>
      <c r="EX251"/>
      <c r="EY251"/>
    </row>
    <row r="252" spans="3:158" ht="15" customHeight="1" x14ac:dyDescent="0.25">
      <c r="DQ252" s="99"/>
      <c r="DR252" s="99"/>
      <c r="EW252"/>
      <c r="EX252"/>
      <c r="EY252"/>
    </row>
    <row r="253" spans="3:158" ht="15" customHeight="1" x14ac:dyDescent="0.25">
      <c r="DQ253" s="99"/>
      <c r="DR253" s="99"/>
      <c r="EW253"/>
      <c r="EX253"/>
      <c r="EY253"/>
    </row>
    <row r="254" spans="3:158" ht="15" customHeight="1" x14ac:dyDescent="0.25">
      <c r="DQ254" s="99"/>
      <c r="DR254" s="99"/>
      <c r="EW254"/>
      <c r="EX254"/>
      <c r="EY254"/>
    </row>
    <row r="255" spans="3:158" ht="15" customHeight="1" x14ac:dyDescent="0.25">
      <c r="DQ255" s="99"/>
      <c r="DR255" s="99"/>
      <c r="EW255"/>
      <c r="EX255"/>
      <c r="EY255"/>
    </row>
    <row r="256" spans="3:158" ht="15" customHeight="1" x14ac:dyDescent="0.25">
      <c r="DQ256" s="99"/>
      <c r="DR256" s="99"/>
      <c r="EW256"/>
      <c r="EX256"/>
      <c r="EY256"/>
    </row>
    <row r="257" spans="121:155" ht="15" customHeight="1" x14ac:dyDescent="0.25">
      <c r="DQ257" s="99"/>
      <c r="DR257" s="99"/>
      <c r="EW257"/>
      <c r="EX257"/>
      <c r="EY257"/>
    </row>
    <row r="258" spans="121:155" ht="15" customHeight="1" x14ac:dyDescent="0.25">
      <c r="DQ258" s="99"/>
      <c r="DR258" s="99"/>
      <c r="EW258"/>
      <c r="EX258"/>
      <c r="EY258"/>
    </row>
    <row r="259" spans="121:155" ht="15" customHeight="1" x14ac:dyDescent="0.25">
      <c r="DQ259" s="99"/>
      <c r="DR259" s="99"/>
      <c r="EW259"/>
      <c r="EX259"/>
      <c r="EY259"/>
    </row>
    <row r="260" spans="121:155" ht="15" customHeight="1" x14ac:dyDescent="0.25">
      <c r="DQ260" s="99"/>
      <c r="DR260" s="99"/>
      <c r="EW260"/>
      <c r="EX260"/>
      <c r="EY260"/>
    </row>
    <row r="261" spans="121:155" ht="15" customHeight="1" x14ac:dyDescent="0.25">
      <c r="DQ261" s="99"/>
      <c r="DR261" s="99"/>
      <c r="EW261"/>
      <c r="EX261"/>
      <c r="EY261"/>
    </row>
    <row r="262" spans="121:155" ht="15" customHeight="1" x14ac:dyDescent="0.25">
      <c r="DQ262" s="99"/>
      <c r="DR262" s="99"/>
      <c r="EW262"/>
      <c r="EX262"/>
      <c r="EY262"/>
    </row>
    <row r="263" spans="121:155" ht="15" customHeight="1" x14ac:dyDescent="0.25">
      <c r="DQ263" s="99"/>
      <c r="DR263" s="99"/>
      <c r="EW263"/>
      <c r="EX263"/>
      <c r="EY263"/>
    </row>
    <row r="264" spans="121:155" ht="15" customHeight="1" x14ac:dyDescent="0.25">
      <c r="DQ264" s="99"/>
      <c r="DR264" s="99"/>
      <c r="EW264"/>
      <c r="EX264"/>
      <c r="EY264"/>
    </row>
    <row r="265" spans="121:155" ht="15" customHeight="1" x14ac:dyDescent="0.25">
      <c r="DQ265" s="99"/>
      <c r="DR265" s="99"/>
      <c r="EW265"/>
      <c r="EX265"/>
      <c r="EY265"/>
    </row>
    <row r="266" spans="121:155" ht="15" customHeight="1" x14ac:dyDescent="0.25">
      <c r="DQ266" s="99"/>
      <c r="DR266" s="99"/>
      <c r="EW266"/>
      <c r="EX266"/>
      <c r="EY266"/>
    </row>
    <row r="267" spans="121:155" ht="15" customHeight="1" x14ac:dyDescent="0.25">
      <c r="DQ267" s="99"/>
      <c r="DR267" s="99"/>
      <c r="EW267"/>
      <c r="EX267"/>
      <c r="EY267"/>
    </row>
    <row r="268" spans="121:155" ht="15" customHeight="1" x14ac:dyDescent="0.25">
      <c r="DQ268" s="99"/>
      <c r="DR268" s="99"/>
      <c r="EW268"/>
      <c r="EX268"/>
      <c r="EY268"/>
    </row>
    <row r="269" spans="121:155" ht="15" customHeight="1" x14ac:dyDescent="0.25">
      <c r="DQ269" s="99"/>
      <c r="DR269" s="99"/>
      <c r="EW269"/>
      <c r="EX269"/>
      <c r="EY269"/>
    </row>
    <row r="270" spans="121:155" ht="15" customHeight="1" x14ac:dyDescent="0.25">
      <c r="DQ270" s="99"/>
      <c r="DR270" s="99"/>
      <c r="EW270"/>
      <c r="EX270"/>
      <c r="EY270"/>
    </row>
    <row r="271" spans="121:155" ht="15" customHeight="1" x14ac:dyDescent="0.25">
      <c r="DQ271" s="99"/>
      <c r="DR271" s="99"/>
      <c r="EW271"/>
      <c r="EX271"/>
      <c r="EY271"/>
    </row>
    <row r="272" spans="121:155" ht="15" customHeight="1" x14ac:dyDescent="0.25">
      <c r="DQ272" s="99"/>
      <c r="DR272" s="99"/>
      <c r="EW272"/>
      <c r="EX272"/>
      <c r="EY272"/>
    </row>
    <row r="273" spans="121:155" ht="15" customHeight="1" x14ac:dyDescent="0.25">
      <c r="DQ273" s="99"/>
      <c r="DR273" s="99"/>
      <c r="EW273"/>
      <c r="EX273"/>
      <c r="EY273"/>
    </row>
    <row r="274" spans="121:155" ht="15" customHeight="1" x14ac:dyDescent="0.25">
      <c r="DQ274" s="99"/>
      <c r="DR274" s="99"/>
      <c r="EW274"/>
      <c r="EX274"/>
      <c r="EY274"/>
    </row>
    <row r="275" spans="121:155" ht="15" customHeight="1" x14ac:dyDescent="0.25">
      <c r="DQ275" s="99"/>
      <c r="DR275" s="99"/>
      <c r="EW275"/>
      <c r="EX275"/>
      <c r="EY275"/>
    </row>
    <row r="276" spans="121:155" ht="15" customHeight="1" x14ac:dyDescent="0.25">
      <c r="DQ276" s="99"/>
      <c r="DR276" s="99"/>
      <c r="EW276"/>
      <c r="EX276"/>
      <c r="EY276"/>
    </row>
    <row r="277" spans="121:155" ht="15" customHeight="1" x14ac:dyDescent="0.25">
      <c r="DQ277" s="99"/>
      <c r="DR277" s="99"/>
      <c r="EW277"/>
      <c r="EX277"/>
      <c r="EY277"/>
    </row>
    <row r="278" spans="121:155" ht="15" customHeight="1" x14ac:dyDescent="0.25">
      <c r="DQ278" s="99"/>
      <c r="DR278" s="99"/>
      <c r="EW278"/>
      <c r="EX278"/>
      <c r="EY278"/>
    </row>
    <row r="279" spans="121:155" ht="15" customHeight="1" x14ac:dyDescent="0.25">
      <c r="DQ279" s="99"/>
      <c r="DR279" s="99"/>
      <c r="EW279"/>
      <c r="EX279"/>
      <c r="EY279"/>
    </row>
    <row r="280" spans="121:155" ht="15" customHeight="1" x14ac:dyDescent="0.25">
      <c r="DQ280" s="99"/>
      <c r="DR280" s="99"/>
      <c r="EW280"/>
      <c r="EX280"/>
      <c r="EY280"/>
    </row>
    <row r="281" spans="121:155" ht="15" customHeight="1" x14ac:dyDescent="0.25">
      <c r="DQ281" s="99"/>
      <c r="DR281" s="99"/>
      <c r="EW281"/>
      <c r="EX281"/>
      <c r="EY281"/>
    </row>
    <row r="282" spans="121:155" ht="15" customHeight="1" x14ac:dyDescent="0.25">
      <c r="DQ282" s="99"/>
      <c r="DR282" s="99"/>
      <c r="EW282"/>
      <c r="EX282"/>
      <c r="EY282"/>
    </row>
    <row r="283" spans="121:155" ht="15" customHeight="1" x14ac:dyDescent="0.25">
      <c r="DQ283" s="99"/>
      <c r="DR283" s="99"/>
      <c r="EW283"/>
      <c r="EX283"/>
      <c r="EY283"/>
    </row>
    <row r="284" spans="121:155" ht="15" customHeight="1" x14ac:dyDescent="0.25">
      <c r="DQ284" s="99"/>
      <c r="DR284" s="99"/>
      <c r="EW284"/>
      <c r="EX284"/>
      <c r="EY284"/>
    </row>
    <row r="285" spans="121:155" ht="15" customHeight="1" x14ac:dyDescent="0.25">
      <c r="DQ285" s="99"/>
      <c r="DR285" s="99"/>
      <c r="EW285"/>
      <c r="EX285"/>
      <c r="EY285"/>
    </row>
    <row r="286" spans="121:155" ht="15" customHeight="1" x14ac:dyDescent="0.25">
      <c r="DQ286" s="99"/>
      <c r="DR286" s="99"/>
      <c r="EW286"/>
      <c r="EX286"/>
      <c r="EY286"/>
    </row>
    <row r="287" spans="121:155" ht="15" customHeight="1" x14ac:dyDescent="0.25">
      <c r="DQ287" s="99"/>
      <c r="DR287" s="99"/>
      <c r="EW287"/>
      <c r="EX287"/>
      <c r="EY287"/>
    </row>
    <row r="288" spans="121:155" ht="15" customHeight="1" x14ac:dyDescent="0.25">
      <c r="DQ288" s="99"/>
      <c r="DR288" s="99"/>
      <c r="EW288"/>
      <c r="EX288"/>
      <c r="EY288"/>
    </row>
    <row r="289" spans="121:155" ht="15" customHeight="1" x14ac:dyDescent="0.25">
      <c r="DQ289" s="99"/>
      <c r="DR289" s="99"/>
      <c r="EW289"/>
      <c r="EX289"/>
      <c r="EY289"/>
    </row>
    <row r="290" spans="121:155" ht="15" customHeight="1" x14ac:dyDescent="0.25">
      <c r="DQ290" s="99"/>
      <c r="DR290" s="99"/>
      <c r="EW290"/>
      <c r="EX290"/>
      <c r="EY290"/>
    </row>
    <row r="291" spans="121:155" ht="15" customHeight="1" x14ac:dyDescent="0.25">
      <c r="DQ291" s="99"/>
      <c r="DR291" s="99"/>
      <c r="EW291"/>
      <c r="EX291"/>
      <c r="EY291"/>
    </row>
    <row r="292" spans="121:155" ht="15" customHeight="1" x14ac:dyDescent="0.25">
      <c r="DQ292" s="99"/>
      <c r="DR292" s="99"/>
      <c r="EW292"/>
      <c r="EX292"/>
      <c r="EY292"/>
    </row>
    <row r="293" spans="121:155" ht="15" customHeight="1" x14ac:dyDescent="0.25">
      <c r="DQ293" s="99"/>
      <c r="DR293" s="99"/>
      <c r="EW293"/>
      <c r="EX293"/>
      <c r="EY293"/>
    </row>
    <row r="294" spans="121:155" ht="15" customHeight="1" x14ac:dyDescent="0.25">
      <c r="DQ294" s="99"/>
      <c r="DR294" s="99"/>
      <c r="EW294"/>
      <c r="EX294"/>
      <c r="EY294"/>
    </row>
    <row r="295" spans="121:155" ht="15" customHeight="1" x14ac:dyDescent="0.25">
      <c r="DQ295" s="99"/>
      <c r="DR295" s="99"/>
      <c r="EW295"/>
      <c r="EX295"/>
      <c r="EY295"/>
    </row>
    <row r="296" spans="121:155" ht="15" customHeight="1" x14ac:dyDescent="0.25">
      <c r="DQ296" s="99"/>
      <c r="DR296" s="99"/>
      <c r="EW296"/>
      <c r="EX296"/>
      <c r="EY296"/>
    </row>
    <row r="297" spans="121:155" ht="15" customHeight="1" x14ac:dyDescent="0.25">
      <c r="DQ297" s="99"/>
      <c r="DR297" s="99"/>
      <c r="EW297"/>
      <c r="EX297"/>
      <c r="EY297"/>
    </row>
    <row r="298" spans="121:155" ht="15" customHeight="1" x14ac:dyDescent="0.25">
      <c r="DQ298" s="99"/>
      <c r="DR298" s="99"/>
      <c r="EW298"/>
      <c r="EX298"/>
      <c r="EY298"/>
    </row>
    <row r="299" spans="121:155" ht="15" customHeight="1" x14ac:dyDescent="0.25">
      <c r="DQ299" s="99"/>
      <c r="DR299" s="99"/>
      <c r="EW299"/>
      <c r="EX299"/>
      <c r="EY299"/>
    </row>
    <row r="300" spans="121:155" ht="15" customHeight="1" x14ac:dyDescent="0.25">
      <c r="DQ300" s="99"/>
      <c r="DR300" s="99"/>
      <c r="EW300"/>
      <c r="EX300"/>
      <c r="EY300"/>
    </row>
    <row r="301" spans="121:155" ht="15" customHeight="1" x14ac:dyDescent="0.25">
      <c r="DQ301" s="99"/>
      <c r="DR301" s="99"/>
      <c r="EW301"/>
      <c r="EX301"/>
      <c r="EY301"/>
    </row>
    <row r="302" spans="121:155" ht="15" customHeight="1" x14ac:dyDescent="0.25">
      <c r="DQ302" s="99"/>
      <c r="DR302" s="99"/>
      <c r="EW302"/>
      <c r="EX302"/>
      <c r="EY302"/>
    </row>
    <row r="303" spans="121:155" ht="15" customHeight="1" x14ac:dyDescent="0.25">
      <c r="DQ303" s="99"/>
      <c r="DR303" s="99"/>
      <c r="EW303"/>
      <c r="EX303"/>
      <c r="EY303"/>
    </row>
    <row r="304" spans="121:155" ht="15" customHeight="1" x14ac:dyDescent="0.25">
      <c r="DQ304" s="99"/>
      <c r="DR304" s="99"/>
      <c r="EW304"/>
      <c r="EX304"/>
      <c r="EY304"/>
    </row>
    <row r="305" spans="121:155" ht="15" customHeight="1" x14ac:dyDescent="0.25">
      <c r="DQ305" s="99"/>
      <c r="DR305" s="99"/>
      <c r="EW305"/>
      <c r="EX305"/>
      <c r="EY305"/>
    </row>
    <row r="306" spans="121:155" ht="15" customHeight="1" x14ac:dyDescent="0.25">
      <c r="DQ306" s="99"/>
      <c r="DR306" s="99"/>
      <c r="EW306"/>
      <c r="EX306"/>
      <c r="EY306"/>
    </row>
    <row r="307" spans="121:155" ht="15" customHeight="1" x14ac:dyDescent="0.25">
      <c r="DQ307" s="99"/>
      <c r="DR307" s="99"/>
      <c r="EW307"/>
      <c r="EX307"/>
      <c r="EY307"/>
    </row>
    <row r="308" spans="121:155" ht="15" customHeight="1" x14ac:dyDescent="0.25">
      <c r="DQ308" s="99"/>
      <c r="DR308" s="99"/>
      <c r="EW308"/>
      <c r="EX308"/>
      <c r="EY308"/>
    </row>
    <row r="309" spans="121:155" ht="15" customHeight="1" x14ac:dyDescent="0.25">
      <c r="DQ309" s="99"/>
      <c r="DR309" s="99"/>
      <c r="EW309"/>
      <c r="EX309"/>
      <c r="EY309"/>
    </row>
    <row r="310" spans="121:155" ht="15" customHeight="1" x14ac:dyDescent="0.25">
      <c r="DQ310" s="99"/>
      <c r="DR310" s="99"/>
      <c r="EW310"/>
      <c r="EX310"/>
      <c r="EY310"/>
    </row>
    <row r="311" spans="121:155" ht="15" customHeight="1" x14ac:dyDescent="0.25">
      <c r="DQ311" s="99"/>
      <c r="DR311" s="99"/>
      <c r="EW311"/>
      <c r="EX311"/>
      <c r="EY311"/>
    </row>
    <row r="312" spans="121:155" ht="15" customHeight="1" x14ac:dyDescent="0.25">
      <c r="DQ312" s="99"/>
      <c r="DR312" s="99"/>
      <c r="EW312"/>
      <c r="EX312"/>
      <c r="EY312"/>
    </row>
    <row r="313" spans="121:155" ht="15" customHeight="1" x14ac:dyDescent="0.25">
      <c r="DQ313" s="99"/>
      <c r="DR313" s="99"/>
      <c r="EW313"/>
      <c r="EX313"/>
      <c r="EY313"/>
    </row>
    <row r="314" spans="121:155" ht="15" customHeight="1" x14ac:dyDescent="0.25">
      <c r="DQ314" s="99"/>
      <c r="DR314" s="99"/>
      <c r="EW314"/>
      <c r="EX314"/>
      <c r="EY314"/>
    </row>
    <row r="315" spans="121:155" ht="15" customHeight="1" x14ac:dyDescent="0.25">
      <c r="DQ315" s="99"/>
      <c r="DR315" s="99"/>
      <c r="EW315"/>
      <c r="EX315"/>
      <c r="EY315"/>
    </row>
    <row r="316" spans="121:155" ht="15" customHeight="1" x14ac:dyDescent="0.25">
      <c r="DQ316" s="99"/>
      <c r="DR316" s="99"/>
      <c r="EW316"/>
      <c r="EX316"/>
      <c r="EY316"/>
    </row>
    <row r="317" spans="121:155" ht="15" customHeight="1" x14ac:dyDescent="0.25">
      <c r="DQ317" s="99"/>
      <c r="DR317" s="99"/>
      <c r="EW317"/>
      <c r="EX317"/>
      <c r="EY317"/>
    </row>
    <row r="318" spans="121:155" ht="15" customHeight="1" x14ac:dyDescent="0.25">
      <c r="DQ318" s="99"/>
      <c r="DR318" s="99"/>
      <c r="EW318"/>
      <c r="EX318"/>
      <c r="EY318"/>
    </row>
    <row r="319" spans="121:155" ht="15" customHeight="1" x14ac:dyDescent="0.25">
      <c r="DQ319" s="99"/>
      <c r="DR319" s="99"/>
      <c r="EW319"/>
      <c r="EX319"/>
      <c r="EY319"/>
    </row>
    <row r="320" spans="121:155" ht="15" customHeight="1" x14ac:dyDescent="0.25">
      <c r="DQ320" s="99"/>
      <c r="DR320" s="99"/>
      <c r="EW320"/>
      <c r="EX320"/>
      <c r="EY320"/>
    </row>
    <row r="321" spans="121:155" ht="15" customHeight="1" x14ac:dyDescent="0.25">
      <c r="DQ321" s="99"/>
      <c r="DR321" s="99"/>
      <c r="EW321"/>
      <c r="EX321"/>
      <c r="EY321"/>
    </row>
    <row r="322" spans="121:155" ht="15" customHeight="1" x14ac:dyDescent="0.25">
      <c r="DQ322" s="99"/>
      <c r="DR322" s="99"/>
      <c r="EW322"/>
      <c r="EX322"/>
      <c r="EY322"/>
    </row>
    <row r="323" spans="121:155" ht="15" customHeight="1" x14ac:dyDescent="0.25">
      <c r="DQ323" s="99"/>
      <c r="DR323" s="99"/>
      <c r="EW323"/>
      <c r="EX323"/>
      <c r="EY323"/>
    </row>
    <row r="324" spans="121:155" ht="15" customHeight="1" x14ac:dyDescent="0.25">
      <c r="DQ324" s="99"/>
      <c r="DR324" s="99"/>
      <c r="EW324"/>
      <c r="EX324"/>
      <c r="EY324"/>
    </row>
    <row r="325" spans="121:155" ht="15" customHeight="1" x14ac:dyDescent="0.25">
      <c r="DQ325" s="99"/>
      <c r="DR325" s="99"/>
      <c r="EW325"/>
      <c r="EX325"/>
      <c r="EY325"/>
    </row>
    <row r="326" spans="121:155" ht="15" customHeight="1" x14ac:dyDescent="0.25">
      <c r="DQ326" s="99"/>
      <c r="DR326" s="99"/>
      <c r="EW326"/>
      <c r="EX326"/>
      <c r="EY326"/>
    </row>
    <row r="327" spans="121:155" ht="15" customHeight="1" x14ac:dyDescent="0.25">
      <c r="DQ327" s="99"/>
      <c r="DR327" s="99"/>
      <c r="EW327"/>
      <c r="EX327"/>
      <c r="EY327"/>
    </row>
    <row r="328" spans="121:155" ht="15" customHeight="1" x14ac:dyDescent="0.25">
      <c r="DQ328" s="99"/>
      <c r="DR328" s="99"/>
      <c r="EW328"/>
      <c r="EX328"/>
      <c r="EY328"/>
    </row>
    <row r="329" spans="121:155" ht="15" customHeight="1" x14ac:dyDescent="0.25">
      <c r="DQ329" s="99"/>
      <c r="DR329" s="99"/>
      <c r="EW329"/>
      <c r="EX329"/>
      <c r="EY329"/>
    </row>
    <row r="330" spans="121:155" ht="15" customHeight="1" x14ac:dyDescent="0.25">
      <c r="DQ330" s="99"/>
      <c r="DR330" s="99"/>
      <c r="EW330"/>
      <c r="EX330"/>
      <c r="EY330"/>
    </row>
    <row r="331" spans="121:155" ht="15" customHeight="1" x14ac:dyDescent="0.25">
      <c r="DQ331" s="99"/>
      <c r="DR331" s="99"/>
      <c r="EW331"/>
      <c r="EX331"/>
      <c r="EY331"/>
    </row>
    <row r="332" spans="121:155" ht="15" customHeight="1" x14ac:dyDescent="0.25">
      <c r="DQ332" s="99"/>
      <c r="DR332" s="99"/>
      <c r="EW332"/>
      <c r="EX332"/>
      <c r="EY332"/>
    </row>
    <row r="333" spans="121:155" ht="15" customHeight="1" x14ac:dyDescent="0.25">
      <c r="DQ333" s="99"/>
      <c r="DR333" s="99"/>
      <c r="EW333"/>
      <c r="EX333"/>
      <c r="EY333"/>
    </row>
    <row r="334" spans="121:155" ht="15" customHeight="1" x14ac:dyDescent="0.25">
      <c r="DQ334" s="99"/>
      <c r="DR334" s="99"/>
      <c r="EW334"/>
      <c r="EX334"/>
      <c r="EY334"/>
    </row>
    <row r="335" spans="121:155" ht="15" customHeight="1" x14ac:dyDescent="0.25">
      <c r="DQ335" s="99"/>
      <c r="DR335" s="99"/>
      <c r="EW335"/>
      <c r="EX335"/>
      <c r="EY335"/>
    </row>
    <row r="336" spans="121:155" ht="15" customHeight="1" x14ac:dyDescent="0.25">
      <c r="DQ336" s="99"/>
      <c r="DR336" s="99"/>
      <c r="EW336"/>
      <c r="EX336"/>
      <c r="EY336"/>
    </row>
    <row r="337" spans="121:155" ht="15" customHeight="1" x14ac:dyDescent="0.25">
      <c r="DQ337" s="99"/>
      <c r="DR337" s="99"/>
      <c r="EW337"/>
      <c r="EX337"/>
      <c r="EY337"/>
    </row>
    <row r="338" spans="121:155" ht="15" customHeight="1" x14ac:dyDescent="0.25">
      <c r="DQ338" s="99"/>
      <c r="DR338" s="99"/>
      <c r="EW338"/>
      <c r="EX338"/>
      <c r="EY338"/>
    </row>
    <row r="339" spans="121:155" ht="15" customHeight="1" x14ac:dyDescent="0.25">
      <c r="DQ339" s="99"/>
      <c r="DR339" s="99"/>
      <c r="EW339"/>
      <c r="EX339"/>
      <c r="EY339"/>
    </row>
    <row r="340" spans="121:155" ht="15" customHeight="1" x14ac:dyDescent="0.25">
      <c r="DQ340" s="99"/>
      <c r="DR340" s="99"/>
      <c r="EW340"/>
      <c r="EX340"/>
      <c r="EY340"/>
    </row>
    <row r="341" spans="121:155" ht="15" customHeight="1" x14ac:dyDescent="0.25">
      <c r="DQ341" s="99"/>
      <c r="DR341" s="99"/>
      <c r="EW341"/>
      <c r="EX341"/>
      <c r="EY341"/>
    </row>
    <row r="342" spans="121:155" ht="15" customHeight="1" x14ac:dyDescent="0.25">
      <c r="DQ342" s="99"/>
      <c r="DR342" s="99"/>
      <c r="EW342"/>
      <c r="EX342"/>
      <c r="EY342"/>
    </row>
    <row r="343" spans="121:155" ht="15" customHeight="1" x14ac:dyDescent="0.25">
      <c r="DQ343" s="99"/>
      <c r="DR343" s="99"/>
      <c r="EW343"/>
      <c r="EX343"/>
      <c r="EY343"/>
    </row>
    <row r="344" spans="121:155" ht="15" customHeight="1" x14ac:dyDescent="0.25">
      <c r="DQ344" s="99"/>
      <c r="DR344" s="99"/>
      <c r="EW344"/>
      <c r="EX344"/>
      <c r="EY344"/>
    </row>
    <row r="345" spans="121:155" ht="15" customHeight="1" x14ac:dyDescent="0.25">
      <c r="DQ345" s="99"/>
      <c r="DR345" s="99"/>
      <c r="EW345"/>
      <c r="EX345"/>
      <c r="EY345"/>
    </row>
    <row r="346" spans="121:155" ht="15" customHeight="1" x14ac:dyDescent="0.25">
      <c r="DQ346" s="99"/>
      <c r="DR346" s="99"/>
      <c r="EW346"/>
      <c r="EX346"/>
      <c r="EY346"/>
    </row>
    <row r="347" spans="121:155" ht="15" customHeight="1" x14ac:dyDescent="0.25">
      <c r="DQ347" s="99"/>
      <c r="DR347" s="99"/>
      <c r="EW347"/>
      <c r="EX347"/>
      <c r="EY347"/>
    </row>
    <row r="348" spans="121:155" ht="15" customHeight="1" x14ac:dyDescent="0.25">
      <c r="DQ348" s="99"/>
      <c r="DR348" s="99"/>
      <c r="EW348"/>
      <c r="EX348"/>
      <c r="EY348"/>
    </row>
    <row r="349" spans="121:155" ht="15" customHeight="1" x14ac:dyDescent="0.25">
      <c r="DQ349" s="99"/>
      <c r="DR349" s="99"/>
      <c r="EW349"/>
      <c r="EX349"/>
      <c r="EY349"/>
    </row>
    <row r="350" spans="121:155" ht="15" customHeight="1" x14ac:dyDescent="0.25">
      <c r="DQ350" s="99"/>
      <c r="DR350" s="99"/>
      <c r="EW350"/>
      <c r="EX350"/>
      <c r="EY350"/>
    </row>
    <row r="351" spans="121:155" ht="15" customHeight="1" x14ac:dyDescent="0.25">
      <c r="DQ351" s="99"/>
      <c r="DR351" s="99"/>
      <c r="EW351"/>
      <c r="EX351"/>
      <c r="EY351"/>
    </row>
    <row r="352" spans="121:155" ht="15" customHeight="1" x14ac:dyDescent="0.25">
      <c r="DQ352" s="99"/>
      <c r="DR352" s="99"/>
      <c r="EW352"/>
      <c r="EX352"/>
      <c r="EY352"/>
    </row>
    <row r="353" spans="121:155" ht="15" customHeight="1" x14ac:dyDescent="0.25">
      <c r="DQ353" s="99"/>
      <c r="DR353" s="99"/>
      <c r="EW353"/>
      <c r="EX353"/>
      <c r="EY353"/>
    </row>
    <row r="354" spans="121:155" ht="15" customHeight="1" x14ac:dyDescent="0.25">
      <c r="DQ354" s="99"/>
      <c r="DR354" s="99"/>
      <c r="EW354"/>
      <c r="EX354"/>
      <c r="EY354"/>
    </row>
    <row r="355" spans="121:155" ht="15" customHeight="1" x14ac:dyDescent="0.25">
      <c r="DQ355" s="99"/>
      <c r="DR355" s="99"/>
      <c r="EW355"/>
      <c r="EX355"/>
      <c r="EY355"/>
    </row>
    <row r="356" spans="121:155" ht="15" customHeight="1" x14ac:dyDescent="0.25">
      <c r="DQ356" s="99"/>
      <c r="DR356" s="99"/>
      <c r="EW356"/>
      <c r="EX356"/>
      <c r="EY356"/>
    </row>
    <row r="357" spans="121:155" ht="15" customHeight="1" x14ac:dyDescent="0.25">
      <c r="DQ357" s="99"/>
      <c r="DR357" s="99"/>
      <c r="EW357"/>
      <c r="EX357"/>
      <c r="EY357"/>
    </row>
    <row r="358" spans="121:155" ht="15" customHeight="1" x14ac:dyDescent="0.25">
      <c r="DQ358" s="99"/>
      <c r="DR358" s="99"/>
      <c r="EW358"/>
      <c r="EX358"/>
      <c r="EY358"/>
    </row>
    <row r="359" spans="121:155" ht="15" customHeight="1" x14ac:dyDescent="0.25">
      <c r="DQ359" s="99"/>
      <c r="DR359" s="99"/>
      <c r="EW359"/>
      <c r="EX359"/>
      <c r="EY359"/>
    </row>
    <row r="360" spans="121:155" ht="15" customHeight="1" x14ac:dyDescent="0.25">
      <c r="DQ360" s="99"/>
      <c r="DR360" s="99"/>
      <c r="EW360"/>
      <c r="EX360"/>
      <c r="EY360"/>
    </row>
    <row r="361" spans="121:155" ht="15" customHeight="1" x14ac:dyDescent="0.25">
      <c r="DQ361" s="99"/>
      <c r="DR361" s="99"/>
      <c r="EW361"/>
      <c r="EX361"/>
      <c r="EY361"/>
    </row>
    <row r="362" spans="121:155" ht="15" customHeight="1" x14ac:dyDescent="0.25">
      <c r="DQ362" s="99"/>
      <c r="DR362" s="99"/>
      <c r="EW362"/>
      <c r="EX362"/>
      <c r="EY362"/>
    </row>
    <row r="363" spans="121:155" ht="15" customHeight="1" x14ac:dyDescent="0.25">
      <c r="DQ363" s="99"/>
      <c r="DR363" s="99"/>
      <c r="EW363"/>
      <c r="EX363"/>
      <c r="EY363"/>
    </row>
    <row r="364" spans="121:155" ht="15" customHeight="1" x14ac:dyDescent="0.25">
      <c r="DQ364" s="99"/>
      <c r="DR364" s="99"/>
      <c r="EW364"/>
      <c r="EX364"/>
      <c r="EY364"/>
    </row>
    <row r="365" spans="121:155" ht="15" customHeight="1" x14ac:dyDescent="0.25">
      <c r="DQ365" s="99"/>
      <c r="DR365" s="99"/>
      <c r="EW365"/>
      <c r="EX365"/>
      <c r="EY365"/>
    </row>
    <row r="366" spans="121:155" ht="15" customHeight="1" x14ac:dyDescent="0.25">
      <c r="DQ366" s="99"/>
      <c r="DR366" s="99"/>
      <c r="EW366"/>
      <c r="EX366"/>
      <c r="EY366"/>
    </row>
    <row r="367" spans="121:155" ht="15" customHeight="1" x14ac:dyDescent="0.25">
      <c r="DQ367" s="99"/>
      <c r="DR367" s="99"/>
      <c r="EW367"/>
      <c r="EX367"/>
      <c r="EY367"/>
    </row>
    <row r="368" spans="121:155" ht="15" customHeight="1" x14ac:dyDescent="0.25">
      <c r="DQ368" s="99"/>
      <c r="DR368" s="99"/>
      <c r="EW368"/>
      <c r="EX368"/>
      <c r="EY368"/>
    </row>
    <row r="369" spans="121:155" ht="15" customHeight="1" x14ac:dyDescent="0.25">
      <c r="DQ369" s="99"/>
      <c r="DR369" s="99"/>
      <c r="EW369"/>
      <c r="EX369"/>
      <c r="EY369"/>
    </row>
    <row r="370" spans="121:155" ht="15" customHeight="1" x14ac:dyDescent="0.25">
      <c r="DQ370" s="99"/>
      <c r="DR370" s="99"/>
      <c r="EW370"/>
      <c r="EX370"/>
      <c r="EY370"/>
    </row>
    <row r="371" spans="121:155" ht="15" customHeight="1" x14ac:dyDescent="0.25">
      <c r="DQ371" s="99"/>
      <c r="DR371" s="99"/>
      <c r="EW371"/>
      <c r="EX371"/>
      <c r="EY371"/>
    </row>
    <row r="372" spans="121:155" ht="15" customHeight="1" x14ac:dyDescent="0.25">
      <c r="DQ372" s="99"/>
      <c r="DR372" s="99"/>
      <c r="EW372"/>
      <c r="EX372"/>
      <c r="EY372"/>
    </row>
    <row r="373" spans="121:155" ht="15" customHeight="1" x14ac:dyDescent="0.25">
      <c r="DQ373" s="99"/>
      <c r="DR373" s="99"/>
      <c r="EW373"/>
      <c r="EX373"/>
      <c r="EY373"/>
    </row>
    <row r="374" spans="121:155" ht="15" customHeight="1" x14ac:dyDescent="0.25">
      <c r="DQ374" s="99"/>
      <c r="DR374" s="99"/>
      <c r="EW374"/>
      <c r="EX374"/>
      <c r="EY374"/>
    </row>
    <row r="375" spans="121:155" ht="15" customHeight="1" x14ac:dyDescent="0.25">
      <c r="DQ375" s="99"/>
      <c r="DR375" s="99"/>
      <c r="EW375"/>
      <c r="EX375"/>
      <c r="EY375"/>
    </row>
    <row r="376" spans="121:155" ht="15" customHeight="1" x14ac:dyDescent="0.25">
      <c r="DQ376" s="99"/>
      <c r="DR376" s="99"/>
      <c r="EW376"/>
      <c r="EX376"/>
      <c r="EY376"/>
    </row>
    <row r="377" spans="121:155" ht="15" customHeight="1" x14ac:dyDescent="0.25">
      <c r="DQ377" s="99"/>
      <c r="DR377" s="99"/>
      <c r="EW377"/>
      <c r="EX377"/>
      <c r="EY377"/>
    </row>
    <row r="378" spans="121:155" ht="15" customHeight="1" x14ac:dyDescent="0.25">
      <c r="DQ378" s="99"/>
      <c r="DR378" s="99"/>
      <c r="EW378"/>
      <c r="EX378"/>
      <c r="EY378"/>
    </row>
    <row r="379" spans="121:155" ht="15" customHeight="1" x14ac:dyDescent="0.25">
      <c r="DQ379" s="99"/>
      <c r="DR379" s="99"/>
      <c r="EW379"/>
      <c r="EX379"/>
      <c r="EY379"/>
    </row>
    <row r="380" spans="121:155" ht="15" customHeight="1" x14ac:dyDescent="0.25">
      <c r="DQ380" s="99"/>
      <c r="DR380" s="99"/>
      <c r="EW380"/>
      <c r="EX380"/>
      <c r="EY380"/>
    </row>
    <row r="381" spans="121:155" ht="15" customHeight="1" x14ac:dyDescent="0.25">
      <c r="DQ381" s="99"/>
      <c r="DR381" s="99"/>
      <c r="EW381"/>
      <c r="EX381"/>
      <c r="EY381"/>
    </row>
    <row r="382" spans="121:155" ht="15" customHeight="1" x14ac:dyDescent="0.25">
      <c r="DQ382" s="99"/>
      <c r="DR382" s="99"/>
      <c r="EW382"/>
      <c r="EX382"/>
      <c r="EY382"/>
    </row>
    <row r="383" spans="121:155" ht="15" customHeight="1" x14ac:dyDescent="0.25">
      <c r="DQ383" s="99"/>
      <c r="DR383" s="99"/>
      <c r="EW383"/>
      <c r="EX383"/>
      <c r="EY383"/>
    </row>
    <row r="384" spans="121:155" ht="15" customHeight="1" x14ac:dyDescent="0.25">
      <c r="DQ384" s="99"/>
      <c r="DR384" s="99"/>
      <c r="EW384"/>
      <c r="EX384"/>
      <c r="EY384"/>
    </row>
    <row r="385" spans="121:155" ht="15" customHeight="1" x14ac:dyDescent="0.25">
      <c r="DQ385" s="99"/>
      <c r="DR385" s="99"/>
      <c r="EW385"/>
      <c r="EX385"/>
      <c r="EY385"/>
    </row>
    <row r="386" spans="121:155" ht="15" customHeight="1" x14ac:dyDescent="0.25">
      <c r="DQ386" s="99"/>
      <c r="DR386" s="99"/>
      <c r="EW386"/>
      <c r="EX386"/>
      <c r="EY386"/>
    </row>
    <row r="387" spans="121:155" ht="15" customHeight="1" x14ac:dyDescent="0.25">
      <c r="DQ387" s="99"/>
      <c r="DR387" s="99"/>
      <c r="EW387"/>
      <c r="EX387"/>
      <c r="EY387"/>
    </row>
    <row r="388" spans="121:155" ht="15" customHeight="1" x14ac:dyDescent="0.25">
      <c r="DQ388" s="99"/>
      <c r="DR388" s="99"/>
      <c r="EW388"/>
      <c r="EX388"/>
      <c r="EY388"/>
    </row>
    <row r="389" spans="121:155" ht="15" customHeight="1" x14ac:dyDescent="0.25">
      <c r="DQ389" s="99"/>
      <c r="DR389" s="99"/>
      <c r="EW389"/>
      <c r="EX389"/>
      <c r="EY389"/>
    </row>
    <row r="390" spans="121:155" ht="15" customHeight="1" x14ac:dyDescent="0.25">
      <c r="DQ390" s="99"/>
      <c r="DR390" s="99"/>
      <c r="EW390"/>
      <c r="EX390"/>
      <c r="EY390"/>
    </row>
    <row r="391" spans="121:155" ht="15" customHeight="1" x14ac:dyDescent="0.25">
      <c r="DQ391" s="99"/>
      <c r="DR391" s="99"/>
      <c r="EW391"/>
      <c r="EX391"/>
      <c r="EY391"/>
    </row>
    <row r="392" spans="121:155" ht="15" customHeight="1" x14ac:dyDescent="0.25">
      <c r="DQ392" s="99"/>
      <c r="DR392" s="99"/>
      <c r="EW392"/>
      <c r="EX392"/>
      <c r="EY392"/>
    </row>
    <row r="393" spans="121:155" ht="15" customHeight="1" x14ac:dyDescent="0.25">
      <c r="DQ393" s="99"/>
      <c r="DR393" s="99"/>
      <c r="EW393"/>
      <c r="EX393"/>
      <c r="EY393"/>
    </row>
    <row r="394" spans="121:155" ht="15" customHeight="1" x14ac:dyDescent="0.25">
      <c r="DQ394" s="99"/>
      <c r="DR394" s="99"/>
      <c r="EW394"/>
      <c r="EX394"/>
      <c r="EY394"/>
    </row>
    <row r="395" spans="121:155" ht="15" customHeight="1" x14ac:dyDescent="0.25">
      <c r="DQ395" s="99"/>
      <c r="DR395" s="99"/>
      <c r="EW395"/>
      <c r="EX395"/>
      <c r="EY395"/>
    </row>
    <row r="396" spans="121:155" ht="15" customHeight="1" x14ac:dyDescent="0.25">
      <c r="DQ396" s="99"/>
      <c r="DR396" s="99"/>
      <c r="EW396"/>
      <c r="EX396"/>
      <c r="EY396"/>
    </row>
    <row r="397" spans="121:155" ht="15" customHeight="1" x14ac:dyDescent="0.25">
      <c r="DQ397" s="99"/>
      <c r="DR397" s="99"/>
      <c r="EW397"/>
      <c r="EX397"/>
      <c r="EY397"/>
    </row>
    <row r="398" spans="121:155" ht="15" customHeight="1" x14ac:dyDescent="0.25">
      <c r="DQ398" s="99"/>
      <c r="DR398" s="99"/>
      <c r="EW398"/>
      <c r="EX398"/>
      <c r="EY398"/>
    </row>
    <row r="399" spans="121:155" ht="15" customHeight="1" x14ac:dyDescent="0.25">
      <c r="DQ399" s="99"/>
      <c r="DR399" s="99"/>
      <c r="EW399"/>
      <c r="EX399"/>
      <c r="EY399"/>
    </row>
    <row r="400" spans="121:155" ht="15" customHeight="1" x14ac:dyDescent="0.25">
      <c r="DQ400" s="99"/>
      <c r="DR400" s="99"/>
      <c r="EW400"/>
      <c r="EX400"/>
      <c r="EY400"/>
    </row>
    <row r="401" spans="121:155" ht="15" customHeight="1" x14ac:dyDescent="0.25">
      <c r="DQ401" s="99"/>
      <c r="DR401" s="99"/>
      <c r="EW401"/>
      <c r="EX401"/>
      <c r="EY401"/>
    </row>
    <row r="402" spans="121:155" ht="15" customHeight="1" x14ac:dyDescent="0.25">
      <c r="DQ402" s="99"/>
      <c r="DR402" s="99"/>
      <c r="EW402"/>
      <c r="EX402"/>
      <c r="EY402"/>
    </row>
    <row r="403" spans="121:155" ht="15" customHeight="1" x14ac:dyDescent="0.25">
      <c r="DQ403" s="99"/>
      <c r="DR403" s="99"/>
      <c r="EW403"/>
      <c r="EX403"/>
      <c r="EY403"/>
    </row>
    <row r="404" spans="121:155" ht="15" customHeight="1" x14ac:dyDescent="0.25">
      <c r="DQ404" s="99"/>
      <c r="DR404" s="99"/>
      <c r="EW404"/>
      <c r="EX404"/>
      <c r="EY404"/>
    </row>
    <row r="405" spans="121:155" ht="15" customHeight="1" x14ac:dyDescent="0.25">
      <c r="DQ405" s="99"/>
      <c r="DR405" s="99"/>
      <c r="EW405"/>
      <c r="EX405"/>
      <c r="EY405"/>
    </row>
    <row r="406" spans="121:155" ht="15" customHeight="1" x14ac:dyDescent="0.25">
      <c r="DQ406" s="99"/>
      <c r="DR406" s="99"/>
      <c r="EW406"/>
      <c r="EX406"/>
      <c r="EY406"/>
    </row>
    <row r="407" spans="121:155" ht="15" customHeight="1" x14ac:dyDescent="0.25">
      <c r="DQ407" s="99"/>
      <c r="DR407" s="99"/>
      <c r="EW407"/>
      <c r="EX407"/>
      <c r="EY407"/>
    </row>
    <row r="408" spans="121:155" ht="15" customHeight="1" x14ac:dyDescent="0.25">
      <c r="DQ408" s="99"/>
      <c r="DR408" s="99"/>
      <c r="EW408"/>
      <c r="EX408"/>
      <c r="EY408"/>
    </row>
    <row r="409" spans="121:155" ht="15" customHeight="1" x14ac:dyDescent="0.25">
      <c r="DQ409" s="99"/>
      <c r="DR409" s="99"/>
      <c r="EW409"/>
      <c r="EX409"/>
      <c r="EY409"/>
    </row>
    <row r="410" spans="121:155" ht="15" customHeight="1" x14ac:dyDescent="0.25">
      <c r="DQ410" s="99"/>
      <c r="DR410" s="99"/>
      <c r="EW410"/>
      <c r="EX410"/>
      <c r="EY410"/>
    </row>
    <row r="411" spans="121:155" ht="15" customHeight="1" x14ac:dyDescent="0.25">
      <c r="DQ411" s="99"/>
      <c r="DR411" s="99"/>
      <c r="EW411"/>
      <c r="EX411"/>
      <c r="EY411"/>
    </row>
    <row r="412" spans="121:155" ht="15" customHeight="1" x14ac:dyDescent="0.25">
      <c r="DQ412" s="99"/>
      <c r="DR412" s="99"/>
      <c r="EW412"/>
      <c r="EX412"/>
      <c r="EY412"/>
    </row>
    <row r="413" spans="121:155" ht="15" customHeight="1" x14ac:dyDescent="0.25">
      <c r="DQ413" s="99"/>
      <c r="DR413" s="99"/>
      <c r="EW413"/>
      <c r="EX413"/>
      <c r="EY413"/>
    </row>
    <row r="414" spans="121:155" ht="15" customHeight="1" x14ac:dyDescent="0.25">
      <c r="DQ414" s="99"/>
      <c r="DR414" s="99"/>
      <c r="EW414"/>
      <c r="EX414"/>
      <c r="EY414"/>
    </row>
    <row r="415" spans="121:155" ht="15" customHeight="1" x14ac:dyDescent="0.25">
      <c r="DQ415" s="99"/>
      <c r="DR415" s="99"/>
      <c r="EW415"/>
      <c r="EX415"/>
      <c r="EY415"/>
    </row>
    <row r="416" spans="121:155" ht="15" customHeight="1" x14ac:dyDescent="0.25">
      <c r="DQ416" s="99"/>
      <c r="DR416" s="99"/>
      <c r="EW416"/>
      <c r="EX416"/>
      <c r="EY416"/>
    </row>
    <row r="417" spans="121:155" ht="15" customHeight="1" x14ac:dyDescent="0.25">
      <c r="DQ417" s="99"/>
      <c r="DR417" s="99"/>
      <c r="EW417"/>
      <c r="EX417"/>
      <c r="EY417"/>
    </row>
    <row r="418" spans="121:155" ht="15" customHeight="1" x14ac:dyDescent="0.25">
      <c r="DQ418" s="99"/>
      <c r="DR418" s="99"/>
      <c r="EW418"/>
      <c r="EX418"/>
      <c r="EY418"/>
    </row>
    <row r="419" spans="121:155" ht="15" customHeight="1" x14ac:dyDescent="0.25">
      <c r="DQ419" s="99"/>
      <c r="DR419" s="99"/>
      <c r="EW419"/>
      <c r="EX419"/>
      <c r="EY419"/>
    </row>
    <row r="420" spans="121:155" ht="15" customHeight="1" x14ac:dyDescent="0.25">
      <c r="DQ420" s="99"/>
      <c r="DR420" s="99"/>
      <c r="EW420"/>
      <c r="EX420"/>
      <c r="EY420"/>
    </row>
    <row r="421" spans="121:155" ht="15" customHeight="1" x14ac:dyDescent="0.25">
      <c r="DQ421" s="99"/>
      <c r="DR421" s="99"/>
      <c r="EW421"/>
      <c r="EX421"/>
      <c r="EY421"/>
    </row>
    <row r="422" spans="121:155" ht="15" customHeight="1" x14ac:dyDescent="0.25">
      <c r="DQ422" s="99"/>
      <c r="DR422" s="99"/>
      <c r="EW422"/>
      <c r="EX422"/>
      <c r="EY422"/>
    </row>
    <row r="423" spans="121:155" ht="15" customHeight="1" x14ac:dyDescent="0.25">
      <c r="DQ423" s="99"/>
      <c r="DR423" s="99"/>
      <c r="EW423"/>
      <c r="EX423"/>
      <c r="EY423"/>
    </row>
    <row r="424" spans="121:155" ht="15" customHeight="1" x14ac:dyDescent="0.25">
      <c r="DQ424" s="99"/>
      <c r="DR424" s="99"/>
      <c r="EW424"/>
      <c r="EX424"/>
      <c r="EY424"/>
    </row>
    <row r="425" spans="121:155" ht="15" customHeight="1" x14ac:dyDescent="0.25">
      <c r="DQ425" s="99"/>
      <c r="DR425" s="99"/>
      <c r="EW425"/>
      <c r="EX425"/>
      <c r="EY425"/>
    </row>
    <row r="426" spans="121:155" ht="15" customHeight="1" x14ac:dyDescent="0.25">
      <c r="DQ426" s="99"/>
      <c r="DR426" s="99"/>
      <c r="EW426"/>
      <c r="EX426"/>
      <c r="EY426"/>
    </row>
    <row r="427" spans="121:155" ht="15" customHeight="1" x14ac:dyDescent="0.25">
      <c r="DQ427" s="99"/>
      <c r="DR427" s="99"/>
      <c r="EW427"/>
      <c r="EX427"/>
      <c r="EY427"/>
    </row>
    <row r="428" spans="121:155" ht="15" customHeight="1" x14ac:dyDescent="0.25">
      <c r="DQ428" s="99"/>
      <c r="DR428" s="99"/>
      <c r="EW428"/>
      <c r="EX428"/>
      <c r="EY428"/>
    </row>
    <row r="429" spans="121:155" ht="15" customHeight="1" x14ac:dyDescent="0.25">
      <c r="DQ429" s="99"/>
      <c r="DR429" s="99"/>
      <c r="EW429"/>
      <c r="EX429"/>
      <c r="EY429"/>
    </row>
    <row r="430" spans="121:155" ht="15" customHeight="1" x14ac:dyDescent="0.25">
      <c r="DQ430" s="99"/>
      <c r="DR430" s="99"/>
      <c r="EW430"/>
      <c r="EX430"/>
      <c r="EY430"/>
    </row>
    <row r="431" spans="121:155" ht="15" customHeight="1" x14ac:dyDescent="0.25">
      <c r="DQ431" s="99"/>
      <c r="DR431" s="99"/>
      <c r="EW431"/>
      <c r="EX431"/>
      <c r="EY431"/>
    </row>
    <row r="432" spans="121:155" ht="15" customHeight="1" x14ac:dyDescent="0.25">
      <c r="DQ432" s="99"/>
      <c r="DR432" s="99"/>
      <c r="EW432"/>
      <c r="EX432"/>
      <c r="EY432"/>
    </row>
    <row r="433" spans="121:155" ht="15" customHeight="1" x14ac:dyDescent="0.25">
      <c r="DQ433" s="99"/>
      <c r="DR433" s="99"/>
      <c r="EW433"/>
      <c r="EX433"/>
      <c r="EY433"/>
    </row>
    <row r="434" spans="121:155" ht="15" customHeight="1" x14ac:dyDescent="0.25">
      <c r="DQ434" s="99"/>
      <c r="DR434" s="99"/>
      <c r="EW434"/>
      <c r="EX434"/>
      <c r="EY434"/>
    </row>
    <row r="435" spans="121:155" ht="15" customHeight="1" x14ac:dyDescent="0.25">
      <c r="DQ435" s="99"/>
      <c r="DR435" s="99"/>
      <c r="EW435"/>
      <c r="EX435"/>
      <c r="EY435"/>
    </row>
    <row r="436" spans="121:155" ht="15" customHeight="1" x14ac:dyDescent="0.25">
      <c r="DQ436" s="99"/>
      <c r="DR436" s="99"/>
      <c r="EW436"/>
      <c r="EX436"/>
      <c r="EY436"/>
    </row>
    <row r="437" spans="121:155" ht="15" customHeight="1" x14ac:dyDescent="0.25">
      <c r="DQ437" s="99"/>
      <c r="DR437" s="99"/>
      <c r="EW437"/>
      <c r="EX437"/>
      <c r="EY437"/>
    </row>
    <row r="438" spans="121:155" ht="15" customHeight="1" x14ac:dyDescent="0.25">
      <c r="DQ438" s="99"/>
      <c r="DR438" s="99"/>
      <c r="EW438"/>
      <c r="EX438"/>
      <c r="EY438"/>
    </row>
    <row r="439" spans="121:155" ht="15" customHeight="1" x14ac:dyDescent="0.25">
      <c r="DQ439" s="99"/>
      <c r="DR439" s="99"/>
      <c r="EW439"/>
      <c r="EX439"/>
      <c r="EY439"/>
    </row>
    <row r="440" spans="121:155" ht="15" customHeight="1" x14ac:dyDescent="0.25">
      <c r="DQ440" s="99"/>
      <c r="DR440" s="99"/>
      <c r="EW440"/>
      <c r="EX440"/>
      <c r="EY440"/>
    </row>
    <row r="441" spans="121:155" ht="15" customHeight="1" x14ac:dyDescent="0.25">
      <c r="DQ441" s="99"/>
      <c r="DR441" s="99"/>
      <c r="EW441"/>
      <c r="EX441"/>
      <c r="EY441"/>
    </row>
    <row r="442" spans="121:155" ht="15" customHeight="1" x14ac:dyDescent="0.25">
      <c r="DQ442" s="99"/>
      <c r="DR442" s="99"/>
      <c r="EW442"/>
      <c r="EX442"/>
      <c r="EY442"/>
    </row>
    <row r="443" spans="121:155" ht="15" customHeight="1" x14ac:dyDescent="0.25">
      <c r="DQ443" s="99"/>
      <c r="DR443" s="99"/>
      <c r="EW443"/>
      <c r="EX443"/>
      <c r="EY443"/>
    </row>
    <row r="444" spans="121:155" ht="15" customHeight="1" x14ac:dyDescent="0.25">
      <c r="DQ444" s="99"/>
      <c r="DR444" s="99"/>
      <c r="EW444"/>
      <c r="EX444"/>
      <c r="EY444"/>
    </row>
    <row r="445" spans="121:155" ht="15" customHeight="1" x14ac:dyDescent="0.25">
      <c r="DQ445" s="99"/>
      <c r="DR445" s="99"/>
      <c r="EW445"/>
      <c r="EX445"/>
      <c r="EY445"/>
    </row>
    <row r="446" spans="121:155" ht="15" customHeight="1" x14ac:dyDescent="0.25">
      <c r="DQ446" s="99"/>
      <c r="DR446" s="99"/>
      <c r="EW446"/>
      <c r="EX446"/>
      <c r="EY446"/>
    </row>
    <row r="447" spans="121:155" ht="15" customHeight="1" x14ac:dyDescent="0.25">
      <c r="DQ447" s="99"/>
      <c r="DR447" s="99"/>
      <c r="EW447"/>
      <c r="EX447"/>
      <c r="EY447"/>
    </row>
    <row r="448" spans="121:155" ht="15" customHeight="1" x14ac:dyDescent="0.25">
      <c r="DQ448" s="99"/>
      <c r="DR448" s="99"/>
      <c r="EW448"/>
      <c r="EX448"/>
      <c r="EY448"/>
    </row>
    <row r="449" spans="121:155" ht="15" customHeight="1" x14ac:dyDescent="0.25">
      <c r="DQ449" s="99"/>
      <c r="DR449" s="99"/>
      <c r="EW449"/>
      <c r="EX449"/>
      <c r="EY449"/>
    </row>
    <row r="450" spans="121:155" ht="15" customHeight="1" x14ac:dyDescent="0.25">
      <c r="DQ450" s="99"/>
      <c r="DR450" s="99"/>
      <c r="EW450"/>
      <c r="EX450"/>
      <c r="EY450"/>
    </row>
    <row r="451" spans="121:155" ht="15" customHeight="1" x14ac:dyDescent="0.25">
      <c r="DQ451" s="99"/>
      <c r="DR451" s="99"/>
      <c r="EW451"/>
      <c r="EX451"/>
      <c r="EY451"/>
    </row>
    <row r="452" spans="121:155" ht="15" customHeight="1" x14ac:dyDescent="0.25">
      <c r="DQ452" s="99"/>
      <c r="DR452" s="99"/>
      <c r="EW452"/>
      <c r="EX452"/>
      <c r="EY452"/>
    </row>
    <row r="453" spans="121:155" ht="15" customHeight="1" x14ac:dyDescent="0.25">
      <c r="DQ453" s="99"/>
      <c r="DR453" s="99"/>
      <c r="EW453"/>
      <c r="EX453"/>
      <c r="EY453"/>
    </row>
    <row r="454" spans="121:155" ht="15" customHeight="1" x14ac:dyDescent="0.25">
      <c r="DQ454" s="99"/>
      <c r="DR454" s="99"/>
      <c r="EW454"/>
      <c r="EX454"/>
      <c r="EY454"/>
    </row>
    <row r="455" spans="121:155" ht="15" customHeight="1" x14ac:dyDescent="0.25">
      <c r="DQ455" s="99"/>
      <c r="DR455" s="99"/>
      <c r="EW455"/>
      <c r="EX455"/>
      <c r="EY455"/>
    </row>
    <row r="456" spans="121:155" ht="15" customHeight="1" x14ac:dyDescent="0.25">
      <c r="DQ456" s="99"/>
      <c r="DR456" s="99"/>
      <c r="EW456"/>
      <c r="EX456"/>
      <c r="EY456"/>
    </row>
    <row r="457" spans="121:155" ht="15" customHeight="1" x14ac:dyDescent="0.25">
      <c r="DQ457" s="99"/>
      <c r="DR457" s="99"/>
      <c r="EW457"/>
      <c r="EX457"/>
      <c r="EY457"/>
    </row>
    <row r="458" spans="121:155" ht="15" customHeight="1" x14ac:dyDescent="0.25">
      <c r="DQ458" s="99"/>
      <c r="DR458" s="99"/>
      <c r="EW458"/>
      <c r="EX458"/>
      <c r="EY458"/>
    </row>
    <row r="459" spans="121:155" ht="15" customHeight="1" x14ac:dyDescent="0.25">
      <c r="DQ459" s="99"/>
      <c r="DR459" s="99"/>
      <c r="EW459"/>
      <c r="EX459"/>
      <c r="EY459"/>
    </row>
    <row r="460" spans="121:155" ht="15" customHeight="1" x14ac:dyDescent="0.25">
      <c r="DQ460" s="99"/>
      <c r="DR460" s="99"/>
      <c r="EW460"/>
      <c r="EX460"/>
      <c r="EY460"/>
    </row>
    <row r="461" spans="121:155" ht="15" customHeight="1" x14ac:dyDescent="0.25">
      <c r="DQ461" s="99"/>
      <c r="DR461" s="99"/>
      <c r="EW461"/>
      <c r="EX461"/>
      <c r="EY461"/>
    </row>
    <row r="462" spans="121:155" ht="15" customHeight="1" x14ac:dyDescent="0.25">
      <c r="DQ462" s="99"/>
      <c r="DR462" s="99"/>
      <c r="EW462"/>
      <c r="EX462"/>
      <c r="EY462"/>
    </row>
    <row r="463" spans="121:155" ht="15" customHeight="1" x14ac:dyDescent="0.25">
      <c r="DQ463" s="99"/>
      <c r="DR463" s="99"/>
      <c r="EW463"/>
      <c r="EX463"/>
      <c r="EY463"/>
    </row>
    <row r="464" spans="121:155" ht="15" customHeight="1" x14ac:dyDescent="0.25">
      <c r="DQ464" s="99"/>
      <c r="DR464" s="99"/>
      <c r="EW464"/>
      <c r="EX464"/>
      <c r="EY464"/>
    </row>
    <row r="465" spans="121:155" ht="15" customHeight="1" x14ac:dyDescent="0.25">
      <c r="DQ465" s="99"/>
      <c r="DR465" s="99"/>
      <c r="EW465"/>
      <c r="EX465"/>
      <c r="EY465"/>
    </row>
    <row r="466" spans="121:155" ht="15" customHeight="1" x14ac:dyDescent="0.25">
      <c r="DQ466" s="99"/>
      <c r="DR466" s="99"/>
      <c r="EW466"/>
      <c r="EX466"/>
      <c r="EY466"/>
    </row>
    <row r="467" spans="121:155" ht="15" customHeight="1" x14ac:dyDescent="0.25">
      <c r="DQ467" s="99"/>
      <c r="DR467" s="99"/>
      <c r="EW467"/>
      <c r="EX467"/>
      <c r="EY467"/>
    </row>
    <row r="468" spans="121:155" ht="15" customHeight="1" x14ac:dyDescent="0.25">
      <c r="DQ468" s="99"/>
      <c r="DR468" s="99"/>
      <c r="EW468"/>
      <c r="EX468"/>
      <c r="EY468"/>
    </row>
    <row r="469" spans="121:155" ht="15" customHeight="1" x14ac:dyDescent="0.25">
      <c r="DQ469" s="99"/>
      <c r="DR469" s="99"/>
      <c r="EW469"/>
      <c r="EX469"/>
      <c r="EY469"/>
    </row>
    <row r="470" spans="121:155" ht="15" customHeight="1" x14ac:dyDescent="0.25">
      <c r="DQ470" s="99"/>
      <c r="DR470" s="99"/>
      <c r="EW470"/>
      <c r="EX470"/>
      <c r="EY470"/>
    </row>
    <row r="471" spans="121:155" ht="15" customHeight="1" x14ac:dyDescent="0.25">
      <c r="DQ471" s="99"/>
      <c r="DR471" s="99"/>
      <c r="EW471"/>
      <c r="EX471"/>
      <c r="EY471"/>
    </row>
    <row r="472" spans="121:155" ht="15" customHeight="1" x14ac:dyDescent="0.25">
      <c r="DQ472" s="99"/>
      <c r="DR472" s="99"/>
      <c r="EW472"/>
      <c r="EX472"/>
      <c r="EY472"/>
    </row>
    <row r="473" spans="121:155" ht="15" customHeight="1" x14ac:dyDescent="0.25">
      <c r="DQ473" s="99"/>
      <c r="DR473" s="99"/>
      <c r="EW473"/>
      <c r="EX473"/>
      <c r="EY473"/>
    </row>
    <row r="474" spans="121:155" ht="15" customHeight="1" x14ac:dyDescent="0.25">
      <c r="DQ474" s="99"/>
      <c r="DR474" s="99"/>
      <c r="EW474"/>
      <c r="EX474"/>
      <c r="EY474"/>
    </row>
    <row r="475" spans="121:155" ht="15" customHeight="1" x14ac:dyDescent="0.25">
      <c r="DQ475" s="99"/>
      <c r="DR475" s="99"/>
      <c r="EW475"/>
      <c r="EX475"/>
      <c r="EY475"/>
    </row>
    <row r="476" spans="121:155" ht="15" customHeight="1" x14ac:dyDescent="0.25">
      <c r="DQ476" s="99"/>
      <c r="DR476" s="99"/>
      <c r="EW476"/>
      <c r="EX476"/>
      <c r="EY476"/>
    </row>
    <row r="477" spans="121:155" ht="15" customHeight="1" x14ac:dyDescent="0.25">
      <c r="DQ477" s="99"/>
      <c r="DR477" s="99"/>
      <c r="EW477"/>
      <c r="EX477"/>
      <c r="EY477"/>
    </row>
    <row r="478" spans="121:155" ht="15" customHeight="1" x14ac:dyDescent="0.25">
      <c r="DQ478" s="99"/>
      <c r="DR478" s="99"/>
      <c r="EW478"/>
      <c r="EX478"/>
      <c r="EY478"/>
    </row>
    <row r="479" spans="121:155" ht="15" customHeight="1" x14ac:dyDescent="0.25">
      <c r="DQ479" s="99"/>
      <c r="DR479" s="99"/>
      <c r="EW479"/>
      <c r="EX479"/>
      <c r="EY479"/>
    </row>
    <row r="480" spans="121:155" ht="15" customHeight="1" x14ac:dyDescent="0.25">
      <c r="DQ480" s="99"/>
      <c r="DR480" s="99"/>
      <c r="EW480"/>
      <c r="EX480"/>
      <c r="EY480"/>
    </row>
    <row r="481" spans="121:155" ht="15" customHeight="1" x14ac:dyDescent="0.25">
      <c r="DQ481" s="99"/>
      <c r="DR481" s="99"/>
      <c r="EW481"/>
      <c r="EX481"/>
      <c r="EY481"/>
    </row>
    <row r="482" spans="121:155" ht="15" customHeight="1" x14ac:dyDescent="0.25">
      <c r="DQ482" s="99"/>
      <c r="DR482" s="99"/>
      <c r="EW482"/>
      <c r="EX482"/>
      <c r="EY482"/>
    </row>
    <row r="483" spans="121:155" ht="15" customHeight="1" x14ac:dyDescent="0.25">
      <c r="DQ483" s="99"/>
      <c r="DR483" s="99"/>
      <c r="EW483"/>
      <c r="EX483"/>
      <c r="EY483"/>
    </row>
    <row r="484" spans="121:155" ht="15" customHeight="1" x14ac:dyDescent="0.25">
      <c r="DQ484" s="99"/>
      <c r="DR484" s="99"/>
      <c r="EW484"/>
      <c r="EX484"/>
      <c r="EY484"/>
    </row>
    <row r="485" spans="121:155" ht="15" customHeight="1" x14ac:dyDescent="0.25">
      <c r="DQ485" s="99"/>
      <c r="DR485" s="99"/>
      <c r="EW485"/>
      <c r="EX485"/>
      <c r="EY485"/>
    </row>
    <row r="486" spans="121:155" ht="15" customHeight="1" x14ac:dyDescent="0.25">
      <c r="DQ486" s="99"/>
      <c r="DR486" s="99"/>
      <c r="EW486"/>
      <c r="EX486"/>
      <c r="EY486"/>
    </row>
    <row r="487" spans="121:155" ht="15" customHeight="1" x14ac:dyDescent="0.25">
      <c r="DQ487" s="99"/>
      <c r="DR487" s="99"/>
      <c r="EW487"/>
      <c r="EX487"/>
      <c r="EY487"/>
    </row>
    <row r="488" spans="121:155" ht="15" customHeight="1" x14ac:dyDescent="0.25">
      <c r="DQ488" s="99"/>
      <c r="DR488" s="99"/>
      <c r="EW488"/>
      <c r="EX488"/>
      <c r="EY488"/>
    </row>
    <row r="489" spans="121:155" ht="15" customHeight="1" x14ac:dyDescent="0.25">
      <c r="DQ489" s="99"/>
      <c r="DR489" s="99"/>
      <c r="EW489"/>
      <c r="EX489"/>
      <c r="EY489"/>
    </row>
    <row r="490" spans="121:155" ht="15" customHeight="1" x14ac:dyDescent="0.25">
      <c r="DQ490" s="99"/>
      <c r="DR490" s="99"/>
      <c r="EW490"/>
      <c r="EX490"/>
      <c r="EY490"/>
    </row>
    <row r="491" spans="121:155" ht="15" customHeight="1" x14ac:dyDescent="0.25">
      <c r="DQ491" s="99"/>
      <c r="DR491" s="99"/>
      <c r="EW491"/>
      <c r="EX491"/>
      <c r="EY491"/>
    </row>
    <row r="492" spans="121:155" ht="15" customHeight="1" x14ac:dyDescent="0.25">
      <c r="DQ492" s="99"/>
      <c r="DR492" s="99"/>
      <c r="EW492"/>
      <c r="EX492"/>
      <c r="EY492"/>
    </row>
    <row r="493" spans="121:155" ht="15" customHeight="1" x14ac:dyDescent="0.25">
      <c r="DQ493" s="99"/>
      <c r="DR493" s="99"/>
      <c r="EW493"/>
      <c r="EX493"/>
      <c r="EY493"/>
    </row>
    <row r="494" spans="121:155" ht="15" customHeight="1" x14ac:dyDescent="0.25">
      <c r="DQ494" s="99"/>
      <c r="DR494" s="99"/>
      <c r="EW494"/>
      <c r="EX494"/>
      <c r="EY494"/>
    </row>
    <row r="495" spans="121:155" ht="15" customHeight="1" x14ac:dyDescent="0.25">
      <c r="DQ495" s="99"/>
      <c r="DR495" s="99"/>
      <c r="EW495"/>
      <c r="EX495"/>
      <c r="EY495"/>
    </row>
    <row r="496" spans="121:155" ht="15" customHeight="1" x14ac:dyDescent="0.25">
      <c r="DQ496" s="99"/>
      <c r="DR496" s="99"/>
      <c r="EW496"/>
      <c r="EX496"/>
      <c r="EY496"/>
    </row>
    <row r="497" spans="121:155" ht="15" customHeight="1" x14ac:dyDescent="0.25">
      <c r="DQ497" s="99"/>
      <c r="DR497" s="99"/>
      <c r="EW497"/>
      <c r="EX497"/>
      <c r="EY497"/>
    </row>
    <row r="498" spans="121:155" ht="15" customHeight="1" x14ac:dyDescent="0.25">
      <c r="DQ498" s="99"/>
      <c r="DR498" s="99"/>
      <c r="EW498"/>
      <c r="EX498"/>
      <c r="EY498"/>
    </row>
    <row r="499" spans="121:155" ht="15" customHeight="1" x14ac:dyDescent="0.25">
      <c r="DQ499" s="99"/>
      <c r="DR499" s="99"/>
      <c r="EW499"/>
      <c r="EX499"/>
      <c r="EY499"/>
    </row>
    <row r="500" spans="121:155" ht="15" customHeight="1" x14ac:dyDescent="0.25">
      <c r="DQ500" s="99"/>
      <c r="DR500" s="99"/>
      <c r="EW500"/>
      <c r="EX500"/>
      <c r="EY500"/>
    </row>
    <row r="501" spans="121:155" ht="15" customHeight="1" x14ac:dyDescent="0.25">
      <c r="DQ501" s="99"/>
      <c r="DR501" s="99"/>
      <c r="EW501"/>
      <c r="EX501"/>
      <c r="EY501"/>
    </row>
    <row r="502" spans="121:155" ht="15" customHeight="1" x14ac:dyDescent="0.25">
      <c r="DQ502" s="99"/>
      <c r="DR502" s="99"/>
      <c r="EW502"/>
      <c r="EX502"/>
      <c r="EY502"/>
    </row>
    <row r="503" spans="121:155" ht="15" customHeight="1" x14ac:dyDescent="0.25">
      <c r="DQ503" s="99"/>
      <c r="DR503" s="99"/>
      <c r="EW503"/>
      <c r="EX503"/>
      <c r="EY503"/>
    </row>
    <row r="504" spans="121:155" ht="15" customHeight="1" x14ac:dyDescent="0.25">
      <c r="DQ504" s="99"/>
      <c r="DR504" s="99"/>
      <c r="EW504"/>
      <c r="EX504"/>
      <c r="EY504"/>
    </row>
    <row r="505" spans="121:155" ht="15" customHeight="1" x14ac:dyDescent="0.25">
      <c r="DQ505" s="99"/>
      <c r="DR505" s="99"/>
      <c r="EW505"/>
      <c r="EX505"/>
      <c r="EY505"/>
    </row>
    <row r="506" spans="121:155" ht="15" customHeight="1" x14ac:dyDescent="0.25">
      <c r="DQ506" s="99"/>
      <c r="DR506" s="99"/>
      <c r="EW506"/>
      <c r="EX506"/>
      <c r="EY506"/>
    </row>
    <row r="507" spans="121:155" ht="15" customHeight="1" x14ac:dyDescent="0.25">
      <c r="DQ507" s="99"/>
      <c r="DR507" s="99"/>
      <c r="EW507"/>
      <c r="EX507"/>
      <c r="EY507"/>
    </row>
    <row r="508" spans="121:155" ht="15" customHeight="1" x14ac:dyDescent="0.25">
      <c r="DQ508" s="99"/>
      <c r="DR508" s="99"/>
      <c r="EW508"/>
      <c r="EX508"/>
      <c r="EY508"/>
    </row>
    <row r="509" spans="121:155" ht="15" customHeight="1" x14ac:dyDescent="0.25">
      <c r="DQ509" s="99"/>
      <c r="DR509" s="99"/>
      <c r="EW509"/>
      <c r="EX509"/>
      <c r="EY509"/>
    </row>
    <row r="510" spans="121:155" ht="15" customHeight="1" x14ac:dyDescent="0.25">
      <c r="DQ510" s="99"/>
      <c r="DR510" s="99"/>
      <c r="EW510"/>
      <c r="EX510"/>
      <c r="EY510"/>
    </row>
    <row r="511" spans="121:155" ht="15" customHeight="1" x14ac:dyDescent="0.25">
      <c r="DQ511" s="99"/>
      <c r="DR511" s="99"/>
      <c r="EW511"/>
      <c r="EX511"/>
      <c r="EY511"/>
    </row>
    <row r="512" spans="121:155" ht="15" customHeight="1" x14ac:dyDescent="0.25">
      <c r="DQ512" s="99"/>
      <c r="DR512" s="99"/>
      <c r="EW512"/>
      <c r="EX512"/>
      <c r="EY512"/>
    </row>
    <row r="513" spans="121:155" ht="15" customHeight="1" x14ac:dyDescent="0.25">
      <c r="DQ513" s="99"/>
      <c r="DR513" s="99"/>
      <c r="EW513"/>
      <c r="EX513"/>
      <c r="EY513"/>
    </row>
    <row r="514" spans="121:155" ht="15" customHeight="1" x14ac:dyDescent="0.25">
      <c r="DQ514" s="99"/>
      <c r="DR514" s="99"/>
      <c r="EW514"/>
      <c r="EX514"/>
      <c r="EY514"/>
    </row>
    <row r="515" spans="121:155" ht="15" customHeight="1" x14ac:dyDescent="0.25">
      <c r="DQ515" s="99"/>
      <c r="DR515" s="99"/>
      <c r="EW515"/>
      <c r="EX515"/>
      <c r="EY515"/>
    </row>
    <row r="516" spans="121:155" ht="15" customHeight="1" x14ac:dyDescent="0.25">
      <c r="DQ516" s="99"/>
      <c r="DR516" s="99"/>
      <c r="EW516"/>
      <c r="EX516"/>
      <c r="EY516"/>
    </row>
    <row r="517" spans="121:155" ht="15" customHeight="1" x14ac:dyDescent="0.25">
      <c r="DQ517" s="99"/>
      <c r="DR517" s="99"/>
      <c r="EW517"/>
      <c r="EX517"/>
      <c r="EY517"/>
    </row>
    <row r="518" spans="121:155" ht="15" customHeight="1" x14ac:dyDescent="0.25">
      <c r="DQ518" s="99"/>
      <c r="DR518" s="99"/>
      <c r="EW518"/>
      <c r="EX518"/>
      <c r="EY518"/>
    </row>
    <row r="519" spans="121:155" ht="15" customHeight="1" x14ac:dyDescent="0.25">
      <c r="DQ519" s="99"/>
      <c r="DR519" s="99"/>
      <c r="EW519"/>
      <c r="EX519"/>
      <c r="EY519"/>
    </row>
    <row r="520" spans="121:155" ht="15" customHeight="1" x14ac:dyDescent="0.25">
      <c r="DQ520" s="99"/>
      <c r="DR520" s="99"/>
      <c r="EW520"/>
      <c r="EX520"/>
      <c r="EY520"/>
    </row>
    <row r="521" spans="121:155" ht="15" customHeight="1" x14ac:dyDescent="0.25">
      <c r="DQ521" s="99"/>
      <c r="DR521" s="99"/>
      <c r="EW521"/>
      <c r="EX521"/>
      <c r="EY521"/>
    </row>
    <row r="522" spans="121:155" ht="15" customHeight="1" x14ac:dyDescent="0.25">
      <c r="DQ522" s="99"/>
      <c r="DR522" s="99"/>
      <c r="EW522"/>
      <c r="EX522"/>
      <c r="EY522"/>
    </row>
    <row r="523" spans="121:155" ht="15" customHeight="1" x14ac:dyDescent="0.25">
      <c r="DQ523" s="99"/>
      <c r="DR523" s="99"/>
      <c r="EW523"/>
      <c r="EX523"/>
      <c r="EY523"/>
    </row>
    <row r="524" spans="121:155" ht="15" customHeight="1" x14ac:dyDescent="0.25">
      <c r="DQ524" s="99"/>
      <c r="DR524" s="99"/>
      <c r="EW524"/>
      <c r="EX524"/>
      <c r="EY524"/>
    </row>
    <row r="525" spans="121:155" ht="15" customHeight="1" x14ac:dyDescent="0.25">
      <c r="DQ525" s="99"/>
      <c r="DR525" s="99"/>
      <c r="EW525"/>
      <c r="EX525"/>
      <c r="EY525"/>
    </row>
    <row r="526" spans="121:155" ht="15" customHeight="1" x14ac:dyDescent="0.25">
      <c r="DQ526" s="99"/>
      <c r="DR526" s="99"/>
      <c r="EW526"/>
      <c r="EX526"/>
      <c r="EY526"/>
    </row>
    <row r="527" spans="121:155" ht="15" customHeight="1" x14ac:dyDescent="0.25">
      <c r="DQ527" s="99"/>
      <c r="DR527" s="99"/>
      <c r="EW527"/>
      <c r="EX527"/>
      <c r="EY527"/>
    </row>
    <row r="528" spans="121:155" ht="15" customHeight="1" x14ac:dyDescent="0.25">
      <c r="DQ528" s="99"/>
      <c r="DR528" s="99"/>
      <c r="EW528"/>
      <c r="EX528"/>
      <c r="EY528"/>
    </row>
    <row r="529" spans="121:155" ht="15" customHeight="1" x14ac:dyDescent="0.25">
      <c r="DQ529" s="99"/>
      <c r="DR529" s="99"/>
      <c r="EW529"/>
      <c r="EX529"/>
      <c r="EY529"/>
    </row>
    <row r="530" spans="121:155" ht="15" customHeight="1" x14ac:dyDescent="0.25">
      <c r="DQ530" s="99"/>
      <c r="DR530" s="99"/>
      <c r="EW530"/>
      <c r="EX530"/>
      <c r="EY530"/>
    </row>
    <row r="531" spans="121:155" ht="15" customHeight="1" x14ac:dyDescent="0.25">
      <c r="DQ531" s="99"/>
      <c r="DR531" s="99"/>
      <c r="EW531"/>
      <c r="EX531"/>
      <c r="EY531"/>
    </row>
    <row r="532" spans="121:155" ht="15" customHeight="1" x14ac:dyDescent="0.25">
      <c r="DQ532" s="99"/>
      <c r="DR532" s="99"/>
      <c r="EW532"/>
      <c r="EX532"/>
      <c r="EY532"/>
    </row>
    <row r="533" spans="121:155" ht="15" customHeight="1" x14ac:dyDescent="0.25">
      <c r="DQ533" s="99"/>
      <c r="DR533" s="99"/>
      <c r="EW533"/>
      <c r="EX533"/>
      <c r="EY533"/>
    </row>
    <row r="534" spans="121:155" ht="15" customHeight="1" x14ac:dyDescent="0.25">
      <c r="DQ534" s="99"/>
      <c r="DR534" s="99"/>
      <c r="EW534"/>
      <c r="EX534"/>
      <c r="EY534"/>
    </row>
    <row r="535" spans="121:155" ht="15" customHeight="1" x14ac:dyDescent="0.25">
      <c r="DQ535" s="99"/>
      <c r="DR535" s="99"/>
      <c r="EW535"/>
      <c r="EX535"/>
      <c r="EY535"/>
    </row>
    <row r="536" spans="121:155" ht="15" customHeight="1" x14ac:dyDescent="0.25">
      <c r="DQ536" s="99"/>
      <c r="DR536" s="99"/>
      <c r="EW536"/>
      <c r="EX536"/>
      <c r="EY536"/>
    </row>
    <row r="537" spans="121:155" ht="15" customHeight="1" x14ac:dyDescent="0.25">
      <c r="DQ537" s="99"/>
      <c r="DR537" s="99"/>
      <c r="EW537"/>
      <c r="EX537"/>
      <c r="EY537"/>
    </row>
    <row r="538" spans="121:155" ht="15" customHeight="1" x14ac:dyDescent="0.25">
      <c r="DQ538" s="99"/>
      <c r="DR538" s="99"/>
      <c r="EW538"/>
      <c r="EX538"/>
      <c r="EY538"/>
    </row>
    <row r="539" spans="121:155" ht="15" customHeight="1" x14ac:dyDescent="0.25">
      <c r="DQ539" s="99"/>
      <c r="DR539" s="99"/>
      <c r="EW539"/>
      <c r="EX539"/>
      <c r="EY539"/>
    </row>
    <row r="540" spans="121:155" ht="15" customHeight="1" x14ac:dyDescent="0.25">
      <c r="DQ540" s="99"/>
      <c r="DR540" s="99"/>
      <c r="EW540"/>
      <c r="EX540"/>
      <c r="EY540"/>
    </row>
    <row r="541" spans="121:155" ht="15" customHeight="1" x14ac:dyDescent="0.25">
      <c r="DQ541" s="99"/>
      <c r="DR541" s="99"/>
      <c r="EW541"/>
      <c r="EX541"/>
      <c r="EY541"/>
    </row>
    <row r="542" spans="121:155" ht="15" customHeight="1" x14ac:dyDescent="0.25">
      <c r="DQ542" s="99"/>
      <c r="DR542" s="99"/>
      <c r="EW542"/>
      <c r="EX542"/>
      <c r="EY542"/>
    </row>
    <row r="543" spans="121:155" ht="15" customHeight="1" x14ac:dyDescent="0.25">
      <c r="DQ543" s="99"/>
      <c r="DR543" s="99"/>
      <c r="EW543"/>
      <c r="EX543"/>
      <c r="EY543"/>
    </row>
    <row r="544" spans="121:155" ht="15" customHeight="1" x14ac:dyDescent="0.25">
      <c r="DQ544" s="99"/>
      <c r="DR544" s="99"/>
      <c r="EW544"/>
      <c r="EX544"/>
      <c r="EY544"/>
    </row>
    <row r="545" spans="121:155" ht="15" customHeight="1" x14ac:dyDescent="0.25">
      <c r="DQ545" s="99"/>
      <c r="DR545" s="99"/>
      <c r="EW545"/>
      <c r="EX545"/>
      <c r="EY545"/>
    </row>
    <row r="546" spans="121:155" ht="15" customHeight="1" x14ac:dyDescent="0.25">
      <c r="DQ546" s="99"/>
      <c r="DR546" s="99"/>
      <c r="EW546"/>
      <c r="EX546"/>
      <c r="EY546"/>
    </row>
    <row r="547" spans="121:155" ht="15" customHeight="1" x14ac:dyDescent="0.25">
      <c r="DQ547" s="99"/>
      <c r="DR547" s="99"/>
      <c r="EW547"/>
      <c r="EX547"/>
      <c r="EY547"/>
    </row>
    <row r="548" spans="121:155" ht="15" customHeight="1" x14ac:dyDescent="0.25">
      <c r="DQ548" s="99"/>
      <c r="DR548" s="99"/>
      <c r="EW548"/>
      <c r="EX548"/>
      <c r="EY548"/>
    </row>
    <row r="549" spans="121:155" ht="15" customHeight="1" x14ac:dyDescent="0.25">
      <c r="DQ549" s="99"/>
      <c r="DR549" s="99"/>
      <c r="EW549"/>
      <c r="EX549"/>
      <c r="EY549"/>
    </row>
    <row r="550" spans="121:155" ht="15" customHeight="1" x14ac:dyDescent="0.25">
      <c r="DQ550" s="99"/>
      <c r="DR550" s="99"/>
      <c r="EW550"/>
      <c r="EX550"/>
      <c r="EY550"/>
    </row>
    <row r="551" spans="121:155" ht="15" customHeight="1" x14ac:dyDescent="0.25">
      <c r="DQ551" s="99"/>
      <c r="DR551" s="99"/>
      <c r="EW551"/>
      <c r="EX551"/>
      <c r="EY551"/>
    </row>
    <row r="552" spans="121:155" ht="15" customHeight="1" x14ac:dyDescent="0.25">
      <c r="DQ552" s="99"/>
      <c r="DR552" s="99"/>
      <c r="EW552"/>
      <c r="EX552"/>
      <c r="EY552"/>
    </row>
    <row r="553" spans="121:155" ht="15" customHeight="1" x14ac:dyDescent="0.25">
      <c r="DQ553" s="99"/>
      <c r="DR553" s="99"/>
      <c r="EW553"/>
      <c r="EX553"/>
      <c r="EY553"/>
    </row>
    <row r="554" spans="121:155" ht="15" customHeight="1" x14ac:dyDescent="0.25">
      <c r="DQ554" s="99"/>
      <c r="DR554" s="99"/>
      <c r="EW554"/>
      <c r="EX554"/>
      <c r="EY554"/>
    </row>
    <row r="555" spans="121:155" ht="15" customHeight="1" x14ac:dyDescent="0.25">
      <c r="DQ555" s="99"/>
      <c r="DR555" s="99"/>
      <c r="EW555"/>
      <c r="EX555"/>
      <c r="EY555"/>
    </row>
    <row r="556" spans="121:155" ht="15" customHeight="1" x14ac:dyDescent="0.25">
      <c r="DQ556" s="99"/>
      <c r="DR556" s="99"/>
      <c r="EW556"/>
      <c r="EX556"/>
      <c r="EY556"/>
    </row>
    <row r="557" spans="121:155" ht="15" customHeight="1" x14ac:dyDescent="0.25">
      <c r="DQ557" s="99"/>
      <c r="DR557" s="99"/>
      <c r="EW557"/>
      <c r="EX557"/>
      <c r="EY557"/>
    </row>
    <row r="558" spans="121:155" ht="15" customHeight="1" x14ac:dyDescent="0.25">
      <c r="DQ558" s="99"/>
      <c r="DR558" s="99"/>
      <c r="EW558"/>
      <c r="EX558"/>
      <c r="EY558"/>
    </row>
    <row r="559" spans="121:155" ht="15" customHeight="1" x14ac:dyDescent="0.25">
      <c r="DQ559" s="99"/>
      <c r="DR559" s="99"/>
      <c r="EW559"/>
      <c r="EX559"/>
      <c r="EY559"/>
    </row>
    <row r="560" spans="121:155" ht="15" customHeight="1" x14ac:dyDescent="0.25">
      <c r="DQ560" s="99"/>
      <c r="DR560" s="99"/>
      <c r="EW560"/>
      <c r="EX560"/>
      <c r="EY560"/>
    </row>
    <row r="561" spans="121:155" ht="15" customHeight="1" x14ac:dyDescent="0.25">
      <c r="DQ561" s="99"/>
      <c r="DR561" s="99"/>
      <c r="EW561"/>
      <c r="EX561"/>
      <c r="EY561"/>
    </row>
    <row r="562" spans="121:155" ht="15" customHeight="1" x14ac:dyDescent="0.25">
      <c r="DQ562" s="99"/>
      <c r="DR562" s="99"/>
      <c r="EW562"/>
      <c r="EX562"/>
      <c r="EY562"/>
    </row>
    <row r="563" spans="121:155" ht="15" customHeight="1" x14ac:dyDescent="0.25">
      <c r="DQ563" s="99"/>
      <c r="DR563" s="99"/>
      <c r="EW563"/>
      <c r="EX563"/>
      <c r="EY563"/>
    </row>
    <row r="564" spans="121:155" ht="15" customHeight="1" x14ac:dyDescent="0.25">
      <c r="DQ564" s="99"/>
      <c r="DR564" s="99"/>
      <c r="EW564"/>
      <c r="EX564"/>
      <c r="EY564"/>
    </row>
    <row r="565" spans="121:155" ht="15" customHeight="1" x14ac:dyDescent="0.25">
      <c r="DQ565" s="99"/>
      <c r="DR565" s="99"/>
      <c r="EW565"/>
      <c r="EX565"/>
      <c r="EY565"/>
    </row>
    <row r="566" spans="121:155" ht="15" customHeight="1" x14ac:dyDescent="0.25">
      <c r="DQ566" s="99"/>
      <c r="DR566" s="99"/>
      <c r="EW566"/>
      <c r="EX566"/>
      <c r="EY566"/>
    </row>
    <row r="567" spans="121:155" ht="15" customHeight="1" x14ac:dyDescent="0.25">
      <c r="DQ567" s="99"/>
      <c r="DR567" s="99"/>
      <c r="EW567"/>
      <c r="EX567"/>
      <c r="EY567"/>
    </row>
    <row r="568" spans="121:155" ht="15" customHeight="1" x14ac:dyDescent="0.25">
      <c r="DQ568" s="99"/>
      <c r="DR568" s="99"/>
      <c r="EW568"/>
      <c r="EX568"/>
      <c r="EY568"/>
    </row>
    <row r="569" spans="121:155" ht="15" customHeight="1" x14ac:dyDescent="0.25">
      <c r="DQ569" s="99"/>
      <c r="DR569" s="99"/>
      <c r="EW569"/>
      <c r="EX569"/>
      <c r="EY569"/>
    </row>
    <row r="570" spans="121:155" ht="15" customHeight="1" x14ac:dyDescent="0.25">
      <c r="DQ570" s="99"/>
      <c r="DR570" s="99"/>
      <c r="EW570"/>
      <c r="EX570"/>
      <c r="EY570"/>
    </row>
    <row r="571" spans="121:155" ht="15" customHeight="1" x14ac:dyDescent="0.25">
      <c r="DQ571" s="99"/>
      <c r="DR571" s="99"/>
      <c r="EW571"/>
      <c r="EX571"/>
      <c r="EY571"/>
    </row>
    <row r="572" spans="121:155" ht="15" customHeight="1" x14ac:dyDescent="0.25">
      <c r="DQ572" s="99"/>
      <c r="DR572" s="99"/>
      <c r="EW572"/>
      <c r="EX572"/>
      <c r="EY572"/>
    </row>
    <row r="573" spans="121:155" ht="15" customHeight="1" x14ac:dyDescent="0.25">
      <c r="DQ573" s="99"/>
      <c r="DR573" s="99"/>
      <c r="EW573"/>
      <c r="EX573"/>
      <c r="EY573"/>
    </row>
    <row r="574" spans="121:155" ht="15" customHeight="1" x14ac:dyDescent="0.25">
      <c r="DQ574" s="99"/>
      <c r="DR574" s="99"/>
      <c r="EW574"/>
      <c r="EX574"/>
      <c r="EY574"/>
    </row>
    <row r="575" spans="121:155" ht="15" customHeight="1" x14ac:dyDescent="0.25">
      <c r="DQ575" s="99"/>
      <c r="DR575" s="99"/>
      <c r="EW575"/>
      <c r="EX575"/>
      <c r="EY575"/>
    </row>
    <row r="576" spans="121:155" ht="15" customHeight="1" x14ac:dyDescent="0.25">
      <c r="DQ576" s="99"/>
      <c r="DR576" s="99"/>
      <c r="EW576"/>
      <c r="EX576"/>
      <c r="EY576"/>
    </row>
    <row r="577" spans="121:155" ht="15" customHeight="1" x14ac:dyDescent="0.25">
      <c r="DQ577" s="99"/>
      <c r="DR577" s="99"/>
      <c r="EW577"/>
      <c r="EX577"/>
      <c r="EY577"/>
    </row>
    <row r="578" spans="121:155" ht="15" customHeight="1" x14ac:dyDescent="0.25">
      <c r="DQ578" s="99"/>
      <c r="DR578" s="99"/>
      <c r="EW578"/>
      <c r="EX578"/>
      <c r="EY578"/>
    </row>
    <row r="579" spans="121:155" ht="15" customHeight="1" x14ac:dyDescent="0.25">
      <c r="DQ579" s="99"/>
      <c r="DR579" s="99"/>
      <c r="EW579"/>
      <c r="EX579"/>
      <c r="EY579"/>
    </row>
    <row r="580" spans="121:155" ht="15" customHeight="1" x14ac:dyDescent="0.25">
      <c r="DQ580" s="99"/>
      <c r="DR580" s="99"/>
      <c r="EW580"/>
      <c r="EX580"/>
      <c r="EY580"/>
    </row>
    <row r="581" spans="121:155" ht="15" customHeight="1" x14ac:dyDescent="0.25">
      <c r="DQ581" s="99"/>
      <c r="DR581" s="99"/>
      <c r="EW581"/>
      <c r="EX581"/>
      <c r="EY581"/>
    </row>
    <row r="582" spans="121:155" ht="15" customHeight="1" x14ac:dyDescent="0.25">
      <c r="DQ582" s="99"/>
      <c r="DR582" s="99"/>
      <c r="EW582"/>
      <c r="EX582"/>
      <c r="EY582"/>
    </row>
    <row r="583" spans="121:155" ht="15" customHeight="1" x14ac:dyDescent="0.25">
      <c r="DQ583" s="99"/>
      <c r="DR583" s="99"/>
      <c r="EW583"/>
      <c r="EX583"/>
      <c r="EY583"/>
    </row>
    <row r="584" spans="121:155" ht="15" customHeight="1" x14ac:dyDescent="0.25">
      <c r="DQ584" s="99"/>
      <c r="DR584" s="99"/>
      <c r="EW584"/>
      <c r="EX584"/>
      <c r="EY584"/>
    </row>
    <row r="585" spans="121:155" ht="15" customHeight="1" x14ac:dyDescent="0.25">
      <c r="DQ585" s="99"/>
      <c r="DR585" s="99"/>
      <c r="EW585"/>
      <c r="EX585"/>
      <c r="EY585"/>
    </row>
    <row r="586" spans="121:155" ht="15" customHeight="1" x14ac:dyDescent="0.25">
      <c r="DQ586" s="99"/>
      <c r="DR586" s="99"/>
      <c r="EW586"/>
      <c r="EX586"/>
      <c r="EY586"/>
    </row>
    <row r="587" spans="121:155" ht="15" customHeight="1" x14ac:dyDescent="0.25">
      <c r="DQ587" s="99"/>
      <c r="DR587" s="99"/>
      <c r="EW587"/>
      <c r="EX587"/>
      <c r="EY587"/>
    </row>
    <row r="588" spans="121:155" ht="15" customHeight="1" x14ac:dyDescent="0.25">
      <c r="DQ588" s="99"/>
      <c r="DR588" s="99"/>
      <c r="EW588"/>
      <c r="EX588"/>
      <c r="EY588"/>
    </row>
    <row r="589" spans="121:155" ht="15" customHeight="1" x14ac:dyDescent="0.25">
      <c r="DQ589" s="99"/>
      <c r="DR589" s="99"/>
      <c r="EW589"/>
      <c r="EX589"/>
      <c r="EY589"/>
    </row>
    <row r="590" spans="121:155" ht="15" customHeight="1" x14ac:dyDescent="0.25">
      <c r="DQ590" s="99"/>
      <c r="DR590" s="99"/>
      <c r="EW590"/>
      <c r="EX590"/>
      <c r="EY590"/>
    </row>
    <row r="591" spans="121:155" ht="15" customHeight="1" x14ac:dyDescent="0.25">
      <c r="DQ591" s="99"/>
      <c r="DR591" s="99"/>
      <c r="EW591"/>
      <c r="EX591"/>
      <c r="EY591"/>
    </row>
    <row r="592" spans="121:155" ht="15" customHeight="1" x14ac:dyDescent="0.25">
      <c r="DQ592" s="99"/>
      <c r="DR592" s="99"/>
      <c r="EW592"/>
      <c r="EX592"/>
      <c r="EY592"/>
    </row>
    <row r="593" spans="121:155" ht="15" customHeight="1" x14ac:dyDescent="0.25">
      <c r="DQ593" s="99"/>
      <c r="DR593" s="99"/>
      <c r="EW593"/>
      <c r="EX593"/>
      <c r="EY593"/>
    </row>
    <row r="594" spans="121:155" ht="15" customHeight="1" x14ac:dyDescent="0.25">
      <c r="DQ594" s="99"/>
      <c r="DR594" s="99"/>
      <c r="EW594"/>
      <c r="EX594"/>
      <c r="EY594"/>
    </row>
    <row r="595" spans="121:155" ht="15" customHeight="1" x14ac:dyDescent="0.25">
      <c r="DQ595" s="99"/>
      <c r="DR595" s="99"/>
      <c r="EW595"/>
      <c r="EX595"/>
      <c r="EY595"/>
    </row>
    <row r="596" spans="121:155" ht="15" customHeight="1" x14ac:dyDescent="0.25">
      <c r="DQ596" s="99"/>
      <c r="DR596" s="99"/>
      <c r="EW596"/>
      <c r="EX596"/>
      <c r="EY596"/>
    </row>
    <row r="597" spans="121:155" ht="15" customHeight="1" x14ac:dyDescent="0.25">
      <c r="DQ597" s="99"/>
      <c r="DR597" s="99"/>
      <c r="EW597"/>
      <c r="EX597"/>
      <c r="EY597"/>
    </row>
    <row r="598" spans="121:155" ht="15" customHeight="1" x14ac:dyDescent="0.25">
      <c r="DQ598" s="99"/>
      <c r="DR598" s="99"/>
      <c r="EW598"/>
      <c r="EX598"/>
      <c r="EY598"/>
    </row>
    <row r="599" spans="121:155" ht="15" customHeight="1" x14ac:dyDescent="0.25">
      <c r="DQ599" s="99"/>
      <c r="DR599" s="99"/>
      <c r="EW599"/>
      <c r="EX599"/>
      <c r="EY599"/>
    </row>
    <row r="600" spans="121:155" ht="15" customHeight="1" x14ac:dyDescent="0.25">
      <c r="DQ600" s="99"/>
      <c r="DR600" s="99"/>
      <c r="EW600"/>
      <c r="EX600"/>
      <c r="EY600"/>
    </row>
    <row r="601" spans="121:155" ht="15" customHeight="1" x14ac:dyDescent="0.25">
      <c r="DQ601" s="99"/>
      <c r="DR601" s="99"/>
      <c r="EW601"/>
      <c r="EX601"/>
      <c r="EY601"/>
    </row>
    <row r="602" spans="121:155" ht="15" customHeight="1" x14ac:dyDescent="0.25">
      <c r="DQ602" s="99"/>
      <c r="DR602" s="99"/>
      <c r="EW602"/>
      <c r="EX602"/>
      <c r="EY602"/>
    </row>
    <row r="603" spans="121:155" ht="15" customHeight="1" x14ac:dyDescent="0.25">
      <c r="DQ603" s="99"/>
      <c r="DR603" s="99"/>
      <c r="EW603"/>
      <c r="EX603"/>
      <c r="EY603"/>
    </row>
    <row r="604" spans="121:155" ht="15" customHeight="1" x14ac:dyDescent="0.25">
      <c r="DQ604" s="99"/>
      <c r="DR604" s="99"/>
      <c r="EW604"/>
      <c r="EX604"/>
      <c r="EY604"/>
    </row>
    <row r="605" spans="121:155" ht="15" customHeight="1" x14ac:dyDescent="0.25">
      <c r="DQ605" s="99"/>
      <c r="DR605" s="99"/>
      <c r="EW605"/>
      <c r="EX605"/>
      <c r="EY605"/>
    </row>
    <row r="606" spans="121:155" ht="15" customHeight="1" x14ac:dyDescent="0.25">
      <c r="DQ606" s="99"/>
      <c r="DR606" s="99"/>
      <c r="EW606"/>
      <c r="EX606"/>
      <c r="EY606"/>
    </row>
    <row r="607" spans="121:155" ht="15" customHeight="1" x14ac:dyDescent="0.25">
      <c r="DQ607" s="99"/>
      <c r="DR607" s="99"/>
      <c r="EW607"/>
      <c r="EX607"/>
      <c r="EY607"/>
    </row>
    <row r="608" spans="121:155" ht="15" customHeight="1" x14ac:dyDescent="0.25">
      <c r="DQ608" s="99"/>
      <c r="DR608" s="99"/>
      <c r="EW608"/>
      <c r="EX608"/>
      <c r="EY608"/>
    </row>
    <row r="609" spans="121:155" ht="15" customHeight="1" x14ac:dyDescent="0.25">
      <c r="DQ609" s="99"/>
      <c r="DR609" s="99"/>
      <c r="EW609"/>
      <c r="EX609"/>
      <c r="EY609"/>
    </row>
    <row r="610" spans="121:155" ht="15" customHeight="1" x14ac:dyDescent="0.25">
      <c r="DQ610" s="99"/>
      <c r="DR610" s="99"/>
      <c r="EW610"/>
      <c r="EX610"/>
      <c r="EY610"/>
    </row>
    <row r="611" spans="121:155" ht="15" customHeight="1" x14ac:dyDescent="0.25">
      <c r="DQ611" s="99"/>
      <c r="DR611" s="99"/>
      <c r="EW611"/>
      <c r="EX611"/>
      <c r="EY611"/>
    </row>
    <row r="612" spans="121:155" ht="15" customHeight="1" x14ac:dyDescent="0.25">
      <c r="DQ612" s="99"/>
      <c r="DR612" s="99"/>
      <c r="EW612"/>
      <c r="EX612"/>
      <c r="EY612"/>
    </row>
    <row r="613" spans="121:155" ht="15" customHeight="1" x14ac:dyDescent="0.25">
      <c r="DQ613" s="99"/>
      <c r="DR613" s="99"/>
      <c r="EW613"/>
      <c r="EX613"/>
      <c r="EY613"/>
    </row>
    <row r="614" spans="121:155" ht="15" customHeight="1" x14ac:dyDescent="0.25">
      <c r="DQ614" s="99"/>
      <c r="DR614" s="99"/>
      <c r="EW614"/>
      <c r="EX614"/>
      <c r="EY614"/>
    </row>
    <row r="615" spans="121:155" ht="15" customHeight="1" x14ac:dyDescent="0.25">
      <c r="DQ615" s="99"/>
      <c r="DR615" s="99"/>
      <c r="EW615"/>
      <c r="EX615"/>
      <c r="EY615"/>
    </row>
    <row r="616" spans="121:155" ht="15" customHeight="1" x14ac:dyDescent="0.25">
      <c r="DQ616" s="99"/>
      <c r="DR616" s="99"/>
      <c r="EW616"/>
      <c r="EX616"/>
      <c r="EY616"/>
    </row>
    <row r="617" spans="121:155" ht="15" customHeight="1" x14ac:dyDescent="0.25">
      <c r="DQ617" s="99"/>
      <c r="DR617" s="99"/>
      <c r="EW617"/>
      <c r="EX617"/>
      <c r="EY617"/>
    </row>
    <row r="618" spans="121:155" ht="15" customHeight="1" x14ac:dyDescent="0.25">
      <c r="DQ618" s="99"/>
      <c r="DR618" s="99"/>
      <c r="EW618"/>
      <c r="EX618"/>
      <c r="EY618"/>
    </row>
    <row r="619" spans="121:155" ht="15" customHeight="1" x14ac:dyDescent="0.25">
      <c r="DQ619" s="99"/>
      <c r="DR619" s="99"/>
      <c r="EW619"/>
      <c r="EX619"/>
      <c r="EY619"/>
    </row>
    <row r="620" spans="121:155" ht="15" customHeight="1" x14ac:dyDescent="0.25">
      <c r="DQ620" s="99"/>
      <c r="DR620" s="99"/>
      <c r="EW620"/>
      <c r="EX620"/>
      <c r="EY620"/>
    </row>
    <row r="621" spans="121:155" ht="15" customHeight="1" x14ac:dyDescent="0.25">
      <c r="DQ621" s="99"/>
      <c r="DR621" s="99"/>
      <c r="EW621"/>
      <c r="EX621"/>
      <c r="EY621"/>
    </row>
    <row r="622" spans="121:155" ht="15" customHeight="1" x14ac:dyDescent="0.25">
      <c r="DQ622" s="99"/>
      <c r="DR622" s="99"/>
      <c r="EW622"/>
      <c r="EX622"/>
      <c r="EY622"/>
    </row>
    <row r="623" spans="121:155" ht="15" customHeight="1" x14ac:dyDescent="0.25">
      <c r="DQ623" s="99"/>
      <c r="DR623" s="99"/>
      <c r="EW623"/>
      <c r="EX623"/>
      <c r="EY623"/>
    </row>
    <row r="624" spans="121:155" ht="15" customHeight="1" x14ac:dyDescent="0.25">
      <c r="DQ624" s="99"/>
      <c r="DR624" s="99"/>
      <c r="EW624"/>
      <c r="EX624"/>
      <c r="EY624"/>
    </row>
    <row r="625" spans="121:155" ht="15" customHeight="1" x14ac:dyDescent="0.25">
      <c r="DQ625" s="99"/>
      <c r="DR625" s="99"/>
      <c r="EW625"/>
      <c r="EX625"/>
      <c r="EY625"/>
    </row>
    <row r="626" spans="121:155" ht="15" customHeight="1" x14ac:dyDescent="0.25">
      <c r="DQ626" s="99"/>
      <c r="DR626" s="99"/>
      <c r="EW626"/>
      <c r="EX626"/>
      <c r="EY626"/>
    </row>
    <row r="627" spans="121:155" ht="15" customHeight="1" x14ac:dyDescent="0.25">
      <c r="DQ627" s="99"/>
      <c r="DR627" s="99"/>
      <c r="EW627"/>
      <c r="EX627"/>
      <c r="EY627"/>
    </row>
    <row r="628" spans="121:155" ht="15" customHeight="1" x14ac:dyDescent="0.25">
      <c r="DQ628" s="99"/>
      <c r="DR628" s="99"/>
      <c r="EW628"/>
      <c r="EX628"/>
      <c r="EY628"/>
    </row>
    <row r="629" spans="121:155" ht="15" customHeight="1" x14ac:dyDescent="0.25">
      <c r="DQ629" s="99"/>
      <c r="DR629" s="99"/>
      <c r="EW629"/>
      <c r="EX629"/>
      <c r="EY629"/>
    </row>
    <row r="630" spans="121:155" ht="15" customHeight="1" x14ac:dyDescent="0.25">
      <c r="DQ630" s="99"/>
      <c r="DR630" s="99"/>
      <c r="EW630"/>
      <c r="EX630"/>
      <c r="EY630"/>
    </row>
    <row r="631" spans="121:155" ht="15" customHeight="1" x14ac:dyDescent="0.25">
      <c r="DQ631" s="99"/>
      <c r="DR631" s="99"/>
      <c r="EW631"/>
      <c r="EX631"/>
      <c r="EY631"/>
    </row>
    <row r="632" spans="121:155" ht="15" customHeight="1" x14ac:dyDescent="0.25">
      <c r="DQ632" s="99"/>
      <c r="DR632" s="99"/>
      <c r="EW632"/>
      <c r="EX632"/>
      <c r="EY632"/>
    </row>
    <row r="633" spans="121:155" ht="15" customHeight="1" x14ac:dyDescent="0.25">
      <c r="DQ633" s="99"/>
      <c r="DR633" s="99"/>
      <c r="EW633"/>
      <c r="EX633"/>
      <c r="EY633"/>
    </row>
    <row r="634" spans="121:155" ht="15" customHeight="1" x14ac:dyDescent="0.25">
      <c r="DQ634" s="99"/>
      <c r="DR634" s="99"/>
      <c r="EW634"/>
      <c r="EX634"/>
      <c r="EY634"/>
    </row>
    <row r="635" spans="121:155" ht="15" customHeight="1" x14ac:dyDescent="0.25">
      <c r="DQ635" s="99"/>
      <c r="DR635" s="99"/>
      <c r="EW635"/>
      <c r="EX635"/>
      <c r="EY635"/>
    </row>
    <row r="636" spans="121:155" ht="15" customHeight="1" x14ac:dyDescent="0.25">
      <c r="DQ636" s="99"/>
      <c r="DR636" s="99"/>
      <c r="EW636"/>
      <c r="EX636"/>
      <c r="EY636"/>
    </row>
    <row r="637" spans="121:155" ht="15" customHeight="1" x14ac:dyDescent="0.25">
      <c r="DQ637" s="99"/>
      <c r="DR637" s="99"/>
      <c r="EW637"/>
      <c r="EX637"/>
      <c r="EY637"/>
    </row>
    <row r="638" spans="121:155" ht="15" customHeight="1" x14ac:dyDescent="0.25">
      <c r="DQ638" s="99"/>
      <c r="DR638" s="99"/>
      <c r="EW638"/>
      <c r="EX638"/>
      <c r="EY638"/>
    </row>
    <row r="639" spans="121:155" ht="15" customHeight="1" x14ac:dyDescent="0.25">
      <c r="DQ639" s="99"/>
      <c r="DR639" s="99"/>
      <c r="EW639"/>
      <c r="EX639"/>
      <c r="EY639"/>
    </row>
    <row r="640" spans="121:155" ht="15" customHeight="1" x14ac:dyDescent="0.25">
      <c r="DQ640" s="99"/>
      <c r="DR640" s="99"/>
      <c r="EW640"/>
      <c r="EX640"/>
      <c r="EY640"/>
    </row>
    <row r="641" spans="121:155" ht="15" customHeight="1" x14ac:dyDescent="0.25">
      <c r="DQ641" s="99"/>
      <c r="DR641" s="99"/>
      <c r="EW641"/>
      <c r="EX641"/>
      <c r="EY641"/>
    </row>
    <row r="642" spans="121:155" ht="15" customHeight="1" x14ac:dyDescent="0.25">
      <c r="DQ642" s="99"/>
      <c r="DR642" s="99"/>
      <c r="EW642"/>
      <c r="EX642"/>
      <c r="EY642"/>
    </row>
    <row r="643" spans="121:155" ht="15" customHeight="1" x14ac:dyDescent="0.25">
      <c r="DQ643" s="99"/>
      <c r="DR643" s="99"/>
      <c r="EW643"/>
      <c r="EX643"/>
      <c r="EY643"/>
    </row>
    <row r="644" spans="121:155" ht="15" customHeight="1" x14ac:dyDescent="0.25">
      <c r="DQ644" s="99"/>
      <c r="DR644" s="99"/>
      <c r="EW644"/>
      <c r="EX644"/>
      <c r="EY644"/>
    </row>
    <row r="645" spans="121:155" ht="15" customHeight="1" x14ac:dyDescent="0.25">
      <c r="DQ645" s="99"/>
      <c r="DR645" s="99"/>
      <c r="EW645"/>
      <c r="EX645"/>
      <c r="EY645"/>
    </row>
    <row r="646" spans="121:155" ht="15" customHeight="1" x14ac:dyDescent="0.25">
      <c r="DQ646" s="99"/>
      <c r="DR646" s="99"/>
      <c r="EW646"/>
      <c r="EX646"/>
      <c r="EY646"/>
    </row>
    <row r="647" spans="121:155" ht="15" customHeight="1" x14ac:dyDescent="0.25">
      <c r="DQ647" s="99"/>
      <c r="DR647" s="99"/>
      <c r="EW647"/>
      <c r="EX647"/>
      <c r="EY647"/>
    </row>
    <row r="648" spans="121:155" ht="15" customHeight="1" x14ac:dyDescent="0.25">
      <c r="DQ648" s="99"/>
      <c r="DR648" s="99"/>
      <c r="EW648"/>
      <c r="EX648"/>
      <c r="EY648"/>
    </row>
    <row r="649" spans="121:155" ht="15" customHeight="1" x14ac:dyDescent="0.25">
      <c r="DQ649" s="99"/>
      <c r="DR649" s="99"/>
      <c r="EW649"/>
      <c r="EX649"/>
      <c r="EY649"/>
    </row>
    <row r="650" spans="121:155" ht="15" customHeight="1" x14ac:dyDescent="0.25">
      <c r="DQ650" s="99"/>
      <c r="DR650" s="99"/>
      <c r="EW650"/>
      <c r="EX650"/>
      <c r="EY650"/>
    </row>
    <row r="651" spans="121:155" ht="15" customHeight="1" x14ac:dyDescent="0.25">
      <c r="DQ651" s="99"/>
      <c r="DR651" s="99"/>
      <c r="EW651"/>
      <c r="EX651"/>
      <c r="EY651"/>
    </row>
    <row r="652" spans="121:155" ht="15" customHeight="1" x14ac:dyDescent="0.25">
      <c r="DQ652" s="99"/>
      <c r="DR652" s="99"/>
      <c r="EW652"/>
      <c r="EX652"/>
      <c r="EY652"/>
    </row>
    <row r="653" spans="121:155" ht="15" customHeight="1" x14ac:dyDescent="0.25">
      <c r="DQ653" s="99"/>
      <c r="DR653" s="99"/>
      <c r="EW653"/>
      <c r="EX653"/>
      <c r="EY653"/>
    </row>
    <row r="654" spans="121:155" ht="15" customHeight="1" x14ac:dyDescent="0.25">
      <c r="DQ654" s="99"/>
      <c r="DR654" s="99"/>
      <c r="EW654"/>
      <c r="EX654"/>
      <c r="EY654"/>
    </row>
    <row r="655" spans="121:155" ht="15" customHeight="1" x14ac:dyDescent="0.25">
      <c r="DQ655" s="99"/>
      <c r="DR655" s="99"/>
      <c r="EW655"/>
      <c r="EX655"/>
      <c r="EY655"/>
    </row>
    <row r="656" spans="121:155" ht="15" customHeight="1" x14ac:dyDescent="0.25">
      <c r="DQ656" s="99"/>
      <c r="DR656" s="99"/>
      <c r="EW656"/>
      <c r="EX656"/>
      <c r="EY656"/>
    </row>
    <row r="657" spans="121:155" ht="15" customHeight="1" x14ac:dyDescent="0.25">
      <c r="DQ657" s="99"/>
      <c r="DR657" s="99"/>
      <c r="EW657"/>
      <c r="EX657"/>
      <c r="EY657"/>
    </row>
    <row r="658" spans="121:155" ht="15" customHeight="1" x14ac:dyDescent="0.25">
      <c r="DQ658" s="99"/>
      <c r="DR658" s="99"/>
      <c r="EW658"/>
      <c r="EX658"/>
      <c r="EY658"/>
    </row>
    <row r="659" spans="121:155" ht="15" customHeight="1" x14ac:dyDescent="0.25">
      <c r="DQ659" s="99"/>
      <c r="DR659" s="99"/>
      <c r="EW659"/>
      <c r="EX659"/>
      <c r="EY659"/>
    </row>
    <row r="660" spans="121:155" ht="15" customHeight="1" x14ac:dyDescent="0.25">
      <c r="DQ660" s="99"/>
      <c r="DR660" s="99"/>
      <c r="EW660"/>
      <c r="EX660"/>
      <c r="EY660"/>
    </row>
    <row r="661" spans="121:155" ht="15" customHeight="1" x14ac:dyDescent="0.25">
      <c r="DQ661" s="99"/>
      <c r="DR661" s="99"/>
      <c r="EW661"/>
      <c r="EX661"/>
      <c r="EY661"/>
    </row>
    <row r="662" spans="121:155" ht="15" customHeight="1" x14ac:dyDescent="0.25">
      <c r="DQ662" s="99"/>
      <c r="DR662" s="99"/>
      <c r="EW662"/>
      <c r="EX662"/>
      <c r="EY662"/>
    </row>
    <row r="663" spans="121:155" ht="15" customHeight="1" x14ac:dyDescent="0.25">
      <c r="DQ663" s="99"/>
      <c r="DR663" s="99"/>
      <c r="EW663"/>
      <c r="EX663"/>
      <c r="EY663"/>
    </row>
    <row r="664" spans="121:155" ht="15" customHeight="1" x14ac:dyDescent="0.25">
      <c r="DQ664" s="99"/>
      <c r="DR664" s="99"/>
      <c r="EW664"/>
      <c r="EX664"/>
      <c r="EY664"/>
    </row>
    <row r="665" spans="121:155" ht="15" customHeight="1" x14ac:dyDescent="0.25">
      <c r="DQ665" s="99"/>
      <c r="DR665" s="99"/>
      <c r="EW665"/>
      <c r="EX665"/>
      <c r="EY665"/>
    </row>
    <row r="666" spans="121:155" ht="15" customHeight="1" x14ac:dyDescent="0.25">
      <c r="DQ666" s="99"/>
      <c r="DR666" s="99"/>
      <c r="EW666"/>
      <c r="EX666"/>
      <c r="EY666"/>
    </row>
    <row r="667" spans="121:155" ht="15" customHeight="1" x14ac:dyDescent="0.25">
      <c r="DQ667" s="99"/>
      <c r="DR667" s="99"/>
      <c r="EW667"/>
      <c r="EX667"/>
      <c r="EY667"/>
    </row>
    <row r="668" spans="121:155" ht="15" customHeight="1" x14ac:dyDescent="0.25">
      <c r="DQ668" s="99"/>
      <c r="DR668" s="99"/>
      <c r="EW668"/>
      <c r="EX668"/>
      <c r="EY668"/>
    </row>
    <row r="669" spans="121:155" ht="15" customHeight="1" x14ac:dyDescent="0.25">
      <c r="DQ669" s="99"/>
      <c r="DR669" s="99"/>
      <c r="EW669"/>
      <c r="EX669"/>
      <c r="EY669"/>
    </row>
    <row r="670" spans="121:155" ht="15" customHeight="1" x14ac:dyDescent="0.25">
      <c r="DQ670" s="99"/>
      <c r="DR670" s="99"/>
      <c r="EW670"/>
      <c r="EX670"/>
      <c r="EY670"/>
    </row>
    <row r="671" spans="121:155" ht="15" customHeight="1" x14ac:dyDescent="0.25">
      <c r="DQ671" s="99"/>
      <c r="DR671" s="99"/>
      <c r="EW671"/>
      <c r="EX671"/>
      <c r="EY671"/>
    </row>
    <row r="672" spans="121:155" ht="15" customHeight="1" x14ac:dyDescent="0.25">
      <c r="DQ672" s="99"/>
      <c r="DR672" s="99"/>
      <c r="EW672"/>
      <c r="EX672"/>
      <c r="EY672"/>
    </row>
    <row r="673" spans="121:155" ht="15" customHeight="1" x14ac:dyDescent="0.25">
      <c r="DQ673" s="99"/>
      <c r="DR673" s="99"/>
      <c r="EW673"/>
      <c r="EX673"/>
      <c r="EY673"/>
    </row>
    <row r="674" spans="121:155" ht="15" customHeight="1" x14ac:dyDescent="0.25">
      <c r="DQ674" s="99"/>
      <c r="DR674" s="99"/>
      <c r="EW674"/>
      <c r="EX674"/>
      <c r="EY674"/>
    </row>
    <row r="675" spans="121:155" ht="15" customHeight="1" x14ac:dyDescent="0.25">
      <c r="DQ675" s="99"/>
      <c r="DR675" s="99"/>
      <c r="EW675"/>
      <c r="EX675"/>
      <c r="EY675"/>
    </row>
    <row r="676" spans="121:155" ht="15" customHeight="1" x14ac:dyDescent="0.25">
      <c r="DQ676" s="99"/>
      <c r="DR676" s="99"/>
      <c r="EW676"/>
      <c r="EX676"/>
      <c r="EY676"/>
    </row>
    <row r="677" spans="121:155" ht="15" customHeight="1" x14ac:dyDescent="0.25">
      <c r="DQ677" s="99"/>
      <c r="DR677" s="99"/>
      <c r="EW677"/>
      <c r="EX677"/>
      <c r="EY677"/>
    </row>
    <row r="678" spans="121:155" ht="15" customHeight="1" x14ac:dyDescent="0.25">
      <c r="DQ678" s="99"/>
      <c r="DR678" s="99"/>
      <c r="EW678"/>
      <c r="EX678"/>
      <c r="EY678"/>
    </row>
    <row r="679" spans="121:155" ht="15" customHeight="1" x14ac:dyDescent="0.25">
      <c r="DQ679" s="99"/>
      <c r="DR679" s="99"/>
      <c r="EW679"/>
      <c r="EX679"/>
      <c r="EY679"/>
    </row>
    <row r="680" spans="121:155" ht="15" customHeight="1" x14ac:dyDescent="0.25">
      <c r="DQ680" s="99"/>
      <c r="DR680" s="99"/>
      <c r="EW680"/>
      <c r="EX680"/>
      <c r="EY680"/>
    </row>
    <row r="681" spans="121:155" ht="15" customHeight="1" x14ac:dyDescent="0.25">
      <c r="DQ681" s="99"/>
      <c r="DR681" s="99"/>
      <c r="EW681"/>
      <c r="EX681"/>
      <c r="EY681"/>
    </row>
    <row r="682" spans="121:155" ht="15" customHeight="1" x14ac:dyDescent="0.25">
      <c r="DQ682" s="99"/>
      <c r="DR682" s="99"/>
      <c r="EW682"/>
      <c r="EX682"/>
      <c r="EY682"/>
    </row>
    <row r="683" spans="121:155" ht="15" customHeight="1" x14ac:dyDescent="0.25">
      <c r="DQ683" s="99"/>
      <c r="DR683" s="99"/>
      <c r="EW683"/>
      <c r="EX683"/>
      <c r="EY683"/>
    </row>
    <row r="684" spans="121:155" ht="15" customHeight="1" x14ac:dyDescent="0.25">
      <c r="DQ684" s="99"/>
      <c r="DR684" s="99"/>
      <c r="EW684"/>
      <c r="EX684"/>
      <c r="EY684"/>
    </row>
    <row r="685" spans="121:155" ht="15" customHeight="1" x14ac:dyDescent="0.25">
      <c r="DQ685" s="99"/>
      <c r="DR685" s="99"/>
      <c r="EW685"/>
      <c r="EX685"/>
      <c r="EY685"/>
    </row>
    <row r="686" spans="121:155" ht="15" customHeight="1" x14ac:dyDescent="0.25">
      <c r="DQ686" s="99"/>
      <c r="DR686" s="99"/>
      <c r="EW686"/>
      <c r="EX686"/>
      <c r="EY686"/>
    </row>
    <row r="687" spans="121:155" ht="15" customHeight="1" x14ac:dyDescent="0.25">
      <c r="DQ687" s="99"/>
      <c r="DR687" s="99"/>
      <c r="EW687"/>
      <c r="EX687"/>
      <c r="EY687"/>
    </row>
    <row r="688" spans="121:155" ht="15" customHeight="1" x14ac:dyDescent="0.25">
      <c r="DQ688" s="99"/>
      <c r="DR688" s="99"/>
      <c r="EW688"/>
      <c r="EX688"/>
      <c r="EY688"/>
    </row>
    <row r="689" spans="121:155" ht="15" customHeight="1" x14ac:dyDescent="0.25">
      <c r="DQ689" s="99"/>
      <c r="DR689" s="99"/>
      <c r="EW689"/>
      <c r="EX689"/>
      <c r="EY689"/>
    </row>
    <row r="690" spans="121:155" ht="15" customHeight="1" x14ac:dyDescent="0.25">
      <c r="DQ690" s="99"/>
      <c r="DR690" s="99"/>
      <c r="EW690"/>
      <c r="EX690"/>
      <c r="EY690"/>
    </row>
    <row r="691" spans="121:155" ht="15" customHeight="1" x14ac:dyDescent="0.25">
      <c r="DQ691" s="99"/>
      <c r="DR691" s="99"/>
      <c r="EW691"/>
      <c r="EX691"/>
      <c r="EY691"/>
    </row>
    <row r="692" spans="121:155" ht="15" customHeight="1" x14ac:dyDescent="0.25">
      <c r="DQ692" s="99"/>
      <c r="DR692" s="99"/>
      <c r="EW692"/>
      <c r="EX692"/>
      <c r="EY692"/>
    </row>
    <row r="693" spans="121:155" ht="15" customHeight="1" x14ac:dyDescent="0.25">
      <c r="DQ693" s="99"/>
      <c r="DR693" s="99"/>
      <c r="EW693"/>
      <c r="EX693"/>
      <c r="EY693"/>
    </row>
    <row r="694" spans="121:155" ht="15" customHeight="1" x14ac:dyDescent="0.25">
      <c r="DQ694" s="99"/>
      <c r="DR694" s="99"/>
      <c r="EW694"/>
      <c r="EX694"/>
      <c r="EY694"/>
    </row>
    <row r="695" spans="121:155" ht="15" customHeight="1" x14ac:dyDescent="0.25">
      <c r="DQ695" s="99"/>
      <c r="DR695" s="99"/>
      <c r="EW695"/>
      <c r="EX695"/>
      <c r="EY695"/>
    </row>
    <row r="696" spans="121:155" ht="15" customHeight="1" x14ac:dyDescent="0.25">
      <c r="DQ696" s="99"/>
      <c r="DR696" s="99"/>
      <c r="EW696"/>
      <c r="EX696"/>
      <c r="EY696"/>
    </row>
    <row r="697" spans="121:155" ht="15" customHeight="1" x14ac:dyDescent="0.25">
      <c r="DQ697" s="99"/>
      <c r="DR697" s="99"/>
      <c r="EW697"/>
      <c r="EX697"/>
      <c r="EY697"/>
    </row>
    <row r="698" spans="121:155" ht="15" customHeight="1" x14ac:dyDescent="0.25">
      <c r="DQ698" s="99"/>
      <c r="DR698" s="99"/>
      <c r="EW698"/>
      <c r="EX698"/>
      <c r="EY698"/>
    </row>
    <row r="699" spans="121:155" ht="15" customHeight="1" x14ac:dyDescent="0.25">
      <c r="DQ699" s="99"/>
      <c r="DR699" s="99"/>
      <c r="EW699"/>
      <c r="EX699"/>
      <c r="EY699"/>
    </row>
    <row r="700" spans="121:155" ht="15" customHeight="1" x14ac:dyDescent="0.25">
      <c r="DQ700" s="99"/>
      <c r="DR700" s="99"/>
      <c r="EW700"/>
      <c r="EX700"/>
      <c r="EY700"/>
    </row>
    <row r="701" spans="121:155" ht="15" customHeight="1" x14ac:dyDescent="0.25">
      <c r="DQ701" s="99"/>
      <c r="DR701" s="99"/>
      <c r="EW701"/>
      <c r="EX701"/>
      <c r="EY701"/>
    </row>
    <row r="702" spans="121:155" ht="15" customHeight="1" x14ac:dyDescent="0.25">
      <c r="DQ702" s="99"/>
      <c r="DR702" s="99"/>
      <c r="EW702"/>
      <c r="EX702"/>
      <c r="EY702"/>
    </row>
    <row r="703" spans="121:155" ht="15" customHeight="1" x14ac:dyDescent="0.25">
      <c r="DQ703" s="99"/>
      <c r="DR703" s="99"/>
      <c r="EW703"/>
      <c r="EX703"/>
      <c r="EY703"/>
    </row>
    <row r="704" spans="121:155" ht="15" customHeight="1" x14ac:dyDescent="0.25">
      <c r="DQ704" s="99"/>
      <c r="DR704" s="99"/>
      <c r="EW704"/>
      <c r="EX704"/>
      <c r="EY704"/>
    </row>
    <row r="705" spans="121:155" ht="15" customHeight="1" x14ac:dyDescent="0.25">
      <c r="DQ705" s="99"/>
      <c r="DR705" s="99"/>
      <c r="EW705"/>
      <c r="EX705"/>
      <c r="EY705"/>
    </row>
    <row r="706" spans="121:155" ht="15" customHeight="1" x14ac:dyDescent="0.25">
      <c r="DQ706" s="99"/>
      <c r="DR706" s="99"/>
      <c r="EW706"/>
      <c r="EX706"/>
      <c r="EY706"/>
    </row>
    <row r="707" spans="121:155" ht="15" customHeight="1" x14ac:dyDescent="0.25">
      <c r="DQ707" s="99"/>
      <c r="DR707" s="99"/>
      <c r="EW707"/>
      <c r="EX707"/>
      <c r="EY707"/>
    </row>
    <row r="708" spans="121:155" ht="15" customHeight="1" x14ac:dyDescent="0.25">
      <c r="DQ708" s="99"/>
      <c r="DR708" s="99"/>
      <c r="EW708"/>
      <c r="EX708"/>
      <c r="EY708"/>
    </row>
    <row r="709" spans="121:155" ht="15" customHeight="1" x14ac:dyDescent="0.25">
      <c r="DQ709" s="99"/>
      <c r="DR709" s="99"/>
      <c r="EW709"/>
      <c r="EX709"/>
      <c r="EY709"/>
    </row>
    <row r="710" spans="121:155" ht="15" customHeight="1" x14ac:dyDescent="0.25">
      <c r="DQ710" s="99"/>
      <c r="DR710" s="99"/>
      <c r="EW710"/>
      <c r="EX710"/>
      <c r="EY710"/>
    </row>
    <row r="711" spans="121:155" ht="15" customHeight="1" x14ac:dyDescent="0.25">
      <c r="DQ711" s="99"/>
      <c r="DR711" s="99"/>
      <c r="EW711"/>
      <c r="EX711"/>
      <c r="EY711"/>
    </row>
    <row r="712" spans="121:155" ht="15" customHeight="1" x14ac:dyDescent="0.25">
      <c r="DQ712" s="99"/>
      <c r="DR712" s="99"/>
      <c r="EW712"/>
      <c r="EX712"/>
      <c r="EY712"/>
    </row>
    <row r="713" spans="121:155" ht="15" customHeight="1" x14ac:dyDescent="0.25">
      <c r="DQ713" s="99"/>
      <c r="DR713" s="99"/>
      <c r="EW713"/>
      <c r="EX713"/>
      <c r="EY713"/>
    </row>
    <row r="714" spans="121:155" ht="15" customHeight="1" x14ac:dyDescent="0.25">
      <c r="DQ714" s="99"/>
      <c r="DR714" s="99"/>
      <c r="EW714"/>
      <c r="EX714"/>
      <c r="EY714"/>
    </row>
    <row r="715" spans="121:155" ht="15" customHeight="1" x14ac:dyDescent="0.25">
      <c r="DQ715" s="99"/>
      <c r="DR715" s="99"/>
      <c r="EW715"/>
      <c r="EX715"/>
      <c r="EY715"/>
    </row>
    <row r="716" spans="121:155" ht="15" customHeight="1" x14ac:dyDescent="0.25">
      <c r="DQ716" s="99"/>
      <c r="DR716" s="99"/>
      <c r="EW716"/>
      <c r="EX716"/>
      <c r="EY716"/>
    </row>
    <row r="717" spans="121:155" ht="15" customHeight="1" x14ac:dyDescent="0.25">
      <c r="DQ717" s="99"/>
      <c r="DR717" s="99"/>
      <c r="EW717"/>
      <c r="EX717"/>
      <c r="EY717"/>
    </row>
    <row r="718" spans="121:155" ht="15" customHeight="1" x14ac:dyDescent="0.25">
      <c r="DQ718" s="99"/>
      <c r="DR718" s="99"/>
      <c r="EW718"/>
      <c r="EX718"/>
      <c r="EY718"/>
    </row>
    <row r="719" spans="121:155" ht="15" customHeight="1" x14ac:dyDescent="0.25">
      <c r="DQ719" s="99"/>
      <c r="DR719" s="99"/>
      <c r="EW719"/>
      <c r="EX719"/>
      <c r="EY719"/>
    </row>
    <row r="720" spans="121:155" ht="15" customHeight="1" x14ac:dyDescent="0.25">
      <c r="DQ720" s="99"/>
      <c r="DR720" s="99"/>
      <c r="EW720"/>
      <c r="EX720"/>
      <c r="EY720"/>
    </row>
    <row r="721" spans="121:155" ht="15" customHeight="1" x14ac:dyDescent="0.25">
      <c r="DQ721" s="99"/>
      <c r="DR721" s="99"/>
      <c r="EW721"/>
      <c r="EX721"/>
      <c r="EY721"/>
    </row>
    <row r="722" spans="121:155" ht="15" customHeight="1" x14ac:dyDescent="0.25">
      <c r="DQ722" s="99"/>
      <c r="DR722" s="99"/>
      <c r="EW722"/>
      <c r="EX722"/>
      <c r="EY722"/>
    </row>
    <row r="723" spans="121:155" ht="15" customHeight="1" x14ac:dyDescent="0.25">
      <c r="DQ723" s="99"/>
      <c r="DR723" s="99"/>
      <c r="EW723"/>
      <c r="EX723"/>
      <c r="EY723"/>
    </row>
    <row r="724" spans="121:155" ht="15" customHeight="1" x14ac:dyDescent="0.25">
      <c r="DQ724" s="99"/>
      <c r="DR724" s="99"/>
      <c r="EW724"/>
      <c r="EX724"/>
      <c r="EY724"/>
    </row>
    <row r="725" spans="121:155" ht="15" customHeight="1" x14ac:dyDescent="0.25">
      <c r="DQ725" s="99"/>
      <c r="DR725" s="99"/>
      <c r="EW725"/>
      <c r="EX725"/>
      <c r="EY725"/>
    </row>
    <row r="726" spans="121:155" ht="15" customHeight="1" x14ac:dyDescent="0.25">
      <c r="DQ726" s="99"/>
      <c r="DR726" s="99"/>
      <c r="EW726"/>
      <c r="EX726"/>
      <c r="EY726"/>
    </row>
    <row r="727" spans="121:155" ht="15" customHeight="1" x14ac:dyDescent="0.25">
      <c r="DQ727" s="99"/>
      <c r="DR727" s="99"/>
      <c r="EW727"/>
      <c r="EX727"/>
      <c r="EY727"/>
    </row>
    <row r="728" spans="121:155" ht="15" customHeight="1" x14ac:dyDescent="0.25">
      <c r="DQ728" s="99"/>
      <c r="DR728" s="99"/>
      <c r="EW728"/>
      <c r="EX728"/>
      <c r="EY728"/>
    </row>
    <row r="729" spans="121:155" ht="15" customHeight="1" x14ac:dyDescent="0.25">
      <c r="DQ729" s="99"/>
      <c r="DR729" s="99"/>
      <c r="EW729"/>
      <c r="EX729"/>
      <c r="EY729"/>
    </row>
    <row r="730" spans="121:155" ht="15" customHeight="1" x14ac:dyDescent="0.25">
      <c r="DQ730" s="99"/>
      <c r="DR730" s="99"/>
      <c r="EW730"/>
      <c r="EX730"/>
      <c r="EY730"/>
    </row>
    <row r="731" spans="121:155" ht="15" customHeight="1" x14ac:dyDescent="0.25">
      <c r="DQ731" s="99"/>
      <c r="DR731" s="99"/>
      <c r="EW731"/>
      <c r="EX731"/>
      <c r="EY731"/>
    </row>
    <row r="732" spans="121:155" ht="15" customHeight="1" x14ac:dyDescent="0.25">
      <c r="DQ732" s="99"/>
      <c r="DR732" s="99"/>
      <c r="EW732"/>
      <c r="EX732"/>
      <c r="EY732"/>
    </row>
    <row r="733" spans="121:155" ht="15" customHeight="1" x14ac:dyDescent="0.25">
      <c r="DQ733" s="99"/>
      <c r="DR733" s="99"/>
      <c r="EW733"/>
      <c r="EX733"/>
      <c r="EY733"/>
    </row>
    <row r="734" spans="121:155" ht="15" customHeight="1" x14ac:dyDescent="0.25">
      <c r="DQ734" s="99"/>
      <c r="DR734" s="99"/>
      <c r="EW734"/>
      <c r="EX734"/>
      <c r="EY734"/>
    </row>
    <row r="735" spans="121:155" ht="15" customHeight="1" x14ac:dyDescent="0.25">
      <c r="DQ735" s="99"/>
      <c r="DR735" s="99"/>
      <c r="EW735"/>
      <c r="EX735"/>
      <c r="EY735"/>
    </row>
    <row r="736" spans="121:155" ht="15" customHeight="1" x14ac:dyDescent="0.25">
      <c r="DQ736" s="99"/>
      <c r="DR736" s="99"/>
      <c r="EW736"/>
      <c r="EX736"/>
      <c r="EY736"/>
    </row>
    <row r="737" spans="121:155" ht="15" customHeight="1" x14ac:dyDescent="0.25">
      <c r="DQ737" s="99"/>
      <c r="DR737" s="99"/>
      <c r="EW737"/>
      <c r="EX737"/>
      <c r="EY737"/>
    </row>
    <row r="738" spans="121:155" ht="15" customHeight="1" x14ac:dyDescent="0.25">
      <c r="DQ738" s="99"/>
      <c r="DR738" s="99"/>
      <c r="EW738"/>
      <c r="EX738"/>
      <c r="EY738"/>
    </row>
    <row r="739" spans="121:155" ht="15" customHeight="1" x14ac:dyDescent="0.25">
      <c r="DQ739" s="99"/>
      <c r="DR739" s="99"/>
      <c r="EW739"/>
      <c r="EX739"/>
      <c r="EY739"/>
    </row>
    <row r="740" spans="121:155" ht="15" customHeight="1" x14ac:dyDescent="0.25">
      <c r="DQ740" s="99"/>
      <c r="DR740" s="99"/>
      <c r="EW740"/>
      <c r="EX740"/>
      <c r="EY740"/>
    </row>
    <row r="741" spans="121:155" ht="15" customHeight="1" x14ac:dyDescent="0.25">
      <c r="DQ741" s="99"/>
      <c r="DR741" s="99"/>
      <c r="EW741"/>
      <c r="EX741"/>
      <c r="EY741"/>
    </row>
    <row r="742" spans="121:155" ht="15" customHeight="1" x14ac:dyDescent="0.25">
      <c r="DQ742" s="99"/>
      <c r="DR742" s="99"/>
      <c r="EW742"/>
      <c r="EX742"/>
      <c r="EY742"/>
    </row>
    <row r="743" spans="121:155" ht="15" customHeight="1" x14ac:dyDescent="0.25">
      <c r="DQ743" s="99"/>
      <c r="DR743" s="99"/>
      <c r="EW743"/>
      <c r="EX743"/>
      <c r="EY743"/>
    </row>
    <row r="744" spans="121:155" ht="15" customHeight="1" x14ac:dyDescent="0.25">
      <c r="DQ744" s="99"/>
      <c r="DR744" s="99"/>
      <c r="EW744"/>
      <c r="EX744"/>
      <c r="EY744"/>
    </row>
    <row r="745" spans="121:155" ht="15" customHeight="1" x14ac:dyDescent="0.25">
      <c r="DQ745" s="99"/>
      <c r="DR745" s="99"/>
      <c r="EW745"/>
      <c r="EX745"/>
      <c r="EY745"/>
    </row>
    <row r="746" spans="121:155" ht="15" customHeight="1" x14ac:dyDescent="0.25">
      <c r="DQ746" s="99"/>
      <c r="DR746" s="99"/>
      <c r="EW746"/>
      <c r="EX746"/>
      <c r="EY746"/>
    </row>
    <row r="747" spans="121:155" ht="15" customHeight="1" x14ac:dyDescent="0.25">
      <c r="DQ747" s="99"/>
      <c r="DR747" s="99"/>
      <c r="EW747"/>
      <c r="EX747"/>
      <c r="EY747"/>
    </row>
    <row r="748" spans="121:155" ht="15" customHeight="1" x14ac:dyDescent="0.25">
      <c r="DQ748" s="99"/>
      <c r="DR748" s="99"/>
      <c r="EW748"/>
      <c r="EX748"/>
      <c r="EY748"/>
    </row>
    <row r="749" spans="121:155" ht="15" customHeight="1" x14ac:dyDescent="0.25">
      <c r="DQ749" s="99"/>
      <c r="DR749" s="99"/>
      <c r="EW749"/>
      <c r="EX749"/>
      <c r="EY749"/>
    </row>
    <row r="750" spans="121:155" ht="15" customHeight="1" x14ac:dyDescent="0.25">
      <c r="DQ750" s="99"/>
      <c r="DR750" s="99"/>
      <c r="EW750"/>
      <c r="EX750"/>
      <c r="EY750"/>
    </row>
    <row r="751" spans="121:155" ht="15" customHeight="1" x14ac:dyDescent="0.25">
      <c r="DQ751" s="99"/>
      <c r="DR751" s="99"/>
      <c r="EW751"/>
      <c r="EX751"/>
      <c r="EY751"/>
    </row>
    <row r="752" spans="121:155" ht="15" customHeight="1" x14ac:dyDescent="0.25">
      <c r="DQ752" s="99"/>
      <c r="DR752" s="99"/>
      <c r="EW752"/>
      <c r="EX752"/>
      <c r="EY752"/>
    </row>
    <row r="753" spans="121:155" ht="15" customHeight="1" x14ac:dyDescent="0.25">
      <c r="DQ753" s="99"/>
      <c r="DR753" s="99"/>
      <c r="EW753"/>
      <c r="EX753"/>
      <c r="EY753"/>
    </row>
    <row r="754" spans="121:155" ht="15" customHeight="1" x14ac:dyDescent="0.25">
      <c r="DQ754" s="99"/>
      <c r="DR754" s="99"/>
      <c r="EW754"/>
      <c r="EX754"/>
      <c r="EY754"/>
    </row>
    <row r="755" spans="121:155" ht="15" customHeight="1" x14ac:dyDescent="0.25">
      <c r="DQ755" s="99"/>
      <c r="DR755" s="99"/>
      <c r="EW755"/>
      <c r="EX755"/>
      <c r="EY755"/>
    </row>
    <row r="756" spans="121:155" ht="15" customHeight="1" x14ac:dyDescent="0.25">
      <c r="DQ756" s="99"/>
      <c r="DR756" s="99"/>
      <c r="EW756"/>
      <c r="EX756"/>
      <c r="EY756"/>
    </row>
    <row r="757" spans="121:155" ht="15" customHeight="1" x14ac:dyDescent="0.25">
      <c r="DQ757" s="99"/>
      <c r="DR757" s="99"/>
      <c r="EW757"/>
      <c r="EX757"/>
      <c r="EY757"/>
    </row>
    <row r="758" spans="121:155" ht="15" customHeight="1" x14ac:dyDescent="0.25">
      <c r="DQ758" s="99"/>
      <c r="DR758" s="99"/>
      <c r="EW758"/>
      <c r="EX758"/>
      <c r="EY758"/>
    </row>
    <row r="759" spans="121:155" ht="15" customHeight="1" x14ac:dyDescent="0.25">
      <c r="DQ759" s="99"/>
      <c r="DR759" s="99"/>
      <c r="EW759"/>
      <c r="EX759"/>
      <c r="EY759"/>
    </row>
    <row r="760" spans="121:155" ht="15" customHeight="1" x14ac:dyDescent="0.25">
      <c r="DQ760" s="99"/>
      <c r="DR760" s="99"/>
      <c r="EW760"/>
      <c r="EX760"/>
      <c r="EY760"/>
    </row>
    <row r="761" spans="121:155" ht="15" customHeight="1" x14ac:dyDescent="0.25">
      <c r="DQ761" s="99"/>
      <c r="DR761" s="99"/>
      <c r="EW761"/>
      <c r="EX761"/>
      <c r="EY761"/>
    </row>
    <row r="762" spans="121:155" ht="15" customHeight="1" x14ac:dyDescent="0.25">
      <c r="DQ762" s="99"/>
      <c r="DR762" s="99"/>
      <c r="EW762"/>
      <c r="EX762"/>
      <c r="EY762"/>
    </row>
    <row r="763" spans="121:155" ht="15" customHeight="1" x14ac:dyDescent="0.25">
      <c r="DQ763" s="99"/>
      <c r="DR763" s="99"/>
      <c r="EW763"/>
      <c r="EX763"/>
      <c r="EY763"/>
    </row>
    <row r="764" spans="121:155" ht="15" customHeight="1" x14ac:dyDescent="0.25">
      <c r="DQ764" s="99"/>
      <c r="DR764" s="99"/>
      <c r="EW764"/>
      <c r="EX764"/>
      <c r="EY764"/>
    </row>
    <row r="765" spans="121:155" ht="15" customHeight="1" x14ac:dyDescent="0.25">
      <c r="DQ765" s="99"/>
      <c r="DR765" s="99"/>
      <c r="EW765"/>
      <c r="EX765"/>
      <c r="EY765"/>
    </row>
    <row r="766" spans="121:155" ht="15" customHeight="1" x14ac:dyDescent="0.25">
      <c r="DQ766" s="99"/>
      <c r="DR766" s="99"/>
      <c r="EW766"/>
      <c r="EX766"/>
      <c r="EY766"/>
    </row>
    <row r="767" spans="121:155" ht="15" customHeight="1" x14ac:dyDescent="0.25">
      <c r="DQ767" s="99"/>
      <c r="DR767" s="99"/>
      <c r="EW767"/>
      <c r="EX767"/>
      <c r="EY767"/>
    </row>
    <row r="768" spans="121:155" ht="15" customHeight="1" x14ac:dyDescent="0.25">
      <c r="DQ768" s="99"/>
      <c r="DR768" s="99"/>
      <c r="EW768"/>
      <c r="EX768"/>
      <c r="EY768"/>
    </row>
    <row r="769" spans="121:155" ht="15" customHeight="1" x14ac:dyDescent="0.25">
      <c r="DQ769" s="99"/>
      <c r="DR769" s="99"/>
      <c r="EW769"/>
      <c r="EX769"/>
      <c r="EY769"/>
    </row>
    <row r="770" spans="121:155" ht="15" customHeight="1" x14ac:dyDescent="0.25">
      <c r="DQ770" s="99"/>
      <c r="DR770" s="99"/>
      <c r="EW770"/>
      <c r="EX770"/>
      <c r="EY770"/>
    </row>
    <row r="771" spans="121:155" ht="15" customHeight="1" x14ac:dyDescent="0.25">
      <c r="DQ771" s="99"/>
      <c r="DR771" s="99"/>
      <c r="EW771"/>
      <c r="EX771"/>
      <c r="EY771"/>
    </row>
    <row r="772" spans="121:155" ht="15" customHeight="1" x14ac:dyDescent="0.25">
      <c r="DQ772" s="99"/>
      <c r="DR772" s="99"/>
      <c r="EW772"/>
      <c r="EX772"/>
      <c r="EY772"/>
    </row>
    <row r="773" spans="121:155" ht="15" customHeight="1" x14ac:dyDescent="0.25">
      <c r="DQ773" s="99"/>
      <c r="DR773" s="99"/>
      <c r="EW773"/>
      <c r="EX773"/>
      <c r="EY773"/>
    </row>
    <row r="774" spans="121:155" ht="15" customHeight="1" x14ac:dyDescent="0.25">
      <c r="DQ774" s="99"/>
      <c r="DR774" s="99"/>
      <c r="EW774"/>
      <c r="EX774"/>
      <c r="EY774"/>
    </row>
    <row r="775" spans="121:155" ht="15" customHeight="1" x14ac:dyDescent="0.25">
      <c r="DQ775" s="99"/>
      <c r="DR775" s="99"/>
      <c r="EW775"/>
      <c r="EX775"/>
      <c r="EY775"/>
    </row>
    <row r="776" spans="121:155" ht="15" customHeight="1" x14ac:dyDescent="0.25">
      <c r="DQ776" s="99"/>
      <c r="DR776" s="99"/>
      <c r="EW776"/>
      <c r="EX776"/>
      <c r="EY776"/>
    </row>
    <row r="777" spans="121:155" ht="15" customHeight="1" x14ac:dyDescent="0.25">
      <c r="DQ777" s="99"/>
      <c r="DR777" s="99"/>
      <c r="EW777"/>
      <c r="EX777"/>
      <c r="EY777"/>
    </row>
    <row r="778" spans="121:155" ht="15" customHeight="1" x14ac:dyDescent="0.25">
      <c r="DQ778" s="99"/>
      <c r="DR778" s="99"/>
      <c r="EW778"/>
      <c r="EX778"/>
      <c r="EY778"/>
    </row>
    <row r="779" spans="121:155" ht="15" customHeight="1" x14ac:dyDescent="0.25">
      <c r="DQ779" s="99"/>
      <c r="DR779" s="99"/>
      <c r="EW779"/>
      <c r="EX779"/>
      <c r="EY779"/>
    </row>
    <row r="780" spans="121:155" ht="15" customHeight="1" x14ac:dyDescent="0.25">
      <c r="DQ780" s="99"/>
      <c r="DR780" s="99"/>
      <c r="EW780"/>
      <c r="EX780"/>
      <c r="EY780"/>
    </row>
    <row r="781" spans="121:155" ht="15" customHeight="1" x14ac:dyDescent="0.25">
      <c r="DQ781" s="99"/>
      <c r="DR781" s="99"/>
      <c r="EW781"/>
      <c r="EX781"/>
      <c r="EY781"/>
    </row>
    <row r="782" spans="121:155" ht="15" customHeight="1" x14ac:dyDescent="0.25">
      <c r="DQ782" s="99"/>
      <c r="DR782" s="99"/>
      <c r="EW782"/>
      <c r="EX782"/>
      <c r="EY782"/>
    </row>
    <row r="783" spans="121:155" ht="15" customHeight="1" x14ac:dyDescent="0.25">
      <c r="DQ783" s="99"/>
      <c r="DR783" s="99"/>
      <c r="EW783"/>
      <c r="EX783"/>
      <c r="EY783"/>
    </row>
    <row r="784" spans="121:155" ht="15" customHeight="1" x14ac:dyDescent="0.25">
      <c r="DQ784" s="99"/>
      <c r="DR784" s="99"/>
      <c r="EW784"/>
      <c r="EX784"/>
      <c r="EY784"/>
    </row>
    <row r="785" spans="121:155" ht="15" customHeight="1" x14ac:dyDescent="0.25">
      <c r="DQ785" s="99"/>
      <c r="DR785" s="99"/>
      <c r="EW785"/>
      <c r="EX785"/>
      <c r="EY785"/>
    </row>
    <row r="786" spans="121:155" ht="15" customHeight="1" x14ac:dyDescent="0.25">
      <c r="DQ786" s="99"/>
      <c r="DR786" s="99"/>
      <c r="EW786"/>
      <c r="EX786"/>
      <c r="EY786"/>
    </row>
    <row r="787" spans="121:155" ht="15" customHeight="1" x14ac:dyDescent="0.25">
      <c r="DQ787" s="99"/>
      <c r="DR787" s="99"/>
      <c r="EW787"/>
      <c r="EX787"/>
      <c r="EY787"/>
    </row>
    <row r="788" spans="121:155" ht="15" customHeight="1" x14ac:dyDescent="0.25">
      <c r="DQ788" s="99"/>
      <c r="DR788" s="99"/>
      <c r="EW788"/>
      <c r="EX788"/>
      <c r="EY788"/>
    </row>
    <row r="789" spans="121:155" ht="15" customHeight="1" x14ac:dyDescent="0.25">
      <c r="DQ789" s="99"/>
      <c r="DR789" s="99"/>
      <c r="EW789"/>
      <c r="EX789"/>
      <c r="EY789"/>
    </row>
    <row r="790" spans="121:155" ht="15" customHeight="1" x14ac:dyDescent="0.25">
      <c r="DQ790" s="99"/>
      <c r="DR790" s="99"/>
      <c r="EW790"/>
      <c r="EX790"/>
      <c r="EY790"/>
    </row>
    <row r="791" spans="121:155" ht="15" customHeight="1" x14ac:dyDescent="0.25">
      <c r="DQ791" s="99"/>
      <c r="DR791" s="99"/>
      <c r="EW791"/>
      <c r="EX791"/>
      <c r="EY791"/>
    </row>
    <row r="792" spans="121:155" ht="15" customHeight="1" x14ac:dyDescent="0.25">
      <c r="DQ792" s="99"/>
      <c r="DR792" s="99"/>
      <c r="EW792"/>
      <c r="EX792"/>
      <c r="EY792"/>
    </row>
    <row r="793" spans="121:155" ht="15" customHeight="1" x14ac:dyDescent="0.25">
      <c r="DQ793" s="99"/>
      <c r="DR793" s="99"/>
      <c r="EW793"/>
      <c r="EX793"/>
      <c r="EY793"/>
    </row>
    <row r="794" spans="121:155" ht="15" customHeight="1" x14ac:dyDescent="0.25">
      <c r="DQ794" s="99"/>
      <c r="DR794" s="99"/>
      <c r="EW794"/>
      <c r="EX794"/>
      <c r="EY794"/>
    </row>
    <row r="795" spans="121:155" ht="15" customHeight="1" x14ac:dyDescent="0.25">
      <c r="DQ795" s="99"/>
      <c r="DR795" s="99"/>
      <c r="EW795"/>
      <c r="EX795"/>
      <c r="EY795"/>
    </row>
    <row r="796" spans="121:155" ht="15" customHeight="1" x14ac:dyDescent="0.25">
      <c r="DQ796" s="99"/>
      <c r="DR796" s="99"/>
      <c r="EW796"/>
      <c r="EX796"/>
      <c r="EY796"/>
    </row>
    <row r="797" spans="121:155" ht="15" customHeight="1" x14ac:dyDescent="0.25">
      <c r="DQ797" s="99"/>
      <c r="DR797" s="99"/>
      <c r="EW797"/>
      <c r="EX797"/>
      <c r="EY797"/>
    </row>
    <row r="798" spans="121:155" ht="15" customHeight="1" x14ac:dyDescent="0.25">
      <c r="DQ798" s="99"/>
      <c r="DR798" s="99"/>
      <c r="EW798"/>
      <c r="EX798"/>
      <c r="EY798"/>
    </row>
    <row r="799" spans="121:155" ht="15" customHeight="1" x14ac:dyDescent="0.25">
      <c r="DQ799" s="99"/>
      <c r="DR799" s="99"/>
      <c r="EW799"/>
      <c r="EX799"/>
      <c r="EY799"/>
    </row>
    <row r="800" spans="121:155" ht="15" customHeight="1" x14ac:dyDescent="0.25">
      <c r="DQ800" s="99"/>
      <c r="DR800" s="99"/>
      <c r="EW800"/>
      <c r="EX800"/>
      <c r="EY800"/>
    </row>
    <row r="801" spans="121:155" ht="15" customHeight="1" x14ac:dyDescent="0.25">
      <c r="DQ801" s="99"/>
      <c r="DR801" s="99"/>
      <c r="EW801"/>
      <c r="EX801"/>
      <c r="EY801"/>
    </row>
    <row r="802" spans="121:155" ht="15" customHeight="1" x14ac:dyDescent="0.25">
      <c r="DQ802" s="99"/>
      <c r="DR802" s="99"/>
      <c r="EW802"/>
      <c r="EX802"/>
      <c r="EY802"/>
    </row>
    <row r="803" spans="121:155" ht="15" customHeight="1" x14ac:dyDescent="0.25">
      <c r="DQ803" s="99"/>
      <c r="DR803" s="99"/>
      <c r="EW803"/>
      <c r="EX803"/>
      <c r="EY803"/>
    </row>
    <row r="804" spans="121:155" ht="15" customHeight="1" x14ac:dyDescent="0.25">
      <c r="DQ804" s="99"/>
      <c r="DR804" s="99"/>
      <c r="EW804"/>
      <c r="EX804"/>
      <c r="EY804"/>
    </row>
    <row r="805" spans="121:155" ht="15" customHeight="1" x14ac:dyDescent="0.25">
      <c r="DQ805" s="99"/>
      <c r="DR805" s="99"/>
      <c r="EW805"/>
      <c r="EX805"/>
      <c r="EY805"/>
    </row>
    <row r="806" spans="121:155" ht="15" customHeight="1" x14ac:dyDescent="0.25">
      <c r="DQ806" s="99"/>
      <c r="DR806" s="99"/>
      <c r="EW806"/>
      <c r="EX806"/>
      <c r="EY806"/>
    </row>
    <row r="807" spans="121:155" ht="15" customHeight="1" x14ac:dyDescent="0.25">
      <c r="DQ807" s="99"/>
      <c r="DR807" s="99"/>
      <c r="EW807"/>
      <c r="EX807"/>
      <c r="EY807"/>
    </row>
    <row r="808" spans="121:155" ht="15" customHeight="1" x14ac:dyDescent="0.25">
      <c r="DQ808" s="99"/>
      <c r="DR808" s="99"/>
      <c r="EW808"/>
      <c r="EX808"/>
      <c r="EY808"/>
    </row>
    <row r="809" spans="121:155" ht="15" customHeight="1" x14ac:dyDescent="0.25">
      <c r="DQ809" s="99"/>
      <c r="DR809" s="99"/>
      <c r="EW809"/>
      <c r="EX809"/>
      <c r="EY809"/>
    </row>
    <row r="810" spans="121:155" ht="15" customHeight="1" x14ac:dyDescent="0.25">
      <c r="DQ810" s="99"/>
      <c r="DR810" s="99"/>
      <c r="EW810"/>
      <c r="EX810"/>
      <c r="EY810"/>
    </row>
    <row r="811" spans="121:155" ht="15" customHeight="1" x14ac:dyDescent="0.25">
      <c r="DQ811" s="99"/>
      <c r="DR811" s="99"/>
      <c r="EW811"/>
      <c r="EX811"/>
      <c r="EY811"/>
    </row>
    <row r="812" spans="121:155" ht="15" customHeight="1" x14ac:dyDescent="0.25">
      <c r="DQ812" s="99"/>
      <c r="DR812" s="99"/>
      <c r="EW812"/>
      <c r="EX812"/>
      <c r="EY812"/>
    </row>
    <row r="813" spans="121:155" ht="15" customHeight="1" x14ac:dyDescent="0.25">
      <c r="DQ813" s="99"/>
      <c r="DR813" s="99"/>
      <c r="EW813"/>
      <c r="EX813"/>
      <c r="EY813"/>
    </row>
    <row r="814" spans="121:155" ht="15" customHeight="1" x14ac:dyDescent="0.25">
      <c r="DQ814" s="99"/>
      <c r="DR814" s="99"/>
      <c r="EW814"/>
      <c r="EX814"/>
      <c r="EY814"/>
    </row>
    <row r="815" spans="121:155" ht="15" customHeight="1" x14ac:dyDescent="0.25">
      <c r="DQ815" s="99"/>
      <c r="DR815" s="99"/>
      <c r="EW815"/>
      <c r="EX815"/>
      <c r="EY815"/>
    </row>
    <row r="816" spans="121:155" ht="15" customHeight="1" x14ac:dyDescent="0.25">
      <c r="DQ816" s="99"/>
      <c r="DR816" s="99"/>
      <c r="EW816"/>
      <c r="EX816"/>
      <c r="EY816"/>
    </row>
    <row r="817" spans="121:155" ht="15" customHeight="1" x14ac:dyDescent="0.25">
      <c r="DQ817" s="99"/>
      <c r="DR817" s="99"/>
      <c r="EW817"/>
      <c r="EX817"/>
      <c r="EY817"/>
    </row>
    <row r="818" spans="121:155" ht="15" customHeight="1" x14ac:dyDescent="0.25">
      <c r="DQ818" s="99"/>
      <c r="DR818" s="99"/>
      <c r="EW818"/>
      <c r="EX818"/>
      <c r="EY818"/>
    </row>
    <row r="819" spans="121:155" ht="15" customHeight="1" x14ac:dyDescent="0.25">
      <c r="DQ819" s="99"/>
      <c r="DR819" s="99"/>
      <c r="EW819"/>
      <c r="EX819"/>
      <c r="EY819"/>
    </row>
    <row r="820" spans="121:155" ht="15" customHeight="1" x14ac:dyDescent="0.25">
      <c r="DQ820" s="99"/>
      <c r="DR820" s="99"/>
      <c r="EW820"/>
      <c r="EX820"/>
      <c r="EY820"/>
    </row>
    <row r="821" spans="121:155" ht="15" customHeight="1" x14ac:dyDescent="0.25">
      <c r="DQ821" s="99"/>
      <c r="DR821" s="99"/>
      <c r="EW821"/>
      <c r="EX821"/>
      <c r="EY821"/>
    </row>
    <row r="822" spans="121:155" ht="15" customHeight="1" x14ac:dyDescent="0.25">
      <c r="DQ822" s="99"/>
      <c r="DR822" s="99"/>
      <c r="EW822"/>
      <c r="EX822"/>
      <c r="EY822"/>
    </row>
    <row r="823" spans="121:155" ht="15" customHeight="1" x14ac:dyDescent="0.25">
      <c r="DQ823" s="99"/>
      <c r="DR823" s="99"/>
      <c r="EW823"/>
      <c r="EX823"/>
      <c r="EY823"/>
    </row>
    <row r="824" spans="121:155" ht="15" customHeight="1" x14ac:dyDescent="0.25">
      <c r="DQ824" s="99"/>
      <c r="DR824" s="99"/>
      <c r="EW824"/>
      <c r="EX824"/>
      <c r="EY824"/>
    </row>
    <row r="825" spans="121:155" ht="15" customHeight="1" x14ac:dyDescent="0.25">
      <c r="DQ825" s="99"/>
      <c r="DR825" s="99"/>
      <c r="EW825"/>
      <c r="EX825"/>
      <c r="EY825"/>
    </row>
    <row r="826" spans="121:155" ht="15" customHeight="1" x14ac:dyDescent="0.25">
      <c r="DQ826" s="99"/>
      <c r="DR826" s="99"/>
      <c r="EW826"/>
      <c r="EX826"/>
      <c r="EY826"/>
    </row>
    <row r="827" spans="121:155" ht="15" customHeight="1" x14ac:dyDescent="0.25">
      <c r="DQ827" s="99"/>
      <c r="DR827" s="99"/>
      <c r="EW827"/>
      <c r="EX827"/>
      <c r="EY827"/>
    </row>
    <row r="828" spans="121:155" ht="15" customHeight="1" x14ac:dyDescent="0.25">
      <c r="DQ828" s="99"/>
      <c r="DR828" s="99"/>
      <c r="EW828"/>
      <c r="EX828"/>
      <c r="EY828"/>
    </row>
    <row r="829" spans="121:155" ht="15" customHeight="1" x14ac:dyDescent="0.25">
      <c r="DQ829" s="99"/>
      <c r="DR829" s="99"/>
      <c r="EW829"/>
      <c r="EX829"/>
      <c r="EY829"/>
    </row>
    <row r="830" spans="121:155" ht="15" customHeight="1" x14ac:dyDescent="0.25">
      <c r="DQ830" s="99"/>
      <c r="DR830" s="99"/>
      <c r="EW830"/>
      <c r="EX830"/>
      <c r="EY830"/>
    </row>
    <row r="831" spans="121:155" ht="15" customHeight="1" x14ac:dyDescent="0.25">
      <c r="DQ831" s="99"/>
      <c r="DR831" s="99"/>
      <c r="EW831"/>
      <c r="EX831"/>
      <c r="EY831"/>
    </row>
    <row r="832" spans="121:155" ht="15" customHeight="1" x14ac:dyDescent="0.25">
      <c r="DQ832" s="99"/>
      <c r="DR832" s="99"/>
      <c r="EW832"/>
      <c r="EX832"/>
      <c r="EY832"/>
    </row>
    <row r="833" spans="121:155" ht="15" customHeight="1" x14ac:dyDescent="0.25">
      <c r="DQ833" s="99"/>
      <c r="DR833" s="99"/>
      <c r="EW833"/>
      <c r="EX833"/>
      <c r="EY833"/>
    </row>
    <row r="834" spans="121:155" ht="15" customHeight="1" x14ac:dyDescent="0.25">
      <c r="DQ834" s="99"/>
      <c r="DR834" s="99"/>
      <c r="EW834"/>
      <c r="EX834"/>
      <c r="EY834"/>
    </row>
    <row r="835" spans="121:155" ht="15" customHeight="1" x14ac:dyDescent="0.25">
      <c r="DQ835" s="99"/>
      <c r="DR835" s="99"/>
      <c r="EW835"/>
      <c r="EX835"/>
      <c r="EY835"/>
    </row>
    <row r="836" spans="121:155" ht="15" customHeight="1" x14ac:dyDescent="0.25">
      <c r="DQ836" s="99"/>
      <c r="DR836" s="99"/>
      <c r="EW836"/>
      <c r="EX836"/>
      <c r="EY836"/>
    </row>
    <row r="837" spans="121:155" ht="15" customHeight="1" x14ac:dyDescent="0.25">
      <c r="DQ837" s="99"/>
      <c r="DR837" s="99"/>
      <c r="EW837"/>
      <c r="EX837"/>
      <c r="EY837"/>
    </row>
    <row r="838" spans="121:155" ht="15" customHeight="1" x14ac:dyDescent="0.25">
      <c r="DQ838" s="99"/>
      <c r="DR838" s="99"/>
      <c r="EW838"/>
      <c r="EX838"/>
      <c r="EY838"/>
    </row>
    <row r="839" spans="121:155" ht="15" customHeight="1" x14ac:dyDescent="0.25">
      <c r="DQ839" s="99"/>
      <c r="DR839" s="99"/>
      <c r="EW839"/>
      <c r="EX839"/>
      <c r="EY839"/>
    </row>
    <row r="840" spans="121:155" ht="15" customHeight="1" x14ac:dyDescent="0.25">
      <c r="DQ840" s="99"/>
      <c r="DR840" s="99"/>
      <c r="EW840"/>
      <c r="EX840"/>
      <c r="EY840"/>
    </row>
    <row r="841" spans="121:155" ht="15" customHeight="1" x14ac:dyDescent="0.25">
      <c r="DQ841" s="99"/>
      <c r="DR841" s="99"/>
      <c r="EW841"/>
      <c r="EX841"/>
      <c r="EY841"/>
    </row>
    <row r="842" spans="121:155" ht="15" customHeight="1" x14ac:dyDescent="0.25">
      <c r="DQ842" s="99"/>
      <c r="DR842" s="99"/>
      <c r="EW842"/>
      <c r="EX842"/>
      <c r="EY842"/>
    </row>
    <row r="843" spans="121:155" ht="15" customHeight="1" x14ac:dyDescent="0.25">
      <c r="DQ843" s="99"/>
      <c r="DR843" s="99"/>
      <c r="EW843"/>
      <c r="EX843"/>
      <c r="EY843"/>
    </row>
    <row r="844" spans="121:155" ht="15" customHeight="1" x14ac:dyDescent="0.25">
      <c r="DQ844" s="99"/>
      <c r="DR844" s="99"/>
      <c r="EW844"/>
      <c r="EX844"/>
      <c r="EY844"/>
    </row>
    <row r="845" spans="121:155" ht="15" customHeight="1" x14ac:dyDescent="0.25">
      <c r="DQ845" s="99"/>
      <c r="DR845" s="99"/>
      <c r="EW845"/>
      <c r="EX845"/>
      <c r="EY845"/>
    </row>
    <row r="846" spans="121:155" ht="15" customHeight="1" x14ac:dyDescent="0.25">
      <c r="DQ846" s="99"/>
      <c r="DR846" s="99"/>
      <c r="EW846"/>
      <c r="EX846"/>
      <c r="EY846"/>
    </row>
    <row r="847" spans="121:155" ht="15" customHeight="1" x14ac:dyDescent="0.25">
      <c r="DQ847" s="99"/>
      <c r="DR847" s="99"/>
      <c r="EW847"/>
      <c r="EX847"/>
      <c r="EY847"/>
    </row>
    <row r="848" spans="121:155" ht="15" customHeight="1" x14ac:dyDescent="0.25">
      <c r="DQ848" s="99"/>
      <c r="DR848" s="99"/>
      <c r="EW848"/>
      <c r="EX848"/>
      <c r="EY848"/>
    </row>
    <row r="849" spans="121:155" ht="15" customHeight="1" x14ac:dyDescent="0.25">
      <c r="DQ849" s="99"/>
      <c r="DR849" s="99"/>
      <c r="EW849"/>
      <c r="EX849"/>
      <c r="EY849"/>
    </row>
    <row r="850" spans="121:155" ht="15" customHeight="1" x14ac:dyDescent="0.25">
      <c r="DQ850" s="99"/>
      <c r="DR850" s="99"/>
      <c r="EW850"/>
      <c r="EX850"/>
      <c r="EY850"/>
    </row>
    <row r="851" spans="121:155" ht="15" customHeight="1" x14ac:dyDescent="0.25">
      <c r="DQ851" s="99"/>
      <c r="DR851" s="99"/>
      <c r="EW851"/>
      <c r="EX851"/>
      <c r="EY851"/>
    </row>
    <row r="852" spans="121:155" ht="15" customHeight="1" x14ac:dyDescent="0.25">
      <c r="DQ852" s="99"/>
      <c r="DR852" s="99"/>
      <c r="EW852"/>
      <c r="EX852"/>
      <c r="EY852"/>
    </row>
    <row r="853" spans="121:155" ht="15" customHeight="1" x14ac:dyDescent="0.25">
      <c r="DQ853" s="99"/>
      <c r="DR853" s="99"/>
      <c r="EW853"/>
      <c r="EX853"/>
      <c r="EY853"/>
    </row>
    <row r="854" spans="121:155" ht="15" customHeight="1" x14ac:dyDescent="0.25">
      <c r="DQ854" s="99"/>
      <c r="DR854" s="99"/>
      <c r="EW854"/>
      <c r="EX854"/>
      <c r="EY854"/>
    </row>
    <row r="855" spans="121:155" ht="15" customHeight="1" x14ac:dyDescent="0.25">
      <c r="DQ855" s="99"/>
      <c r="DR855" s="99"/>
      <c r="EW855"/>
      <c r="EX855"/>
      <c r="EY855"/>
    </row>
    <row r="856" spans="121:155" ht="15" customHeight="1" x14ac:dyDescent="0.25">
      <c r="DQ856" s="99"/>
      <c r="DR856" s="99"/>
      <c r="EW856"/>
      <c r="EX856"/>
      <c r="EY856"/>
    </row>
    <row r="857" spans="121:155" ht="15" customHeight="1" x14ac:dyDescent="0.25">
      <c r="DQ857" s="99"/>
      <c r="DR857" s="99"/>
      <c r="EW857"/>
      <c r="EX857"/>
      <c r="EY857"/>
    </row>
    <row r="858" spans="121:155" ht="15" customHeight="1" x14ac:dyDescent="0.25">
      <c r="DQ858" s="99"/>
      <c r="DR858" s="99"/>
      <c r="EW858"/>
      <c r="EX858"/>
      <c r="EY858"/>
    </row>
    <row r="859" spans="121:155" ht="15" customHeight="1" x14ac:dyDescent="0.25">
      <c r="DQ859" s="99"/>
      <c r="DR859" s="99"/>
      <c r="EW859"/>
      <c r="EX859"/>
      <c r="EY859"/>
    </row>
    <row r="860" spans="121:155" ht="15" customHeight="1" x14ac:dyDescent="0.25">
      <c r="DQ860" s="99"/>
      <c r="DR860" s="99"/>
      <c r="EW860"/>
      <c r="EX860"/>
      <c r="EY860"/>
    </row>
    <row r="861" spans="121:155" ht="15" customHeight="1" x14ac:dyDescent="0.25">
      <c r="DQ861" s="99"/>
      <c r="DR861" s="99"/>
      <c r="EW861"/>
      <c r="EX861"/>
      <c r="EY861"/>
    </row>
    <row r="862" spans="121:155" ht="15" customHeight="1" x14ac:dyDescent="0.25">
      <c r="DQ862" s="99"/>
      <c r="DR862" s="99"/>
      <c r="EW862"/>
      <c r="EX862"/>
      <c r="EY862"/>
    </row>
    <row r="863" spans="121:155" ht="15" customHeight="1" x14ac:dyDescent="0.25">
      <c r="DQ863" s="99"/>
      <c r="DR863" s="99"/>
      <c r="EW863"/>
      <c r="EX863"/>
      <c r="EY863"/>
    </row>
    <row r="864" spans="121:155" ht="15" customHeight="1" x14ac:dyDescent="0.25">
      <c r="DQ864" s="99"/>
      <c r="DR864" s="99"/>
      <c r="EW864"/>
      <c r="EX864"/>
      <c r="EY864"/>
    </row>
    <row r="865" spans="121:155" ht="15" customHeight="1" x14ac:dyDescent="0.25">
      <c r="DQ865" s="99"/>
      <c r="DR865" s="99"/>
      <c r="EW865"/>
      <c r="EX865"/>
      <c r="EY865"/>
    </row>
    <row r="866" spans="121:155" ht="15" customHeight="1" x14ac:dyDescent="0.25">
      <c r="DQ866" s="99"/>
      <c r="DR866" s="99"/>
      <c r="EW866"/>
      <c r="EX866"/>
      <c r="EY866"/>
    </row>
    <row r="867" spans="121:155" ht="15" customHeight="1" x14ac:dyDescent="0.25">
      <c r="DQ867" s="99"/>
      <c r="DR867" s="99"/>
      <c r="EW867"/>
      <c r="EX867"/>
      <c r="EY867"/>
    </row>
    <row r="868" spans="121:155" ht="15" customHeight="1" x14ac:dyDescent="0.25">
      <c r="DQ868" s="99"/>
      <c r="DR868" s="99"/>
      <c r="EW868"/>
      <c r="EX868"/>
      <c r="EY868"/>
    </row>
    <row r="869" spans="121:155" ht="15" customHeight="1" x14ac:dyDescent="0.25">
      <c r="DQ869" s="99"/>
      <c r="DR869" s="99"/>
      <c r="EW869"/>
      <c r="EX869"/>
      <c r="EY869"/>
    </row>
    <row r="870" spans="121:155" ht="15" customHeight="1" x14ac:dyDescent="0.25">
      <c r="DQ870" s="99"/>
      <c r="DR870" s="99"/>
      <c r="EW870"/>
      <c r="EX870"/>
      <c r="EY870"/>
    </row>
    <row r="871" spans="121:155" ht="15" customHeight="1" x14ac:dyDescent="0.25">
      <c r="DQ871" s="99"/>
      <c r="DR871" s="99"/>
      <c r="EW871"/>
      <c r="EX871"/>
      <c r="EY871"/>
    </row>
    <row r="872" spans="121:155" ht="15" customHeight="1" x14ac:dyDescent="0.25">
      <c r="DQ872" s="99"/>
      <c r="DR872" s="99"/>
      <c r="EW872"/>
      <c r="EX872"/>
      <c r="EY872"/>
    </row>
    <row r="873" spans="121:155" ht="15" customHeight="1" x14ac:dyDescent="0.25">
      <c r="DQ873" s="99"/>
      <c r="DR873" s="99"/>
      <c r="EW873"/>
      <c r="EX873"/>
      <c r="EY873"/>
    </row>
    <row r="874" spans="121:155" ht="15" customHeight="1" x14ac:dyDescent="0.25">
      <c r="DQ874" s="99"/>
      <c r="DR874" s="99"/>
      <c r="EW874"/>
      <c r="EX874"/>
      <c r="EY874"/>
    </row>
    <row r="875" spans="121:155" ht="15" customHeight="1" x14ac:dyDescent="0.25">
      <c r="DQ875" s="99"/>
      <c r="DR875" s="99"/>
      <c r="EW875"/>
      <c r="EX875"/>
      <c r="EY875"/>
    </row>
    <row r="876" spans="121:155" ht="15" customHeight="1" x14ac:dyDescent="0.25">
      <c r="DQ876" s="99"/>
      <c r="DR876" s="99"/>
      <c r="EW876"/>
      <c r="EX876"/>
      <c r="EY876"/>
    </row>
    <row r="877" spans="121:155" ht="15" customHeight="1" x14ac:dyDescent="0.25">
      <c r="DQ877" s="99"/>
      <c r="DR877" s="99"/>
      <c r="EW877"/>
      <c r="EX877"/>
      <c r="EY877"/>
    </row>
    <row r="878" spans="121:155" ht="15" customHeight="1" x14ac:dyDescent="0.25">
      <c r="DQ878" s="99"/>
      <c r="DR878" s="99"/>
      <c r="EW878"/>
      <c r="EX878"/>
      <c r="EY878"/>
    </row>
    <row r="879" spans="121:155" ht="15" customHeight="1" x14ac:dyDescent="0.25">
      <c r="DQ879" s="99"/>
      <c r="DR879" s="99"/>
      <c r="EW879"/>
      <c r="EX879"/>
      <c r="EY879"/>
    </row>
    <row r="880" spans="121:155" ht="15" customHeight="1" x14ac:dyDescent="0.25">
      <c r="DQ880" s="99"/>
      <c r="DR880" s="99"/>
      <c r="EW880"/>
      <c r="EX880"/>
      <c r="EY880"/>
    </row>
    <row r="881" spans="121:155" ht="15" customHeight="1" x14ac:dyDescent="0.25">
      <c r="DQ881" s="99"/>
      <c r="DR881" s="99"/>
      <c r="EW881"/>
      <c r="EX881"/>
      <c r="EY881"/>
    </row>
    <row r="882" spans="121:155" ht="15" customHeight="1" x14ac:dyDescent="0.25">
      <c r="DQ882" s="99"/>
      <c r="DR882" s="99"/>
      <c r="EW882"/>
      <c r="EX882"/>
      <c r="EY882"/>
    </row>
    <row r="883" spans="121:155" ht="15" customHeight="1" x14ac:dyDescent="0.25">
      <c r="DQ883" s="99"/>
      <c r="DR883" s="99"/>
      <c r="EW883"/>
      <c r="EX883"/>
      <c r="EY883"/>
    </row>
    <row r="884" spans="121:155" ht="15" customHeight="1" x14ac:dyDescent="0.25">
      <c r="DQ884" s="99"/>
      <c r="DR884" s="99"/>
      <c r="EW884"/>
      <c r="EX884"/>
      <c r="EY884"/>
    </row>
    <row r="885" spans="121:155" ht="15" customHeight="1" x14ac:dyDescent="0.25">
      <c r="DQ885" s="99"/>
      <c r="DR885" s="99"/>
      <c r="EW885"/>
      <c r="EX885"/>
      <c r="EY885"/>
    </row>
    <row r="886" spans="121:155" ht="15" customHeight="1" x14ac:dyDescent="0.25">
      <c r="DQ886" s="99"/>
      <c r="DR886" s="99"/>
      <c r="EW886"/>
      <c r="EX886"/>
      <c r="EY886"/>
    </row>
    <row r="887" spans="121:155" ht="15" customHeight="1" x14ac:dyDescent="0.25">
      <c r="DQ887" s="99"/>
      <c r="DR887" s="99"/>
      <c r="EW887"/>
      <c r="EX887"/>
      <c r="EY887"/>
    </row>
    <row r="888" spans="121:155" ht="15" customHeight="1" x14ac:dyDescent="0.25">
      <c r="DQ888" s="99"/>
      <c r="DR888" s="99"/>
      <c r="EW888"/>
      <c r="EX888"/>
      <c r="EY888"/>
    </row>
    <row r="889" spans="121:155" ht="15" customHeight="1" x14ac:dyDescent="0.25">
      <c r="DQ889" s="99"/>
      <c r="DR889" s="99"/>
      <c r="EW889"/>
      <c r="EX889"/>
      <c r="EY889"/>
    </row>
    <row r="890" spans="121:155" ht="15" customHeight="1" x14ac:dyDescent="0.25">
      <c r="DQ890" s="99"/>
      <c r="DR890" s="99"/>
      <c r="EW890"/>
      <c r="EX890"/>
      <c r="EY890"/>
    </row>
    <row r="891" spans="121:155" ht="15" customHeight="1" x14ac:dyDescent="0.25">
      <c r="DQ891" s="99"/>
      <c r="DR891" s="99"/>
      <c r="EW891"/>
      <c r="EX891"/>
      <c r="EY891"/>
    </row>
    <row r="892" spans="121:155" ht="15" customHeight="1" x14ac:dyDescent="0.25">
      <c r="DQ892" s="99"/>
      <c r="DR892" s="99"/>
      <c r="EW892"/>
      <c r="EX892"/>
      <c r="EY892"/>
    </row>
    <row r="893" spans="121:155" ht="15" customHeight="1" x14ac:dyDescent="0.25">
      <c r="DQ893" s="99"/>
      <c r="DR893" s="99"/>
      <c r="EW893"/>
      <c r="EX893"/>
      <c r="EY893"/>
    </row>
    <row r="894" spans="121:155" ht="15" customHeight="1" x14ac:dyDescent="0.25">
      <c r="DQ894" s="99"/>
      <c r="DR894" s="99"/>
      <c r="EW894"/>
      <c r="EX894"/>
      <c r="EY894"/>
    </row>
    <row r="895" spans="121:155" ht="15" customHeight="1" x14ac:dyDescent="0.25">
      <c r="DQ895" s="99"/>
      <c r="DR895" s="99"/>
      <c r="EW895"/>
      <c r="EX895"/>
      <c r="EY895"/>
    </row>
    <row r="896" spans="121:155" ht="15" customHeight="1" x14ac:dyDescent="0.25">
      <c r="DQ896" s="99"/>
      <c r="DR896" s="99"/>
      <c r="EW896"/>
      <c r="EX896"/>
      <c r="EY896"/>
    </row>
    <row r="897" spans="121:155" ht="15" customHeight="1" x14ac:dyDescent="0.25">
      <c r="DQ897" s="99"/>
      <c r="DR897" s="99"/>
      <c r="EW897"/>
      <c r="EX897"/>
      <c r="EY897"/>
    </row>
    <row r="898" spans="121:155" ht="15" customHeight="1" x14ac:dyDescent="0.25">
      <c r="DQ898" s="99"/>
      <c r="DR898" s="99"/>
      <c r="EW898"/>
      <c r="EX898"/>
      <c r="EY898"/>
    </row>
    <row r="899" spans="121:155" ht="15" customHeight="1" x14ac:dyDescent="0.25">
      <c r="DQ899" s="99"/>
      <c r="DR899" s="99"/>
      <c r="EW899"/>
      <c r="EX899"/>
      <c r="EY899"/>
    </row>
    <row r="900" spans="121:155" ht="15" customHeight="1" x14ac:dyDescent="0.25">
      <c r="DQ900" s="99"/>
      <c r="DR900" s="99"/>
      <c r="EW900"/>
      <c r="EX900"/>
      <c r="EY900"/>
    </row>
    <row r="901" spans="121:155" ht="15" customHeight="1" x14ac:dyDescent="0.25">
      <c r="DQ901" s="99"/>
      <c r="DR901" s="99"/>
      <c r="EW901"/>
      <c r="EX901"/>
      <c r="EY901"/>
    </row>
    <row r="902" spans="121:155" ht="15" customHeight="1" x14ac:dyDescent="0.25">
      <c r="DQ902" s="99"/>
      <c r="DR902" s="99"/>
      <c r="EW902"/>
      <c r="EX902"/>
      <c r="EY902"/>
    </row>
    <row r="903" spans="121:155" ht="15" customHeight="1" x14ac:dyDescent="0.25">
      <c r="DQ903" s="99"/>
      <c r="DR903" s="99"/>
      <c r="EW903"/>
      <c r="EX903"/>
      <c r="EY903"/>
    </row>
    <row r="904" spans="121:155" ht="15" customHeight="1" x14ac:dyDescent="0.25">
      <c r="DQ904" s="99"/>
      <c r="DR904" s="99"/>
      <c r="EW904"/>
      <c r="EX904"/>
      <c r="EY904"/>
    </row>
    <row r="905" spans="121:155" ht="15" customHeight="1" x14ac:dyDescent="0.25">
      <c r="DQ905" s="99"/>
      <c r="DR905" s="99"/>
      <c r="EW905"/>
      <c r="EX905"/>
      <c r="EY905"/>
    </row>
    <row r="906" spans="121:155" ht="15" customHeight="1" x14ac:dyDescent="0.25">
      <c r="DQ906" s="99"/>
      <c r="DR906" s="99"/>
      <c r="EW906"/>
      <c r="EX906"/>
      <c r="EY906"/>
    </row>
    <row r="907" spans="121:155" ht="15" customHeight="1" x14ac:dyDescent="0.25">
      <c r="DQ907" s="99"/>
      <c r="DR907" s="99"/>
      <c r="EW907"/>
      <c r="EX907"/>
      <c r="EY907"/>
    </row>
    <row r="908" spans="121:155" ht="15" customHeight="1" x14ac:dyDescent="0.25">
      <c r="DQ908" s="99"/>
      <c r="DR908" s="99"/>
      <c r="EW908"/>
      <c r="EX908"/>
      <c r="EY908"/>
    </row>
    <row r="909" spans="121:155" ht="15" customHeight="1" x14ac:dyDescent="0.25">
      <c r="DQ909" s="99"/>
      <c r="DR909" s="99"/>
      <c r="EW909"/>
      <c r="EX909"/>
      <c r="EY909"/>
    </row>
    <row r="910" spans="121:155" ht="15" customHeight="1" x14ac:dyDescent="0.25">
      <c r="DQ910" s="99"/>
      <c r="DR910" s="99"/>
      <c r="EW910"/>
      <c r="EX910"/>
      <c r="EY910"/>
    </row>
    <row r="911" spans="121:155" ht="15" customHeight="1" x14ac:dyDescent="0.25">
      <c r="DQ911" s="99"/>
      <c r="DR911" s="99"/>
      <c r="EW911"/>
      <c r="EX911"/>
      <c r="EY911"/>
    </row>
    <row r="912" spans="121:155" ht="15" customHeight="1" x14ac:dyDescent="0.25">
      <c r="DQ912" s="99"/>
      <c r="DR912" s="99"/>
      <c r="EW912"/>
      <c r="EX912"/>
      <c r="EY912"/>
    </row>
    <row r="913" spans="121:155" ht="15" customHeight="1" x14ac:dyDescent="0.25">
      <c r="DQ913" s="99"/>
      <c r="DR913" s="99"/>
      <c r="EW913"/>
      <c r="EX913"/>
      <c r="EY913"/>
    </row>
    <row r="914" spans="121:155" ht="15" customHeight="1" x14ac:dyDescent="0.25">
      <c r="DQ914" s="99"/>
      <c r="DR914" s="99"/>
      <c r="EW914"/>
      <c r="EX914"/>
      <c r="EY914"/>
    </row>
    <row r="915" spans="121:155" ht="15" customHeight="1" x14ac:dyDescent="0.25">
      <c r="DQ915" s="99"/>
      <c r="DR915" s="99"/>
      <c r="EW915"/>
      <c r="EX915"/>
      <c r="EY915"/>
    </row>
    <row r="916" spans="121:155" ht="15" customHeight="1" x14ac:dyDescent="0.25">
      <c r="DQ916" s="99"/>
      <c r="DR916" s="99"/>
      <c r="EW916"/>
      <c r="EX916"/>
      <c r="EY916"/>
    </row>
    <row r="917" spans="121:155" ht="15" customHeight="1" x14ac:dyDescent="0.25">
      <c r="DQ917" s="99"/>
      <c r="DR917" s="99"/>
      <c r="EW917"/>
      <c r="EX917"/>
      <c r="EY917"/>
    </row>
    <row r="918" spans="121:155" ht="15" customHeight="1" x14ac:dyDescent="0.25">
      <c r="DQ918" s="99"/>
      <c r="DR918" s="99"/>
      <c r="EW918"/>
      <c r="EX918"/>
      <c r="EY918"/>
    </row>
    <row r="919" spans="121:155" ht="15" customHeight="1" x14ac:dyDescent="0.25">
      <c r="DQ919" s="99"/>
      <c r="DR919" s="99"/>
      <c r="EW919"/>
      <c r="EX919"/>
      <c r="EY919"/>
    </row>
    <row r="920" spans="121:155" ht="15" customHeight="1" x14ac:dyDescent="0.25">
      <c r="DQ920" s="99"/>
      <c r="DR920" s="99"/>
      <c r="EW920"/>
      <c r="EX920"/>
      <c r="EY920"/>
    </row>
    <row r="921" spans="121:155" ht="15" customHeight="1" x14ac:dyDescent="0.25">
      <c r="DQ921" s="99"/>
      <c r="DR921" s="99"/>
      <c r="EW921"/>
      <c r="EX921"/>
      <c r="EY921"/>
    </row>
    <row r="922" spans="121:155" ht="15" customHeight="1" x14ac:dyDescent="0.25">
      <c r="DQ922" s="99"/>
      <c r="DR922" s="99"/>
      <c r="EW922"/>
      <c r="EX922"/>
      <c r="EY922"/>
    </row>
    <row r="923" spans="121:155" ht="15" customHeight="1" x14ac:dyDescent="0.25">
      <c r="DQ923" s="99"/>
      <c r="DR923" s="99"/>
      <c r="EW923"/>
      <c r="EX923"/>
      <c r="EY923"/>
    </row>
    <row r="924" spans="121:155" ht="15" customHeight="1" x14ac:dyDescent="0.25">
      <c r="DQ924" s="99"/>
      <c r="DR924" s="99"/>
      <c r="EW924"/>
      <c r="EX924"/>
      <c r="EY924"/>
    </row>
    <row r="925" spans="121:155" ht="15" customHeight="1" x14ac:dyDescent="0.25">
      <c r="DQ925" s="99"/>
      <c r="DR925" s="99"/>
      <c r="EW925"/>
      <c r="EX925"/>
      <c r="EY925"/>
    </row>
    <row r="926" spans="121:155" ht="15" customHeight="1" x14ac:dyDescent="0.25">
      <c r="DQ926" s="99"/>
      <c r="DR926" s="99"/>
      <c r="EW926"/>
      <c r="EX926"/>
      <c r="EY926"/>
    </row>
    <row r="927" spans="121:155" ht="15" customHeight="1" x14ac:dyDescent="0.25">
      <c r="DQ927" s="99"/>
      <c r="DR927" s="99"/>
      <c r="EW927"/>
      <c r="EX927"/>
      <c r="EY927"/>
    </row>
    <row r="928" spans="121:155" ht="15" customHeight="1" x14ac:dyDescent="0.25">
      <c r="DQ928" s="99"/>
      <c r="DR928" s="99"/>
      <c r="EW928"/>
      <c r="EX928"/>
      <c r="EY928"/>
    </row>
    <row r="929" spans="121:155" ht="15" customHeight="1" x14ac:dyDescent="0.25">
      <c r="DQ929" s="99"/>
      <c r="DR929" s="99"/>
      <c r="EW929"/>
      <c r="EX929"/>
      <c r="EY929"/>
    </row>
    <row r="930" spans="121:155" ht="15" customHeight="1" x14ac:dyDescent="0.25">
      <c r="DQ930" s="99"/>
      <c r="DR930" s="99"/>
      <c r="EW930"/>
      <c r="EX930"/>
      <c r="EY930"/>
    </row>
    <row r="931" spans="121:155" ht="15" customHeight="1" x14ac:dyDescent="0.25">
      <c r="DQ931" s="99"/>
      <c r="DR931" s="99"/>
      <c r="EW931"/>
      <c r="EX931"/>
      <c r="EY931"/>
    </row>
    <row r="932" spans="121:155" ht="15" customHeight="1" x14ac:dyDescent="0.25">
      <c r="DQ932" s="99"/>
      <c r="DR932" s="99"/>
      <c r="EW932"/>
      <c r="EX932"/>
      <c r="EY932"/>
    </row>
    <row r="933" spans="121:155" ht="15" customHeight="1" x14ac:dyDescent="0.25">
      <c r="DQ933" s="99"/>
      <c r="DR933" s="99"/>
      <c r="EW933"/>
      <c r="EX933"/>
      <c r="EY933"/>
    </row>
    <row r="934" spans="121:155" ht="15" customHeight="1" x14ac:dyDescent="0.25">
      <c r="DQ934" s="99"/>
      <c r="DR934" s="99"/>
      <c r="EW934"/>
      <c r="EX934"/>
      <c r="EY934"/>
    </row>
    <row r="935" spans="121:155" ht="15" customHeight="1" x14ac:dyDescent="0.25">
      <c r="DQ935" s="99"/>
      <c r="DR935" s="99"/>
      <c r="EW935"/>
      <c r="EX935"/>
      <c r="EY935"/>
    </row>
    <row r="936" spans="121:155" ht="15" customHeight="1" x14ac:dyDescent="0.25">
      <c r="DQ936" s="99"/>
      <c r="DR936" s="99"/>
      <c r="EW936"/>
      <c r="EX936"/>
      <c r="EY936"/>
    </row>
    <row r="937" spans="121:155" ht="15" customHeight="1" x14ac:dyDescent="0.25">
      <c r="DQ937" s="99"/>
      <c r="DR937" s="99"/>
      <c r="EW937"/>
      <c r="EX937"/>
      <c r="EY937"/>
    </row>
    <row r="938" spans="121:155" ht="15" customHeight="1" x14ac:dyDescent="0.25">
      <c r="DQ938" s="99"/>
      <c r="DR938" s="99"/>
      <c r="EW938"/>
      <c r="EX938"/>
      <c r="EY938"/>
    </row>
    <row r="939" spans="121:155" ht="15" customHeight="1" x14ac:dyDescent="0.25">
      <c r="DQ939" s="99"/>
      <c r="DR939" s="99"/>
      <c r="EW939"/>
      <c r="EX939"/>
      <c r="EY939"/>
    </row>
    <row r="940" spans="121:155" ht="15" customHeight="1" x14ac:dyDescent="0.25">
      <c r="DQ940" s="99"/>
      <c r="DR940" s="99"/>
      <c r="EW940"/>
      <c r="EX940"/>
      <c r="EY940"/>
    </row>
    <row r="941" spans="121:155" ht="15" customHeight="1" x14ac:dyDescent="0.25">
      <c r="DQ941" s="99"/>
      <c r="DR941" s="99"/>
      <c r="EW941"/>
      <c r="EX941"/>
      <c r="EY941"/>
    </row>
    <row r="942" spans="121:155" ht="15" customHeight="1" x14ac:dyDescent="0.25">
      <c r="DQ942" s="99"/>
      <c r="DR942" s="99"/>
      <c r="EW942"/>
      <c r="EX942"/>
      <c r="EY942"/>
    </row>
    <row r="943" spans="121:155" ht="15" customHeight="1" x14ac:dyDescent="0.25">
      <c r="DQ943" s="99"/>
      <c r="DR943" s="99"/>
      <c r="EW943"/>
      <c r="EX943"/>
      <c r="EY943"/>
    </row>
    <row r="944" spans="121:155" ht="15" customHeight="1" x14ac:dyDescent="0.25">
      <c r="DQ944" s="99"/>
      <c r="DR944" s="99"/>
      <c r="EW944"/>
      <c r="EX944"/>
      <c r="EY944"/>
    </row>
    <row r="945" spans="121:155" ht="15" customHeight="1" x14ac:dyDescent="0.25">
      <c r="DQ945" s="99"/>
      <c r="DR945" s="99"/>
      <c r="EW945"/>
      <c r="EX945"/>
      <c r="EY945"/>
    </row>
    <row r="946" spans="121:155" ht="15" customHeight="1" x14ac:dyDescent="0.25">
      <c r="DQ946" s="99"/>
      <c r="DR946" s="99"/>
      <c r="EW946"/>
      <c r="EX946"/>
      <c r="EY946"/>
    </row>
    <row r="947" spans="121:155" ht="15" customHeight="1" x14ac:dyDescent="0.25">
      <c r="DQ947" s="99"/>
      <c r="DR947" s="99"/>
      <c r="EW947"/>
      <c r="EX947"/>
      <c r="EY947"/>
    </row>
    <row r="948" spans="121:155" ht="15" customHeight="1" x14ac:dyDescent="0.25">
      <c r="DQ948" s="99"/>
      <c r="DR948" s="99"/>
      <c r="EW948"/>
      <c r="EX948"/>
      <c r="EY948"/>
    </row>
    <row r="949" spans="121:155" ht="15" customHeight="1" x14ac:dyDescent="0.25">
      <c r="DQ949" s="99"/>
      <c r="DR949" s="99"/>
      <c r="EW949"/>
      <c r="EX949"/>
      <c r="EY949"/>
    </row>
    <row r="950" spans="121:155" ht="15" customHeight="1" x14ac:dyDescent="0.25">
      <c r="DQ950" s="99"/>
      <c r="DR950" s="99"/>
      <c r="EW950"/>
      <c r="EX950"/>
      <c r="EY950"/>
    </row>
    <row r="951" spans="121:155" ht="15" customHeight="1" x14ac:dyDescent="0.25">
      <c r="DQ951" s="99"/>
      <c r="DR951" s="99"/>
      <c r="EW951"/>
      <c r="EX951"/>
      <c r="EY951"/>
    </row>
    <row r="952" spans="121:155" ht="15" customHeight="1" x14ac:dyDescent="0.25">
      <c r="DQ952" s="99"/>
      <c r="DR952" s="99"/>
      <c r="EW952"/>
      <c r="EX952"/>
      <c r="EY952"/>
    </row>
    <row r="953" spans="121:155" ht="15" customHeight="1" x14ac:dyDescent="0.25">
      <c r="DQ953" s="99"/>
      <c r="DR953" s="99"/>
      <c r="EW953"/>
      <c r="EX953"/>
      <c r="EY953"/>
    </row>
    <row r="954" spans="121:155" ht="15" customHeight="1" x14ac:dyDescent="0.25">
      <c r="DQ954" s="99"/>
      <c r="DR954" s="99"/>
      <c r="EW954"/>
      <c r="EX954"/>
      <c r="EY954"/>
    </row>
    <row r="955" spans="121:155" ht="15" customHeight="1" x14ac:dyDescent="0.25">
      <c r="DQ955" s="99"/>
      <c r="DR955" s="99"/>
      <c r="EW955"/>
      <c r="EX955"/>
      <c r="EY955"/>
    </row>
    <row r="956" spans="121:155" ht="15" customHeight="1" x14ac:dyDescent="0.25">
      <c r="DQ956" s="99"/>
      <c r="DR956" s="99"/>
      <c r="EW956"/>
      <c r="EX956"/>
      <c r="EY956"/>
    </row>
    <row r="957" spans="121:155" ht="15" customHeight="1" x14ac:dyDescent="0.25">
      <c r="DQ957" s="99"/>
      <c r="DR957" s="99"/>
      <c r="EW957"/>
      <c r="EX957"/>
      <c r="EY957"/>
    </row>
    <row r="958" spans="121:155" ht="15" customHeight="1" x14ac:dyDescent="0.25">
      <c r="DQ958" s="99"/>
      <c r="DR958" s="99"/>
      <c r="EW958"/>
      <c r="EX958"/>
      <c r="EY958"/>
    </row>
    <row r="959" spans="121:155" ht="15" customHeight="1" x14ac:dyDescent="0.25">
      <c r="DQ959" s="99"/>
      <c r="DR959" s="99"/>
      <c r="EW959"/>
      <c r="EX959"/>
      <c r="EY959"/>
    </row>
    <row r="960" spans="121:155" ht="15" customHeight="1" x14ac:dyDescent="0.25">
      <c r="DQ960" s="99"/>
      <c r="DR960" s="99"/>
      <c r="EW960"/>
      <c r="EX960"/>
      <c r="EY960"/>
    </row>
    <row r="961" spans="121:155" ht="15" customHeight="1" x14ac:dyDescent="0.25">
      <c r="DQ961" s="99"/>
      <c r="DR961" s="99"/>
      <c r="EW961"/>
      <c r="EX961"/>
      <c r="EY961"/>
    </row>
    <row r="962" spans="121:155" ht="15" customHeight="1" x14ac:dyDescent="0.25">
      <c r="DQ962" s="99"/>
      <c r="DR962" s="99"/>
      <c r="EW962"/>
      <c r="EX962"/>
      <c r="EY962"/>
    </row>
    <row r="963" spans="121:155" ht="15" customHeight="1" x14ac:dyDescent="0.25">
      <c r="DQ963" s="99"/>
      <c r="DR963" s="99"/>
      <c r="EW963"/>
      <c r="EX963"/>
      <c r="EY963"/>
    </row>
    <row r="964" spans="121:155" ht="15" customHeight="1" x14ac:dyDescent="0.25">
      <c r="DQ964" s="99"/>
      <c r="DR964" s="99"/>
      <c r="EW964"/>
      <c r="EX964"/>
      <c r="EY964"/>
    </row>
    <row r="965" spans="121:155" ht="15" customHeight="1" x14ac:dyDescent="0.25">
      <c r="DQ965" s="99"/>
      <c r="DR965" s="99"/>
      <c r="EW965"/>
      <c r="EX965"/>
      <c r="EY965"/>
    </row>
    <row r="966" spans="121:155" ht="15" customHeight="1" x14ac:dyDescent="0.25">
      <c r="DQ966" s="99"/>
      <c r="DR966" s="99"/>
      <c r="EW966"/>
      <c r="EX966"/>
      <c r="EY966"/>
    </row>
    <row r="967" spans="121:155" ht="15" customHeight="1" x14ac:dyDescent="0.25">
      <c r="DQ967" s="99"/>
      <c r="DR967" s="99"/>
      <c r="EW967"/>
      <c r="EX967"/>
      <c r="EY967"/>
    </row>
    <row r="968" spans="121:155" ht="15" customHeight="1" x14ac:dyDescent="0.25">
      <c r="DQ968" s="99"/>
      <c r="DR968" s="99"/>
      <c r="EW968"/>
      <c r="EX968"/>
      <c r="EY968"/>
    </row>
    <row r="969" spans="121:155" ht="15" customHeight="1" x14ac:dyDescent="0.25">
      <c r="DQ969" s="99"/>
      <c r="DR969" s="99"/>
      <c r="EW969"/>
      <c r="EX969"/>
      <c r="EY969"/>
    </row>
    <row r="970" spans="121:155" ht="15" customHeight="1" x14ac:dyDescent="0.25">
      <c r="DQ970" s="99"/>
      <c r="DR970" s="99"/>
      <c r="EW970"/>
      <c r="EX970"/>
      <c r="EY970"/>
    </row>
    <row r="971" spans="121:155" ht="15" customHeight="1" x14ac:dyDescent="0.25">
      <c r="DQ971" s="99"/>
      <c r="DR971" s="99"/>
      <c r="EW971"/>
      <c r="EX971"/>
      <c r="EY971"/>
    </row>
    <row r="972" spans="121:155" ht="15" customHeight="1" x14ac:dyDescent="0.25">
      <c r="DQ972" s="99"/>
      <c r="DR972" s="99"/>
      <c r="EW972"/>
      <c r="EX972"/>
      <c r="EY972"/>
    </row>
    <row r="973" spans="121:155" ht="15" customHeight="1" x14ac:dyDescent="0.25">
      <c r="DQ973" s="99"/>
      <c r="DR973" s="99"/>
      <c r="EW973"/>
      <c r="EX973"/>
      <c r="EY973"/>
    </row>
    <row r="974" spans="121:155" ht="15" customHeight="1" x14ac:dyDescent="0.25">
      <c r="DQ974" s="99"/>
      <c r="DR974" s="99"/>
      <c r="EW974"/>
      <c r="EX974"/>
      <c r="EY974"/>
    </row>
    <row r="975" spans="121:155" ht="15" customHeight="1" x14ac:dyDescent="0.25">
      <c r="DQ975" s="99"/>
      <c r="DR975" s="99"/>
      <c r="EW975"/>
      <c r="EX975"/>
      <c r="EY975"/>
    </row>
    <row r="976" spans="121:155" ht="15" customHeight="1" x14ac:dyDescent="0.25">
      <c r="DQ976" s="99"/>
      <c r="DR976" s="99"/>
      <c r="EW976"/>
      <c r="EX976"/>
      <c r="EY976"/>
    </row>
    <row r="977" spans="121:155" ht="15" customHeight="1" x14ac:dyDescent="0.25">
      <c r="DQ977" s="99"/>
      <c r="DR977" s="99"/>
      <c r="EW977"/>
      <c r="EX977"/>
      <c r="EY977"/>
    </row>
    <row r="978" spans="121:155" ht="15" customHeight="1" x14ac:dyDescent="0.25">
      <c r="DQ978" s="99"/>
      <c r="DR978" s="99"/>
      <c r="EW978"/>
      <c r="EX978"/>
      <c r="EY978"/>
    </row>
    <row r="979" spans="121:155" ht="15" customHeight="1" x14ac:dyDescent="0.25">
      <c r="DQ979" s="99"/>
      <c r="DR979" s="99"/>
      <c r="EW979"/>
      <c r="EX979"/>
      <c r="EY979"/>
    </row>
    <row r="980" spans="121:155" ht="15" customHeight="1" x14ac:dyDescent="0.25">
      <c r="DQ980" s="99"/>
      <c r="DR980" s="99"/>
      <c r="EW980"/>
      <c r="EX980"/>
      <c r="EY980"/>
    </row>
    <row r="981" spans="121:155" ht="15" customHeight="1" x14ac:dyDescent="0.25">
      <c r="DQ981" s="99"/>
      <c r="DR981" s="99"/>
      <c r="EW981"/>
      <c r="EX981"/>
      <c r="EY981"/>
    </row>
    <row r="982" spans="121:155" ht="15" customHeight="1" x14ac:dyDescent="0.25">
      <c r="DQ982" s="99"/>
      <c r="DR982" s="99"/>
      <c r="EW982"/>
      <c r="EX982"/>
      <c r="EY982"/>
    </row>
    <row r="983" spans="121:155" ht="15" customHeight="1" x14ac:dyDescent="0.25">
      <c r="DQ983" s="99"/>
      <c r="DR983" s="99"/>
      <c r="EW983"/>
      <c r="EX983"/>
      <c r="EY983"/>
    </row>
    <row r="984" spans="121:155" ht="15" customHeight="1" x14ac:dyDescent="0.25">
      <c r="DQ984" s="99"/>
      <c r="DR984" s="99"/>
      <c r="EW984"/>
      <c r="EX984"/>
      <c r="EY984"/>
    </row>
    <row r="985" spans="121:155" ht="15" customHeight="1" x14ac:dyDescent="0.25">
      <c r="DQ985" s="99"/>
      <c r="DR985" s="99"/>
      <c r="EW985"/>
      <c r="EX985"/>
      <c r="EY985"/>
    </row>
    <row r="986" spans="121:155" ht="15" customHeight="1" x14ac:dyDescent="0.25">
      <c r="DQ986" s="99"/>
      <c r="DR986" s="99"/>
      <c r="EW986"/>
      <c r="EX986"/>
      <c r="EY986"/>
    </row>
    <row r="987" spans="121:155" ht="15" customHeight="1" x14ac:dyDescent="0.25">
      <c r="DQ987" s="99"/>
      <c r="DR987" s="99"/>
      <c r="EW987"/>
      <c r="EX987"/>
      <c r="EY987"/>
    </row>
    <row r="988" spans="121:155" ht="15" customHeight="1" x14ac:dyDescent="0.25">
      <c r="DQ988" s="99"/>
      <c r="DR988" s="99"/>
      <c r="EW988"/>
      <c r="EX988"/>
      <c r="EY988"/>
    </row>
    <row r="989" spans="121:155" ht="15" customHeight="1" x14ac:dyDescent="0.25">
      <c r="DQ989" s="99"/>
      <c r="DR989" s="99"/>
      <c r="EW989"/>
      <c r="EX989"/>
      <c r="EY989"/>
    </row>
    <row r="990" spans="121:155" ht="15" customHeight="1" x14ac:dyDescent="0.25">
      <c r="DQ990" s="99"/>
      <c r="DR990" s="99"/>
      <c r="EW990"/>
      <c r="EX990"/>
      <c r="EY990"/>
    </row>
    <row r="991" spans="121:155" ht="15" customHeight="1" x14ac:dyDescent="0.25">
      <c r="DQ991" s="99"/>
      <c r="DR991" s="99"/>
      <c r="EW991"/>
      <c r="EX991"/>
      <c r="EY991"/>
    </row>
    <row r="992" spans="121:155" ht="15" customHeight="1" x14ac:dyDescent="0.25">
      <c r="DQ992" s="99"/>
      <c r="DR992" s="99"/>
      <c r="EW992"/>
      <c r="EX992"/>
      <c r="EY992"/>
    </row>
    <row r="993" spans="121:155" ht="15" customHeight="1" x14ac:dyDescent="0.25">
      <c r="DQ993" s="99"/>
      <c r="DR993" s="99"/>
      <c r="EW993"/>
      <c r="EX993"/>
      <c r="EY993"/>
    </row>
    <row r="994" spans="121:155" ht="15" customHeight="1" x14ac:dyDescent="0.25">
      <c r="DQ994" s="99"/>
      <c r="DR994" s="99"/>
      <c r="EW994"/>
      <c r="EX994"/>
      <c r="EY994"/>
    </row>
    <row r="995" spans="121:155" ht="15" customHeight="1" x14ac:dyDescent="0.25">
      <c r="DQ995" s="99"/>
      <c r="DR995" s="99"/>
      <c r="EW995"/>
      <c r="EX995"/>
      <c r="EY995"/>
    </row>
    <row r="996" spans="121:155" ht="15" customHeight="1" x14ac:dyDescent="0.25">
      <c r="DQ996" s="99"/>
      <c r="DR996" s="99"/>
      <c r="EW996"/>
      <c r="EX996"/>
      <c r="EY996"/>
    </row>
    <row r="997" spans="121:155" ht="15" customHeight="1" x14ac:dyDescent="0.25">
      <c r="DQ997" s="99"/>
      <c r="DR997" s="99"/>
      <c r="EW997"/>
      <c r="EX997"/>
      <c r="EY997"/>
    </row>
    <row r="998" spans="121:155" ht="15" customHeight="1" x14ac:dyDescent="0.25">
      <c r="DQ998" s="99"/>
      <c r="DR998" s="99"/>
      <c r="EW998"/>
      <c r="EX998"/>
      <c r="EY998"/>
    </row>
    <row r="999" spans="121:155" ht="15" customHeight="1" x14ac:dyDescent="0.25">
      <c r="DQ999" s="99"/>
      <c r="DR999" s="99"/>
      <c r="EW999"/>
      <c r="EX999"/>
      <c r="EY999"/>
    </row>
    <row r="1000" spans="121:155" ht="15" customHeight="1" x14ac:dyDescent="0.25">
      <c r="DQ1000" s="99"/>
      <c r="DR1000" s="99"/>
      <c r="EW1000"/>
      <c r="EX1000"/>
      <c r="EY1000"/>
    </row>
    <row r="1001" spans="121:155" ht="15" customHeight="1" x14ac:dyDescent="0.25">
      <c r="DQ1001" s="99"/>
      <c r="DR1001" s="99"/>
      <c r="EW1001"/>
      <c r="EX1001"/>
      <c r="EY1001"/>
    </row>
    <row r="1002" spans="121:155" ht="15" customHeight="1" x14ac:dyDescent="0.25">
      <c r="DQ1002" s="99"/>
      <c r="DR1002" s="99"/>
      <c r="EW1002"/>
      <c r="EX1002"/>
      <c r="EY1002"/>
    </row>
    <row r="1003" spans="121:155" ht="15" customHeight="1" x14ac:dyDescent="0.25">
      <c r="DQ1003" s="99"/>
      <c r="DR1003" s="99"/>
      <c r="EW1003"/>
      <c r="EX1003"/>
      <c r="EY1003"/>
    </row>
    <row r="1004" spans="121:155" ht="15" customHeight="1" x14ac:dyDescent="0.25">
      <c r="DQ1004" s="99"/>
      <c r="DR1004" s="99"/>
      <c r="EW1004"/>
      <c r="EX1004"/>
      <c r="EY1004"/>
    </row>
    <row r="1005" spans="121:155" ht="15" customHeight="1" x14ac:dyDescent="0.25">
      <c r="DQ1005" s="99"/>
      <c r="DR1005" s="99"/>
      <c r="EW1005"/>
      <c r="EX1005"/>
      <c r="EY1005"/>
    </row>
    <row r="1006" spans="121:155" ht="15" customHeight="1" x14ac:dyDescent="0.25">
      <c r="DQ1006" s="99"/>
      <c r="DR1006" s="99"/>
      <c r="EW1006"/>
      <c r="EX1006"/>
      <c r="EY1006"/>
    </row>
    <row r="1007" spans="121:155" ht="15" customHeight="1" x14ac:dyDescent="0.25">
      <c r="DQ1007" s="99"/>
      <c r="DR1007" s="99"/>
      <c r="EW1007"/>
      <c r="EX1007"/>
      <c r="EY1007"/>
    </row>
    <row r="1008" spans="121:155" ht="15" customHeight="1" x14ac:dyDescent="0.25">
      <c r="DQ1008" s="99"/>
      <c r="DR1008" s="99"/>
      <c r="EW1008"/>
      <c r="EX1008"/>
      <c r="EY1008"/>
    </row>
    <row r="1009" spans="121:155" ht="15" customHeight="1" x14ac:dyDescent="0.25">
      <c r="DQ1009" s="99"/>
      <c r="DR1009" s="99"/>
      <c r="EW1009"/>
      <c r="EX1009"/>
      <c r="EY1009"/>
    </row>
    <row r="1010" spans="121:155" ht="15" customHeight="1" x14ac:dyDescent="0.25">
      <c r="DQ1010" s="99"/>
      <c r="DR1010" s="99"/>
      <c r="EW1010"/>
      <c r="EX1010"/>
      <c r="EY1010"/>
    </row>
    <row r="1011" spans="121:155" ht="15" customHeight="1" x14ac:dyDescent="0.25">
      <c r="DQ1011" s="99"/>
      <c r="DR1011" s="99"/>
      <c r="EW1011"/>
      <c r="EX1011"/>
      <c r="EY1011"/>
    </row>
    <row r="1012" spans="121:155" ht="15" customHeight="1" x14ac:dyDescent="0.25">
      <c r="DQ1012" s="99"/>
      <c r="DR1012" s="99"/>
      <c r="EW1012"/>
      <c r="EX1012"/>
      <c r="EY1012"/>
    </row>
    <row r="1013" spans="121:155" ht="15" customHeight="1" x14ac:dyDescent="0.25">
      <c r="DQ1013" s="99"/>
      <c r="DR1013" s="99"/>
      <c r="EW1013"/>
      <c r="EX1013"/>
      <c r="EY1013"/>
    </row>
    <row r="1014" spans="121:155" ht="15" customHeight="1" x14ac:dyDescent="0.25">
      <c r="DQ1014" s="99"/>
      <c r="DR1014" s="99"/>
      <c r="EW1014"/>
      <c r="EX1014"/>
      <c r="EY1014"/>
    </row>
    <row r="1015" spans="121:155" ht="15" customHeight="1" x14ac:dyDescent="0.25">
      <c r="DQ1015" s="99"/>
      <c r="DR1015" s="99"/>
      <c r="EW1015"/>
      <c r="EX1015"/>
      <c r="EY1015"/>
    </row>
    <row r="1016" spans="121:155" ht="15" customHeight="1" x14ac:dyDescent="0.25">
      <c r="DQ1016" s="99"/>
      <c r="DR1016" s="99"/>
      <c r="EW1016"/>
      <c r="EX1016"/>
      <c r="EY1016"/>
    </row>
    <row r="1017" spans="121:155" ht="15" customHeight="1" x14ac:dyDescent="0.25">
      <c r="DQ1017" s="99"/>
      <c r="DR1017" s="99"/>
      <c r="EW1017"/>
      <c r="EX1017"/>
      <c r="EY1017"/>
    </row>
    <row r="1018" spans="121:155" ht="15" customHeight="1" x14ac:dyDescent="0.25">
      <c r="DQ1018" s="99"/>
      <c r="DR1018" s="99"/>
      <c r="EW1018"/>
      <c r="EX1018"/>
      <c r="EY1018"/>
    </row>
    <row r="1019" spans="121:155" ht="15" customHeight="1" x14ac:dyDescent="0.25">
      <c r="DQ1019" s="99"/>
      <c r="DR1019" s="99"/>
      <c r="EW1019"/>
      <c r="EX1019"/>
      <c r="EY1019"/>
    </row>
    <row r="1020" spans="121:155" ht="15" customHeight="1" x14ac:dyDescent="0.25">
      <c r="DQ1020" s="99"/>
      <c r="DR1020" s="99"/>
      <c r="EW1020"/>
      <c r="EX1020"/>
      <c r="EY1020"/>
    </row>
    <row r="1021" spans="121:155" ht="15" customHeight="1" x14ac:dyDescent="0.25">
      <c r="DQ1021" s="99"/>
      <c r="DR1021" s="99"/>
      <c r="EW1021"/>
      <c r="EX1021"/>
      <c r="EY1021"/>
    </row>
    <row r="1022" spans="121:155" ht="15" customHeight="1" x14ac:dyDescent="0.25">
      <c r="DQ1022" s="99"/>
      <c r="DR1022" s="99"/>
      <c r="EW1022"/>
      <c r="EX1022"/>
      <c r="EY1022"/>
    </row>
    <row r="1023" spans="121:155" ht="15" customHeight="1" x14ac:dyDescent="0.25">
      <c r="DQ1023" s="99"/>
      <c r="DR1023" s="99"/>
      <c r="EW1023"/>
      <c r="EX1023"/>
      <c r="EY1023"/>
    </row>
    <row r="1024" spans="121:155" ht="15" customHeight="1" x14ac:dyDescent="0.25">
      <c r="DQ1024" s="99"/>
      <c r="DR1024" s="99"/>
      <c r="EW1024"/>
      <c r="EX1024"/>
      <c r="EY1024"/>
    </row>
    <row r="1025" spans="121:155" ht="15" customHeight="1" x14ac:dyDescent="0.25">
      <c r="DQ1025" s="99"/>
      <c r="DR1025" s="99"/>
      <c r="EW1025"/>
      <c r="EX1025"/>
      <c r="EY1025"/>
    </row>
    <row r="1026" spans="121:155" ht="15" customHeight="1" x14ac:dyDescent="0.25">
      <c r="DQ1026" s="99"/>
      <c r="DR1026" s="99"/>
      <c r="EW1026"/>
      <c r="EX1026"/>
      <c r="EY1026"/>
    </row>
    <row r="1027" spans="121:155" ht="15" customHeight="1" x14ac:dyDescent="0.25">
      <c r="DQ1027" s="99"/>
      <c r="DR1027" s="99"/>
      <c r="EW1027"/>
      <c r="EX1027"/>
      <c r="EY1027"/>
    </row>
    <row r="1028" spans="121:155" ht="15" customHeight="1" x14ac:dyDescent="0.25">
      <c r="DQ1028" s="99"/>
      <c r="DR1028" s="99"/>
      <c r="EW1028"/>
      <c r="EX1028"/>
      <c r="EY1028"/>
    </row>
    <row r="1029" spans="121:155" ht="15" customHeight="1" x14ac:dyDescent="0.25">
      <c r="DQ1029" s="99"/>
      <c r="DR1029" s="99"/>
      <c r="EW1029"/>
      <c r="EX1029"/>
      <c r="EY1029"/>
    </row>
    <row r="1030" spans="121:155" ht="15" customHeight="1" x14ac:dyDescent="0.25">
      <c r="DQ1030" s="99"/>
      <c r="DR1030" s="99"/>
      <c r="EW1030"/>
      <c r="EX1030"/>
      <c r="EY1030"/>
    </row>
    <row r="1031" spans="121:155" ht="15" customHeight="1" x14ac:dyDescent="0.25">
      <c r="DQ1031" s="99"/>
      <c r="DR1031" s="99"/>
      <c r="EW1031"/>
      <c r="EX1031"/>
      <c r="EY1031"/>
    </row>
    <row r="1032" spans="121:155" ht="15" customHeight="1" x14ac:dyDescent="0.25">
      <c r="DQ1032" s="99"/>
      <c r="DR1032" s="99"/>
      <c r="EW1032"/>
      <c r="EX1032"/>
      <c r="EY1032"/>
    </row>
    <row r="1033" spans="121:155" ht="15" customHeight="1" x14ac:dyDescent="0.25">
      <c r="DQ1033" s="99"/>
      <c r="DR1033" s="99"/>
      <c r="EW1033"/>
      <c r="EX1033"/>
      <c r="EY1033"/>
    </row>
    <row r="1034" spans="121:155" ht="15" customHeight="1" x14ac:dyDescent="0.25">
      <c r="DQ1034" s="99"/>
      <c r="DR1034" s="99"/>
      <c r="EW1034"/>
      <c r="EX1034"/>
      <c r="EY1034"/>
    </row>
    <row r="1035" spans="121:155" ht="15" customHeight="1" x14ac:dyDescent="0.25">
      <c r="DQ1035" s="99"/>
      <c r="DR1035" s="99"/>
      <c r="EW1035"/>
      <c r="EX1035"/>
      <c r="EY1035"/>
    </row>
    <row r="1036" spans="121:155" ht="15" customHeight="1" x14ac:dyDescent="0.25">
      <c r="DQ1036" s="99"/>
      <c r="DR1036" s="99"/>
      <c r="EW1036"/>
      <c r="EX1036"/>
      <c r="EY1036"/>
    </row>
    <row r="1037" spans="121:155" ht="15" customHeight="1" x14ac:dyDescent="0.25">
      <c r="DQ1037" s="99"/>
      <c r="DR1037" s="99"/>
      <c r="EW1037"/>
      <c r="EX1037"/>
      <c r="EY1037"/>
    </row>
    <row r="1038" spans="121:155" ht="15" customHeight="1" x14ac:dyDescent="0.25">
      <c r="DQ1038" s="99"/>
      <c r="DR1038" s="99"/>
      <c r="EW1038"/>
      <c r="EX1038"/>
      <c r="EY1038"/>
    </row>
    <row r="1039" spans="121:155" ht="15" customHeight="1" x14ac:dyDescent="0.25">
      <c r="DQ1039" s="99"/>
      <c r="DR1039" s="99"/>
      <c r="EW1039"/>
      <c r="EX1039"/>
      <c r="EY1039"/>
    </row>
    <row r="1040" spans="121:155" ht="15" customHeight="1" x14ac:dyDescent="0.25">
      <c r="DQ1040" s="99"/>
      <c r="DR1040" s="99"/>
      <c r="EW1040"/>
      <c r="EX1040"/>
      <c r="EY1040"/>
    </row>
    <row r="1041" spans="121:155" ht="15" customHeight="1" x14ac:dyDescent="0.25">
      <c r="DQ1041" s="99"/>
      <c r="DR1041" s="99"/>
      <c r="EW1041"/>
      <c r="EX1041"/>
      <c r="EY1041"/>
    </row>
    <row r="1042" spans="121:155" ht="15" customHeight="1" x14ac:dyDescent="0.25">
      <c r="DQ1042" s="99"/>
      <c r="DR1042" s="99"/>
      <c r="EW1042"/>
      <c r="EX1042"/>
      <c r="EY1042"/>
    </row>
    <row r="1043" spans="121:155" ht="15" customHeight="1" x14ac:dyDescent="0.25">
      <c r="DQ1043" s="99"/>
      <c r="DR1043" s="99"/>
      <c r="EW1043"/>
      <c r="EX1043"/>
      <c r="EY1043"/>
    </row>
    <row r="1044" spans="121:155" ht="15" customHeight="1" x14ac:dyDescent="0.25">
      <c r="DQ1044" s="99"/>
      <c r="DR1044" s="99"/>
      <c r="EW1044"/>
      <c r="EX1044"/>
      <c r="EY1044"/>
    </row>
    <row r="1045" spans="121:155" ht="15" customHeight="1" x14ac:dyDescent="0.25">
      <c r="DQ1045" s="99"/>
      <c r="DR1045" s="99"/>
      <c r="EW1045"/>
      <c r="EX1045"/>
      <c r="EY1045"/>
    </row>
    <row r="1046" spans="121:155" ht="15" customHeight="1" x14ac:dyDescent="0.25">
      <c r="DQ1046" s="99"/>
      <c r="DR1046" s="99"/>
      <c r="EW1046"/>
      <c r="EX1046"/>
      <c r="EY1046"/>
    </row>
    <row r="1047" spans="121:155" ht="15" customHeight="1" x14ac:dyDescent="0.25">
      <c r="DQ1047" s="99"/>
      <c r="DR1047" s="99"/>
      <c r="EW1047"/>
      <c r="EX1047"/>
      <c r="EY1047"/>
    </row>
    <row r="1048" spans="121:155" ht="15" customHeight="1" x14ac:dyDescent="0.25">
      <c r="DQ1048" s="99"/>
      <c r="DR1048" s="99"/>
      <c r="EW1048"/>
      <c r="EX1048"/>
      <c r="EY1048"/>
    </row>
    <row r="1049" spans="121:155" ht="15" customHeight="1" x14ac:dyDescent="0.25">
      <c r="DQ1049" s="99"/>
      <c r="DR1049" s="99"/>
      <c r="EW1049"/>
      <c r="EX1049"/>
      <c r="EY1049"/>
    </row>
    <row r="1050" spans="121:155" ht="15" customHeight="1" x14ac:dyDescent="0.25">
      <c r="DQ1050" s="99"/>
      <c r="DR1050" s="99"/>
      <c r="EW1050"/>
      <c r="EX1050"/>
      <c r="EY1050"/>
    </row>
    <row r="1051" spans="121:155" ht="15" customHeight="1" x14ac:dyDescent="0.25">
      <c r="DQ1051" s="99"/>
      <c r="DR1051" s="99"/>
      <c r="EW1051"/>
      <c r="EX1051"/>
      <c r="EY1051"/>
    </row>
    <row r="1052" spans="121:155" ht="15" customHeight="1" x14ac:dyDescent="0.25">
      <c r="DQ1052" s="99"/>
      <c r="DR1052" s="99"/>
      <c r="EW1052"/>
      <c r="EX1052"/>
      <c r="EY1052"/>
    </row>
    <row r="1053" spans="121:155" ht="15" customHeight="1" x14ac:dyDescent="0.25">
      <c r="DQ1053" s="99"/>
      <c r="DR1053" s="99"/>
      <c r="EW1053"/>
      <c r="EX1053"/>
      <c r="EY1053"/>
    </row>
    <row r="1054" spans="121:155" ht="15" customHeight="1" x14ac:dyDescent="0.25">
      <c r="DQ1054" s="99"/>
      <c r="DR1054" s="99"/>
      <c r="EW1054"/>
      <c r="EX1054"/>
      <c r="EY1054"/>
    </row>
    <row r="1055" spans="121:155" ht="15" customHeight="1" x14ac:dyDescent="0.25">
      <c r="DQ1055" s="99"/>
      <c r="DR1055" s="99"/>
      <c r="EW1055"/>
      <c r="EX1055"/>
      <c r="EY1055"/>
    </row>
    <row r="1056" spans="121:155" ht="15" customHeight="1" x14ac:dyDescent="0.25">
      <c r="DQ1056" s="99"/>
      <c r="DR1056" s="99"/>
      <c r="EW1056"/>
      <c r="EX1056"/>
      <c r="EY1056"/>
    </row>
    <row r="1057" spans="121:155" ht="15" customHeight="1" x14ac:dyDescent="0.25">
      <c r="DQ1057" s="99"/>
      <c r="DR1057" s="99"/>
      <c r="EW1057"/>
      <c r="EX1057"/>
      <c r="EY1057"/>
    </row>
    <row r="1058" spans="121:155" ht="15" customHeight="1" x14ac:dyDescent="0.25">
      <c r="DQ1058" s="99"/>
      <c r="DR1058" s="99"/>
      <c r="EW1058"/>
      <c r="EX1058"/>
      <c r="EY1058"/>
    </row>
    <row r="1059" spans="121:155" ht="15" customHeight="1" x14ac:dyDescent="0.25">
      <c r="DQ1059" s="99"/>
      <c r="DR1059" s="99"/>
      <c r="EW1059"/>
      <c r="EX1059"/>
      <c r="EY1059"/>
    </row>
    <row r="1060" spans="121:155" ht="15" customHeight="1" x14ac:dyDescent="0.25">
      <c r="DQ1060" s="99"/>
      <c r="DR1060" s="99"/>
      <c r="EW1060"/>
      <c r="EX1060"/>
      <c r="EY1060"/>
    </row>
    <row r="1061" spans="121:155" ht="15" customHeight="1" x14ac:dyDescent="0.25">
      <c r="DQ1061" s="99"/>
      <c r="DR1061" s="99"/>
      <c r="EW1061"/>
      <c r="EX1061"/>
      <c r="EY1061"/>
    </row>
    <row r="1062" spans="121:155" ht="15" customHeight="1" x14ac:dyDescent="0.25">
      <c r="DQ1062" s="99"/>
      <c r="DR1062" s="99"/>
      <c r="EW1062"/>
      <c r="EX1062"/>
      <c r="EY1062"/>
    </row>
    <row r="1063" spans="121:155" ht="15" customHeight="1" x14ac:dyDescent="0.25">
      <c r="DQ1063" s="99"/>
      <c r="DR1063" s="99"/>
      <c r="EW1063"/>
      <c r="EX1063"/>
      <c r="EY1063"/>
    </row>
    <row r="1064" spans="121:155" ht="15" customHeight="1" x14ac:dyDescent="0.25">
      <c r="DQ1064" s="99"/>
      <c r="DR1064" s="99"/>
      <c r="EW1064"/>
      <c r="EX1064"/>
      <c r="EY1064"/>
    </row>
    <row r="1065" spans="121:155" ht="15" customHeight="1" x14ac:dyDescent="0.25">
      <c r="DQ1065" s="99"/>
      <c r="DR1065" s="99"/>
      <c r="EW1065"/>
      <c r="EX1065"/>
      <c r="EY1065"/>
    </row>
    <row r="1066" spans="121:155" ht="15" customHeight="1" x14ac:dyDescent="0.25">
      <c r="DQ1066" s="99"/>
      <c r="DR1066" s="99"/>
      <c r="EW1066"/>
      <c r="EX1066"/>
      <c r="EY1066"/>
    </row>
    <row r="1067" spans="121:155" ht="15" customHeight="1" x14ac:dyDescent="0.25">
      <c r="DQ1067" s="99"/>
      <c r="DR1067" s="99"/>
      <c r="EW1067"/>
      <c r="EX1067"/>
      <c r="EY1067"/>
    </row>
    <row r="1068" spans="121:155" ht="15" customHeight="1" x14ac:dyDescent="0.25">
      <c r="DQ1068" s="99"/>
      <c r="DR1068" s="99"/>
      <c r="EW1068"/>
      <c r="EX1068"/>
      <c r="EY1068"/>
    </row>
    <row r="1069" spans="121:155" ht="15" customHeight="1" x14ac:dyDescent="0.25">
      <c r="DQ1069" s="99"/>
      <c r="DR1069" s="99"/>
      <c r="EW1069"/>
      <c r="EX1069"/>
      <c r="EY1069"/>
    </row>
    <row r="1070" spans="121:155" ht="15" customHeight="1" x14ac:dyDescent="0.25">
      <c r="DQ1070" s="99"/>
      <c r="DR1070" s="99"/>
      <c r="EW1070"/>
      <c r="EX1070"/>
      <c r="EY1070"/>
    </row>
    <row r="1071" spans="121:155" ht="15" customHeight="1" x14ac:dyDescent="0.25">
      <c r="DQ1071" s="99"/>
      <c r="DR1071" s="99"/>
      <c r="EW1071"/>
      <c r="EX1071"/>
      <c r="EY1071"/>
    </row>
    <row r="1072" spans="121:155" ht="15" customHeight="1" x14ac:dyDescent="0.25">
      <c r="DQ1072" s="99"/>
      <c r="DR1072" s="99"/>
      <c r="EW1072"/>
      <c r="EX1072"/>
      <c r="EY1072"/>
    </row>
    <row r="1073" spans="121:155" ht="15" customHeight="1" x14ac:dyDescent="0.25">
      <c r="DQ1073" s="99"/>
      <c r="DR1073" s="99"/>
      <c r="EW1073"/>
      <c r="EX1073"/>
      <c r="EY1073"/>
    </row>
    <row r="1074" spans="121:155" ht="15" customHeight="1" x14ac:dyDescent="0.25">
      <c r="DQ1074" s="99"/>
      <c r="DR1074" s="99"/>
      <c r="EW1074"/>
      <c r="EX1074"/>
      <c r="EY1074"/>
    </row>
    <row r="1075" spans="121:155" ht="15" customHeight="1" x14ac:dyDescent="0.25">
      <c r="DQ1075" s="99"/>
      <c r="DR1075" s="99"/>
      <c r="EW1075"/>
      <c r="EX1075"/>
      <c r="EY1075"/>
    </row>
    <row r="1076" spans="121:155" ht="15" customHeight="1" x14ac:dyDescent="0.25">
      <c r="DQ1076" s="99"/>
      <c r="DR1076" s="99"/>
      <c r="EW1076"/>
      <c r="EX1076"/>
      <c r="EY1076"/>
    </row>
    <row r="1077" spans="121:155" ht="15" customHeight="1" x14ac:dyDescent="0.25">
      <c r="DQ1077" s="99"/>
      <c r="DR1077" s="99"/>
      <c r="EW1077"/>
      <c r="EX1077"/>
      <c r="EY1077"/>
    </row>
    <row r="1078" spans="121:155" ht="15" customHeight="1" x14ac:dyDescent="0.25">
      <c r="DQ1078" s="99"/>
      <c r="DR1078" s="99"/>
      <c r="EW1078"/>
      <c r="EX1078"/>
      <c r="EY1078"/>
    </row>
    <row r="1079" spans="121:155" ht="15" customHeight="1" x14ac:dyDescent="0.25">
      <c r="DQ1079" s="99"/>
      <c r="DR1079" s="99"/>
      <c r="EW1079"/>
      <c r="EX1079"/>
      <c r="EY1079"/>
    </row>
    <row r="1080" spans="121:155" ht="15" customHeight="1" x14ac:dyDescent="0.25">
      <c r="DQ1080" s="99"/>
      <c r="DR1080" s="99"/>
      <c r="EW1080"/>
      <c r="EX1080"/>
      <c r="EY1080"/>
    </row>
    <row r="1081" spans="121:155" ht="15" customHeight="1" x14ac:dyDescent="0.25">
      <c r="DQ1081" s="99"/>
      <c r="DR1081" s="99"/>
      <c r="EW1081"/>
      <c r="EX1081"/>
      <c r="EY1081"/>
    </row>
    <row r="1082" spans="121:155" ht="15" customHeight="1" x14ac:dyDescent="0.25">
      <c r="DQ1082" s="99"/>
      <c r="DR1082" s="99"/>
      <c r="EW1082"/>
      <c r="EX1082"/>
      <c r="EY1082"/>
    </row>
    <row r="1083" spans="121:155" ht="15" customHeight="1" x14ac:dyDescent="0.25">
      <c r="DQ1083" s="99"/>
      <c r="DR1083" s="99"/>
      <c r="EW1083"/>
      <c r="EX1083"/>
      <c r="EY1083"/>
    </row>
    <row r="1084" spans="121:155" ht="15" customHeight="1" x14ac:dyDescent="0.25">
      <c r="DQ1084" s="99"/>
      <c r="DR1084" s="99"/>
      <c r="EW1084"/>
      <c r="EX1084"/>
      <c r="EY1084"/>
    </row>
    <row r="1085" spans="121:155" ht="15" customHeight="1" x14ac:dyDescent="0.25">
      <c r="DQ1085" s="99"/>
      <c r="DR1085" s="99"/>
      <c r="EW1085"/>
      <c r="EX1085"/>
      <c r="EY1085"/>
    </row>
    <row r="1086" spans="121:155" ht="15" customHeight="1" x14ac:dyDescent="0.25">
      <c r="DQ1086" s="99"/>
      <c r="DR1086" s="99"/>
      <c r="EW1086"/>
      <c r="EX1086"/>
      <c r="EY1086"/>
    </row>
    <row r="1087" spans="121:155" ht="15" customHeight="1" x14ac:dyDescent="0.25">
      <c r="DQ1087" s="99"/>
      <c r="DR1087" s="99"/>
      <c r="EW1087"/>
      <c r="EX1087"/>
      <c r="EY1087"/>
    </row>
    <row r="1088" spans="121:155" ht="15" customHeight="1" x14ac:dyDescent="0.25">
      <c r="DQ1088" s="99"/>
      <c r="DR1088" s="99"/>
      <c r="EW1088"/>
      <c r="EX1088"/>
      <c r="EY1088"/>
    </row>
    <row r="1089" spans="121:155" ht="15" customHeight="1" x14ac:dyDescent="0.25">
      <c r="DQ1089" s="99"/>
      <c r="DR1089" s="99"/>
      <c r="EW1089"/>
      <c r="EX1089"/>
      <c r="EY1089"/>
    </row>
    <row r="1090" spans="121:155" ht="15" customHeight="1" x14ac:dyDescent="0.25">
      <c r="DQ1090" s="99"/>
      <c r="DR1090" s="99"/>
      <c r="EW1090"/>
      <c r="EX1090"/>
      <c r="EY1090"/>
    </row>
    <row r="1091" spans="121:155" ht="15" customHeight="1" x14ac:dyDescent="0.25">
      <c r="DQ1091" s="99"/>
      <c r="DR1091" s="99"/>
      <c r="EW1091"/>
      <c r="EX1091"/>
      <c r="EY1091"/>
    </row>
    <row r="1092" spans="121:155" ht="15" customHeight="1" x14ac:dyDescent="0.25">
      <c r="DQ1092" s="99"/>
      <c r="DR1092" s="99"/>
      <c r="EW1092"/>
      <c r="EX1092"/>
      <c r="EY1092"/>
    </row>
    <row r="1093" spans="121:155" ht="15" customHeight="1" x14ac:dyDescent="0.25">
      <c r="DQ1093" s="99"/>
      <c r="DR1093" s="99"/>
      <c r="EW1093"/>
      <c r="EX1093"/>
      <c r="EY1093"/>
    </row>
    <row r="1094" spans="121:155" ht="15" customHeight="1" x14ac:dyDescent="0.25">
      <c r="DQ1094" s="99"/>
      <c r="DR1094" s="99"/>
      <c r="EW1094"/>
      <c r="EX1094"/>
      <c r="EY1094"/>
    </row>
    <row r="1095" spans="121:155" ht="15" customHeight="1" x14ac:dyDescent="0.25">
      <c r="DQ1095" s="99"/>
      <c r="DR1095" s="99"/>
      <c r="EW1095"/>
      <c r="EX1095"/>
      <c r="EY1095"/>
    </row>
    <row r="1096" spans="121:155" ht="15" customHeight="1" x14ac:dyDescent="0.25">
      <c r="DQ1096" s="99"/>
      <c r="DR1096" s="99"/>
      <c r="EW1096"/>
      <c r="EX1096"/>
      <c r="EY1096"/>
    </row>
    <row r="1097" spans="121:155" ht="15" customHeight="1" x14ac:dyDescent="0.25">
      <c r="DQ1097" s="99"/>
      <c r="DR1097" s="99"/>
      <c r="EW1097"/>
      <c r="EX1097"/>
      <c r="EY1097"/>
    </row>
    <row r="1098" spans="121:155" ht="15" customHeight="1" x14ac:dyDescent="0.25">
      <c r="DQ1098" s="99"/>
      <c r="DR1098" s="99"/>
      <c r="EW1098"/>
      <c r="EX1098"/>
      <c r="EY1098"/>
    </row>
    <row r="1099" spans="121:155" ht="15" customHeight="1" x14ac:dyDescent="0.25">
      <c r="DQ1099" s="99"/>
      <c r="DR1099" s="99"/>
      <c r="EW1099"/>
      <c r="EX1099"/>
      <c r="EY1099"/>
    </row>
    <row r="1100" spans="121:155" ht="15" customHeight="1" x14ac:dyDescent="0.25">
      <c r="DQ1100" s="99"/>
      <c r="DR1100" s="99"/>
      <c r="EW1100"/>
      <c r="EX1100"/>
      <c r="EY1100"/>
    </row>
    <row r="1101" spans="121:155" ht="15" customHeight="1" x14ac:dyDescent="0.25">
      <c r="DQ1101" s="99"/>
      <c r="DR1101" s="99"/>
      <c r="EW1101"/>
      <c r="EX1101"/>
      <c r="EY1101"/>
    </row>
    <row r="1102" spans="121:155" ht="15" customHeight="1" x14ac:dyDescent="0.25">
      <c r="DQ1102" s="99"/>
      <c r="DR1102" s="99"/>
      <c r="EW1102"/>
      <c r="EX1102"/>
      <c r="EY1102"/>
    </row>
    <row r="1103" spans="121:155" ht="15" customHeight="1" x14ac:dyDescent="0.25">
      <c r="DQ1103" s="99"/>
      <c r="DR1103" s="99"/>
      <c r="EW1103"/>
      <c r="EX1103"/>
      <c r="EY1103"/>
    </row>
    <row r="1104" spans="121:155" ht="15" customHeight="1" x14ac:dyDescent="0.25">
      <c r="DQ1104" s="99"/>
      <c r="DR1104" s="99"/>
      <c r="EW1104"/>
      <c r="EX1104"/>
      <c r="EY1104"/>
    </row>
    <row r="1105" spans="121:155" ht="15" customHeight="1" x14ac:dyDescent="0.25">
      <c r="DQ1105" s="99"/>
      <c r="DR1105" s="99"/>
      <c r="EW1105"/>
      <c r="EX1105"/>
      <c r="EY1105"/>
    </row>
    <row r="1106" spans="121:155" ht="15" customHeight="1" x14ac:dyDescent="0.25">
      <c r="DQ1106" s="99"/>
      <c r="DR1106" s="99"/>
      <c r="EW1106"/>
      <c r="EX1106"/>
      <c r="EY1106"/>
    </row>
    <row r="1107" spans="121:155" ht="15" customHeight="1" x14ac:dyDescent="0.25">
      <c r="DQ1107" s="99"/>
      <c r="DR1107" s="99"/>
      <c r="EW1107"/>
      <c r="EX1107"/>
      <c r="EY1107"/>
    </row>
    <row r="1108" spans="121:155" ht="15" customHeight="1" x14ac:dyDescent="0.25">
      <c r="DQ1108" s="99"/>
      <c r="DR1108" s="99"/>
      <c r="EW1108"/>
      <c r="EX1108"/>
      <c r="EY1108"/>
    </row>
    <row r="1109" spans="121:155" ht="15" customHeight="1" x14ac:dyDescent="0.25">
      <c r="DQ1109" s="99"/>
      <c r="DR1109" s="99"/>
      <c r="EW1109"/>
      <c r="EX1109"/>
      <c r="EY1109"/>
    </row>
    <row r="1110" spans="121:155" ht="15" customHeight="1" x14ac:dyDescent="0.25">
      <c r="DQ1110" s="99"/>
      <c r="DR1110" s="99"/>
      <c r="EW1110"/>
      <c r="EX1110"/>
      <c r="EY1110"/>
    </row>
    <row r="1111" spans="121:155" ht="15" customHeight="1" x14ac:dyDescent="0.25">
      <c r="DQ1111" s="99"/>
      <c r="DR1111" s="99"/>
      <c r="EW1111"/>
      <c r="EX1111"/>
      <c r="EY1111"/>
    </row>
    <row r="1112" spans="121:155" ht="15" customHeight="1" x14ac:dyDescent="0.25">
      <c r="DQ1112" s="99"/>
      <c r="DR1112" s="99"/>
      <c r="EW1112"/>
      <c r="EX1112"/>
      <c r="EY1112"/>
    </row>
    <row r="1113" spans="121:155" ht="15" customHeight="1" x14ac:dyDescent="0.25">
      <c r="DQ1113" s="99"/>
      <c r="DR1113" s="99"/>
      <c r="EW1113"/>
      <c r="EX1113"/>
      <c r="EY1113"/>
    </row>
    <row r="1114" spans="121:155" ht="15" customHeight="1" x14ac:dyDescent="0.25">
      <c r="DQ1114" s="99"/>
      <c r="DR1114" s="99"/>
      <c r="EW1114"/>
      <c r="EX1114"/>
      <c r="EY1114"/>
    </row>
    <row r="1115" spans="121:155" ht="15" customHeight="1" x14ac:dyDescent="0.25">
      <c r="DQ1115" s="99"/>
      <c r="DR1115" s="99"/>
      <c r="EW1115"/>
      <c r="EX1115"/>
      <c r="EY1115"/>
    </row>
    <row r="1116" spans="121:155" ht="15" customHeight="1" x14ac:dyDescent="0.25">
      <c r="DQ1116" s="99"/>
      <c r="DR1116" s="99"/>
      <c r="EW1116"/>
      <c r="EX1116"/>
      <c r="EY1116"/>
    </row>
    <row r="1117" spans="121:155" ht="15" customHeight="1" x14ac:dyDescent="0.25">
      <c r="DQ1117" s="99"/>
      <c r="DR1117" s="99"/>
      <c r="EW1117"/>
      <c r="EX1117"/>
      <c r="EY1117"/>
    </row>
    <row r="1118" spans="121:155" ht="15" customHeight="1" x14ac:dyDescent="0.25">
      <c r="DQ1118" s="99"/>
      <c r="DR1118" s="99"/>
      <c r="EW1118"/>
      <c r="EX1118"/>
      <c r="EY1118"/>
    </row>
    <row r="1119" spans="121:155" ht="15" customHeight="1" x14ac:dyDescent="0.25">
      <c r="DQ1119" s="99"/>
      <c r="DR1119" s="99"/>
      <c r="EW1119"/>
      <c r="EX1119"/>
      <c r="EY1119"/>
    </row>
    <row r="1120" spans="121:155" ht="15" customHeight="1" x14ac:dyDescent="0.25">
      <c r="DQ1120" s="99"/>
      <c r="DR1120" s="99"/>
      <c r="EW1120"/>
      <c r="EX1120"/>
      <c r="EY1120"/>
    </row>
    <row r="1121" spans="121:155" ht="15" customHeight="1" x14ac:dyDescent="0.25">
      <c r="DQ1121" s="99"/>
      <c r="DR1121" s="99"/>
      <c r="EW1121"/>
      <c r="EX1121"/>
      <c r="EY1121"/>
    </row>
    <row r="1122" spans="121:155" ht="15" customHeight="1" x14ac:dyDescent="0.25">
      <c r="DQ1122" s="99"/>
      <c r="DR1122" s="99"/>
      <c r="EW1122"/>
      <c r="EX1122"/>
      <c r="EY1122"/>
    </row>
    <row r="1123" spans="121:155" ht="15" customHeight="1" x14ac:dyDescent="0.25">
      <c r="DQ1123" s="99"/>
      <c r="DR1123" s="99"/>
      <c r="EW1123"/>
      <c r="EX1123"/>
      <c r="EY1123"/>
    </row>
    <row r="1124" spans="121:155" ht="15" customHeight="1" x14ac:dyDescent="0.25">
      <c r="DQ1124" s="99"/>
      <c r="DR1124" s="99"/>
      <c r="EW1124"/>
      <c r="EX1124"/>
      <c r="EY1124"/>
    </row>
    <row r="1125" spans="121:155" ht="15" customHeight="1" x14ac:dyDescent="0.25">
      <c r="DQ1125" s="99"/>
      <c r="DR1125" s="99"/>
      <c r="EW1125"/>
      <c r="EX1125"/>
      <c r="EY1125"/>
    </row>
    <row r="1126" spans="121:155" ht="15" customHeight="1" x14ac:dyDescent="0.25">
      <c r="DQ1126" s="99"/>
      <c r="DR1126" s="99"/>
      <c r="EW1126"/>
      <c r="EX1126"/>
      <c r="EY1126"/>
    </row>
    <row r="1127" spans="121:155" ht="15" customHeight="1" x14ac:dyDescent="0.25">
      <c r="DQ1127" s="99"/>
      <c r="DR1127" s="99"/>
      <c r="EW1127"/>
      <c r="EX1127"/>
      <c r="EY1127"/>
    </row>
    <row r="1128" spans="121:155" ht="15" customHeight="1" x14ac:dyDescent="0.25">
      <c r="DQ1128" s="99"/>
      <c r="DR1128" s="99"/>
      <c r="EW1128"/>
      <c r="EX1128"/>
      <c r="EY1128"/>
    </row>
    <row r="1129" spans="121:155" ht="15" customHeight="1" x14ac:dyDescent="0.25">
      <c r="DQ1129" s="99"/>
      <c r="DR1129" s="99"/>
      <c r="EW1129"/>
      <c r="EX1129"/>
      <c r="EY1129"/>
    </row>
    <row r="1130" spans="121:155" ht="15" customHeight="1" x14ac:dyDescent="0.25">
      <c r="DQ1130" s="99"/>
      <c r="DR1130" s="99"/>
      <c r="EW1130"/>
      <c r="EX1130"/>
      <c r="EY1130"/>
    </row>
    <row r="1131" spans="121:155" ht="15" customHeight="1" x14ac:dyDescent="0.25">
      <c r="DQ1131" s="99"/>
      <c r="DR1131" s="99"/>
      <c r="EW1131"/>
      <c r="EX1131"/>
      <c r="EY1131"/>
    </row>
    <row r="1132" spans="121:155" ht="15" customHeight="1" x14ac:dyDescent="0.25">
      <c r="DQ1132" s="99"/>
      <c r="DR1132" s="99"/>
      <c r="EW1132"/>
      <c r="EX1132"/>
      <c r="EY1132"/>
    </row>
    <row r="1133" spans="121:155" ht="15" customHeight="1" x14ac:dyDescent="0.25">
      <c r="DQ1133" s="99"/>
      <c r="DR1133" s="99"/>
      <c r="EW1133"/>
      <c r="EX1133"/>
      <c r="EY1133"/>
    </row>
    <row r="1134" spans="121:155" ht="15" customHeight="1" x14ac:dyDescent="0.25">
      <c r="DQ1134" s="99"/>
      <c r="DR1134" s="99"/>
      <c r="EW1134"/>
      <c r="EX1134"/>
      <c r="EY1134"/>
    </row>
    <row r="1135" spans="121:155" ht="15" customHeight="1" x14ac:dyDescent="0.25">
      <c r="DQ1135" s="99"/>
      <c r="DR1135" s="99"/>
      <c r="EW1135"/>
      <c r="EX1135"/>
      <c r="EY1135"/>
    </row>
    <row r="1136" spans="121:155" ht="15" customHeight="1" x14ac:dyDescent="0.25">
      <c r="DQ1136" s="99"/>
      <c r="DR1136" s="99"/>
      <c r="EW1136"/>
      <c r="EX1136"/>
      <c r="EY1136"/>
    </row>
    <row r="1137" spans="121:155" ht="15" customHeight="1" x14ac:dyDescent="0.25">
      <c r="DQ1137" s="99"/>
      <c r="DR1137" s="99"/>
      <c r="EW1137"/>
      <c r="EX1137"/>
      <c r="EY1137"/>
    </row>
    <row r="1138" spans="121:155" ht="15" customHeight="1" x14ac:dyDescent="0.25">
      <c r="DQ1138" s="99"/>
      <c r="DR1138" s="99"/>
      <c r="EW1138"/>
      <c r="EX1138"/>
      <c r="EY1138"/>
    </row>
    <row r="1139" spans="121:155" ht="15" customHeight="1" x14ac:dyDescent="0.25">
      <c r="DQ1139" s="99"/>
      <c r="DR1139" s="99"/>
      <c r="EW1139"/>
      <c r="EX1139"/>
      <c r="EY1139"/>
    </row>
    <row r="1140" spans="121:155" ht="15" customHeight="1" x14ac:dyDescent="0.25">
      <c r="DQ1140" s="99"/>
      <c r="DR1140" s="99"/>
      <c r="EW1140"/>
      <c r="EX1140"/>
      <c r="EY1140"/>
    </row>
    <row r="1141" spans="121:155" ht="15" customHeight="1" x14ac:dyDescent="0.25">
      <c r="DQ1141" s="99"/>
      <c r="DR1141" s="99"/>
      <c r="EW1141"/>
      <c r="EX1141"/>
      <c r="EY1141"/>
    </row>
    <row r="1142" spans="121:155" ht="15" customHeight="1" x14ac:dyDescent="0.25">
      <c r="DQ1142" s="99"/>
      <c r="DR1142" s="99"/>
      <c r="EW1142"/>
      <c r="EX1142"/>
      <c r="EY1142"/>
    </row>
    <row r="1143" spans="121:155" ht="15" customHeight="1" x14ac:dyDescent="0.25">
      <c r="DQ1143" s="99"/>
      <c r="DR1143" s="99"/>
      <c r="EW1143"/>
      <c r="EX1143"/>
      <c r="EY1143"/>
    </row>
    <row r="1144" spans="121:155" ht="15" customHeight="1" x14ac:dyDescent="0.25">
      <c r="DQ1144" s="99"/>
      <c r="DR1144" s="99"/>
      <c r="EW1144"/>
      <c r="EX1144"/>
      <c r="EY1144"/>
    </row>
    <row r="1145" spans="121:155" ht="15" customHeight="1" x14ac:dyDescent="0.25">
      <c r="DQ1145" s="99"/>
      <c r="DR1145" s="99"/>
      <c r="EW1145"/>
      <c r="EX1145"/>
      <c r="EY1145"/>
    </row>
    <row r="1146" spans="121:155" ht="15" customHeight="1" x14ac:dyDescent="0.25">
      <c r="DQ1146" s="99"/>
      <c r="DR1146" s="99"/>
      <c r="EW1146"/>
      <c r="EX1146"/>
      <c r="EY1146"/>
    </row>
    <row r="1147" spans="121:155" ht="15" customHeight="1" x14ac:dyDescent="0.25">
      <c r="DQ1147" s="99"/>
      <c r="DR1147" s="99"/>
      <c r="EW1147"/>
      <c r="EX1147"/>
      <c r="EY1147"/>
    </row>
    <row r="1148" spans="121:155" ht="15" customHeight="1" x14ac:dyDescent="0.25">
      <c r="DQ1148" s="99"/>
      <c r="DR1148" s="99"/>
      <c r="EW1148"/>
      <c r="EX1148"/>
      <c r="EY1148"/>
    </row>
    <row r="1149" spans="121:155" ht="15" customHeight="1" x14ac:dyDescent="0.25">
      <c r="DQ1149" s="99"/>
      <c r="DR1149" s="99"/>
      <c r="EW1149"/>
      <c r="EX1149"/>
      <c r="EY1149"/>
    </row>
    <row r="1150" spans="121:155" ht="15" customHeight="1" x14ac:dyDescent="0.25">
      <c r="DQ1150" s="99"/>
      <c r="DR1150" s="99"/>
      <c r="EW1150"/>
      <c r="EX1150"/>
      <c r="EY1150"/>
    </row>
    <row r="1151" spans="121:155" ht="15" customHeight="1" x14ac:dyDescent="0.25">
      <c r="DQ1151" s="99"/>
      <c r="DR1151" s="99"/>
      <c r="EW1151"/>
      <c r="EX1151"/>
      <c r="EY1151"/>
    </row>
    <row r="1152" spans="121:155" ht="15" customHeight="1" x14ac:dyDescent="0.25">
      <c r="DQ1152" s="99"/>
      <c r="DR1152" s="99"/>
      <c r="EW1152"/>
      <c r="EX1152"/>
      <c r="EY1152"/>
    </row>
    <row r="1153" spans="121:155" ht="15" customHeight="1" x14ac:dyDescent="0.25">
      <c r="DQ1153" s="99"/>
      <c r="DR1153" s="99"/>
      <c r="EW1153"/>
      <c r="EX1153"/>
      <c r="EY1153"/>
    </row>
    <row r="1154" spans="121:155" ht="15" customHeight="1" x14ac:dyDescent="0.25">
      <c r="DQ1154" s="99"/>
      <c r="DR1154" s="99"/>
      <c r="EW1154"/>
      <c r="EX1154"/>
      <c r="EY1154"/>
    </row>
    <row r="1155" spans="121:155" ht="15" customHeight="1" x14ac:dyDescent="0.25">
      <c r="DQ1155" s="99"/>
      <c r="DR1155" s="99"/>
      <c r="EW1155"/>
      <c r="EX1155"/>
      <c r="EY1155"/>
    </row>
    <row r="1156" spans="121:155" ht="15" customHeight="1" x14ac:dyDescent="0.25">
      <c r="DQ1156" s="99"/>
      <c r="DR1156" s="99"/>
      <c r="EW1156"/>
      <c r="EX1156"/>
      <c r="EY1156"/>
    </row>
    <row r="1157" spans="121:155" ht="15" customHeight="1" x14ac:dyDescent="0.25">
      <c r="DQ1157" s="99"/>
      <c r="DR1157" s="99"/>
      <c r="EW1157"/>
      <c r="EX1157"/>
      <c r="EY1157"/>
    </row>
    <row r="1158" spans="121:155" ht="15" customHeight="1" x14ac:dyDescent="0.25">
      <c r="DQ1158" s="99"/>
      <c r="DR1158" s="99"/>
      <c r="EW1158"/>
      <c r="EX1158"/>
      <c r="EY1158"/>
    </row>
    <row r="1159" spans="121:155" ht="15" customHeight="1" x14ac:dyDescent="0.25">
      <c r="DQ1159" s="99"/>
      <c r="DR1159" s="99"/>
      <c r="EW1159"/>
      <c r="EX1159"/>
      <c r="EY1159"/>
    </row>
    <row r="1160" spans="121:155" ht="15" customHeight="1" x14ac:dyDescent="0.25">
      <c r="DQ1160" s="99"/>
      <c r="DR1160" s="99"/>
      <c r="EW1160"/>
      <c r="EX1160"/>
      <c r="EY1160"/>
    </row>
    <row r="1161" spans="121:155" ht="15" customHeight="1" x14ac:dyDescent="0.25">
      <c r="DQ1161" s="99"/>
      <c r="DR1161" s="99"/>
      <c r="EW1161"/>
      <c r="EX1161"/>
      <c r="EY1161"/>
    </row>
    <row r="1162" spans="121:155" ht="15" customHeight="1" x14ac:dyDescent="0.25">
      <c r="DQ1162" s="99"/>
      <c r="DR1162" s="99"/>
      <c r="EW1162"/>
      <c r="EX1162"/>
      <c r="EY1162"/>
    </row>
    <row r="1163" spans="121:155" ht="15" customHeight="1" x14ac:dyDescent="0.25">
      <c r="DQ1163" s="99"/>
      <c r="DR1163" s="99"/>
      <c r="EW1163"/>
      <c r="EX1163"/>
      <c r="EY1163"/>
    </row>
    <row r="1164" spans="121:155" ht="15" customHeight="1" x14ac:dyDescent="0.25">
      <c r="DQ1164" s="99"/>
      <c r="DR1164" s="99"/>
      <c r="EW1164"/>
      <c r="EX1164"/>
      <c r="EY1164"/>
    </row>
    <row r="1165" spans="121:155" ht="15" customHeight="1" x14ac:dyDescent="0.25">
      <c r="DQ1165" s="99"/>
      <c r="DR1165" s="99"/>
      <c r="EW1165"/>
      <c r="EX1165"/>
      <c r="EY1165"/>
    </row>
    <row r="1166" spans="121:155" ht="15" customHeight="1" x14ac:dyDescent="0.25">
      <c r="DQ1166" s="99"/>
      <c r="DR1166" s="99"/>
      <c r="EW1166"/>
      <c r="EX1166"/>
      <c r="EY1166"/>
    </row>
    <row r="1167" spans="121:155" ht="15" customHeight="1" x14ac:dyDescent="0.25">
      <c r="DQ1167" s="99"/>
      <c r="DR1167" s="99"/>
      <c r="EW1167"/>
      <c r="EX1167"/>
      <c r="EY1167"/>
    </row>
    <row r="1168" spans="121:155" ht="15" customHeight="1" x14ac:dyDescent="0.25">
      <c r="DQ1168" s="99"/>
      <c r="DR1168" s="99"/>
      <c r="EW1168"/>
      <c r="EX1168"/>
      <c r="EY1168"/>
    </row>
    <row r="1169" spans="121:155" ht="15" customHeight="1" x14ac:dyDescent="0.25">
      <c r="DQ1169" s="99"/>
      <c r="DR1169" s="99"/>
      <c r="EW1169"/>
      <c r="EX1169"/>
      <c r="EY1169"/>
    </row>
    <row r="1170" spans="121:155" ht="15" customHeight="1" x14ac:dyDescent="0.25">
      <c r="DQ1170" s="99"/>
      <c r="DR1170" s="99"/>
      <c r="EW1170"/>
      <c r="EX1170"/>
      <c r="EY1170"/>
    </row>
    <row r="1171" spans="121:155" ht="15" customHeight="1" x14ac:dyDescent="0.25">
      <c r="DQ1171" s="99"/>
      <c r="DR1171" s="99"/>
      <c r="EW1171"/>
      <c r="EX1171"/>
      <c r="EY1171"/>
    </row>
    <row r="1172" spans="121:155" ht="15" customHeight="1" x14ac:dyDescent="0.25">
      <c r="DQ1172" s="99"/>
      <c r="DR1172" s="99"/>
      <c r="EW1172"/>
      <c r="EX1172"/>
      <c r="EY1172"/>
    </row>
    <row r="1173" spans="121:155" ht="15" customHeight="1" x14ac:dyDescent="0.25">
      <c r="DQ1173" s="99"/>
      <c r="DR1173" s="99"/>
      <c r="EW1173"/>
      <c r="EX1173"/>
      <c r="EY1173"/>
    </row>
    <row r="1174" spans="121:155" ht="15" customHeight="1" x14ac:dyDescent="0.25">
      <c r="DQ1174" s="99"/>
      <c r="DR1174" s="99"/>
      <c r="EW1174"/>
      <c r="EX1174"/>
      <c r="EY1174"/>
    </row>
    <row r="1175" spans="121:155" ht="15" customHeight="1" x14ac:dyDescent="0.25">
      <c r="DQ1175" s="99"/>
      <c r="DR1175" s="99"/>
      <c r="EW1175"/>
      <c r="EX1175"/>
      <c r="EY1175"/>
    </row>
    <row r="1176" spans="121:155" ht="15" customHeight="1" x14ac:dyDescent="0.25">
      <c r="DQ1176" s="99"/>
      <c r="DR1176" s="99"/>
      <c r="EW1176"/>
      <c r="EX1176"/>
      <c r="EY1176"/>
    </row>
    <row r="1177" spans="121:155" ht="15" customHeight="1" x14ac:dyDescent="0.25">
      <c r="DQ1177" s="99"/>
      <c r="DR1177" s="99"/>
      <c r="EW1177"/>
      <c r="EX1177"/>
      <c r="EY1177"/>
    </row>
    <row r="1178" spans="121:155" ht="15" customHeight="1" x14ac:dyDescent="0.25">
      <c r="DQ1178" s="99"/>
      <c r="DR1178" s="99"/>
      <c r="EW1178"/>
      <c r="EX1178"/>
      <c r="EY1178"/>
    </row>
    <row r="1179" spans="121:155" ht="15" customHeight="1" x14ac:dyDescent="0.25">
      <c r="DQ1179" s="99"/>
      <c r="DR1179" s="99"/>
      <c r="EW1179"/>
      <c r="EX1179"/>
      <c r="EY1179"/>
    </row>
    <row r="1180" spans="121:155" ht="15" customHeight="1" x14ac:dyDescent="0.25">
      <c r="DQ1180" s="99"/>
      <c r="DR1180" s="99"/>
      <c r="EW1180"/>
      <c r="EX1180"/>
      <c r="EY1180"/>
    </row>
    <row r="1181" spans="121:155" ht="15" customHeight="1" x14ac:dyDescent="0.25">
      <c r="DQ1181" s="99"/>
      <c r="DR1181" s="99"/>
      <c r="EW1181"/>
      <c r="EX1181"/>
      <c r="EY1181"/>
    </row>
    <row r="1182" spans="121:155" ht="15" customHeight="1" x14ac:dyDescent="0.25">
      <c r="DQ1182" s="99"/>
      <c r="DR1182" s="99"/>
      <c r="EW1182"/>
      <c r="EX1182"/>
      <c r="EY1182"/>
    </row>
    <row r="1183" spans="121:155" ht="15" customHeight="1" x14ac:dyDescent="0.25">
      <c r="DQ1183" s="99"/>
      <c r="DR1183" s="99"/>
      <c r="EW1183"/>
      <c r="EX1183"/>
      <c r="EY1183"/>
    </row>
    <row r="1184" spans="121:155" ht="15" customHeight="1" x14ac:dyDescent="0.25">
      <c r="DQ1184" s="99"/>
      <c r="DR1184" s="99"/>
      <c r="EW1184"/>
      <c r="EX1184"/>
      <c r="EY1184"/>
    </row>
    <row r="1185" spans="121:155" ht="15" customHeight="1" x14ac:dyDescent="0.25">
      <c r="DQ1185" s="99"/>
      <c r="DR1185" s="99"/>
      <c r="EW1185"/>
      <c r="EX1185"/>
      <c r="EY1185"/>
    </row>
    <row r="1186" spans="121:155" ht="15" customHeight="1" x14ac:dyDescent="0.25">
      <c r="DQ1186" s="99"/>
      <c r="DR1186" s="99"/>
      <c r="EW1186"/>
      <c r="EX1186"/>
      <c r="EY1186"/>
    </row>
    <row r="1187" spans="121:155" ht="15" customHeight="1" x14ac:dyDescent="0.25">
      <c r="DQ1187" s="99"/>
      <c r="DR1187" s="99"/>
      <c r="EW1187"/>
      <c r="EX1187"/>
      <c r="EY1187"/>
    </row>
    <row r="1188" spans="121:155" ht="15" customHeight="1" x14ac:dyDescent="0.25">
      <c r="DQ1188" s="99"/>
      <c r="DR1188" s="99"/>
      <c r="EW1188"/>
      <c r="EX1188"/>
      <c r="EY1188"/>
    </row>
    <row r="1189" spans="121:155" ht="15" customHeight="1" x14ac:dyDescent="0.25">
      <c r="DQ1189" s="99"/>
      <c r="DR1189" s="99"/>
      <c r="EW1189"/>
      <c r="EX1189"/>
      <c r="EY1189"/>
    </row>
    <row r="1190" spans="121:155" ht="15" customHeight="1" x14ac:dyDescent="0.25">
      <c r="DQ1190" s="99"/>
      <c r="DR1190" s="99"/>
      <c r="EW1190"/>
      <c r="EX1190"/>
      <c r="EY1190"/>
    </row>
    <row r="1191" spans="121:155" ht="15" customHeight="1" x14ac:dyDescent="0.25">
      <c r="DQ1191" s="99"/>
      <c r="DR1191" s="99"/>
      <c r="EW1191"/>
      <c r="EX1191"/>
      <c r="EY1191"/>
    </row>
    <row r="1192" spans="121:155" ht="15" customHeight="1" x14ac:dyDescent="0.25">
      <c r="DQ1192" s="99"/>
      <c r="DR1192" s="99"/>
      <c r="EW1192"/>
      <c r="EX1192"/>
      <c r="EY1192"/>
    </row>
    <row r="1193" spans="121:155" ht="15" customHeight="1" x14ac:dyDescent="0.25">
      <c r="DQ1193" s="99"/>
      <c r="DR1193" s="99"/>
      <c r="EW1193"/>
      <c r="EX1193"/>
      <c r="EY1193"/>
    </row>
    <row r="1194" spans="121:155" ht="15" customHeight="1" x14ac:dyDescent="0.25">
      <c r="DQ1194" s="99"/>
      <c r="DR1194" s="99"/>
      <c r="EW1194"/>
      <c r="EX1194"/>
      <c r="EY1194"/>
    </row>
    <row r="1195" spans="121:155" ht="15" customHeight="1" x14ac:dyDescent="0.25">
      <c r="DQ1195" s="99"/>
      <c r="DR1195" s="99"/>
      <c r="EW1195"/>
      <c r="EX1195"/>
      <c r="EY1195"/>
    </row>
    <row r="1196" spans="121:155" ht="15" customHeight="1" x14ac:dyDescent="0.25">
      <c r="DQ1196" s="99"/>
      <c r="DR1196" s="99"/>
      <c r="EW1196"/>
      <c r="EX1196"/>
      <c r="EY1196"/>
    </row>
    <row r="1197" spans="121:155" ht="15" customHeight="1" x14ac:dyDescent="0.25">
      <c r="DQ1197" s="99"/>
      <c r="DR1197" s="99"/>
      <c r="EW1197"/>
      <c r="EX1197"/>
      <c r="EY1197"/>
    </row>
    <row r="1198" spans="121:155" ht="15" customHeight="1" x14ac:dyDescent="0.25">
      <c r="DQ1198" s="99"/>
      <c r="DR1198" s="99"/>
      <c r="EW1198"/>
      <c r="EX1198"/>
      <c r="EY1198"/>
    </row>
    <row r="1199" spans="121:155" ht="15" customHeight="1" x14ac:dyDescent="0.25">
      <c r="DQ1199" s="99"/>
      <c r="DR1199" s="99"/>
      <c r="EW1199"/>
      <c r="EX1199"/>
      <c r="EY1199"/>
    </row>
    <row r="1200" spans="121:155" ht="15" customHeight="1" x14ac:dyDescent="0.25">
      <c r="DQ1200" s="99"/>
      <c r="DR1200" s="99"/>
      <c r="EW1200"/>
      <c r="EX1200"/>
      <c r="EY1200"/>
    </row>
    <row r="1201" spans="121:155" ht="15" customHeight="1" x14ac:dyDescent="0.25">
      <c r="DQ1201" s="99"/>
      <c r="DR1201" s="99"/>
      <c r="EW1201"/>
      <c r="EX1201"/>
      <c r="EY1201"/>
    </row>
    <row r="1202" spans="121:155" ht="15" customHeight="1" x14ac:dyDescent="0.25">
      <c r="DQ1202" s="99"/>
      <c r="DR1202" s="99"/>
      <c r="EW1202"/>
      <c r="EX1202"/>
      <c r="EY1202"/>
    </row>
    <row r="1203" spans="121:155" ht="15" customHeight="1" x14ac:dyDescent="0.25">
      <c r="DQ1203" s="99"/>
      <c r="DR1203" s="99"/>
      <c r="EW1203"/>
      <c r="EX1203"/>
      <c r="EY1203"/>
    </row>
    <row r="1204" spans="121:155" ht="15" customHeight="1" x14ac:dyDescent="0.25">
      <c r="DQ1204" s="99"/>
      <c r="DR1204" s="99"/>
      <c r="EW1204"/>
      <c r="EX1204"/>
      <c r="EY1204"/>
    </row>
    <row r="1205" spans="121:155" ht="15" customHeight="1" x14ac:dyDescent="0.25">
      <c r="DQ1205" s="99"/>
      <c r="DR1205" s="99"/>
      <c r="EW1205"/>
      <c r="EX1205"/>
      <c r="EY1205"/>
    </row>
    <row r="1206" spans="121:155" ht="15" customHeight="1" x14ac:dyDescent="0.25">
      <c r="DQ1206" s="99"/>
      <c r="DR1206" s="99"/>
      <c r="EW1206"/>
      <c r="EX1206"/>
      <c r="EY1206"/>
    </row>
    <row r="1207" spans="121:155" ht="15" customHeight="1" x14ac:dyDescent="0.25">
      <c r="DQ1207" s="99"/>
      <c r="DR1207" s="99"/>
      <c r="EW1207"/>
      <c r="EX1207"/>
      <c r="EY1207"/>
    </row>
    <row r="1208" spans="121:155" ht="15" customHeight="1" x14ac:dyDescent="0.25">
      <c r="DQ1208" s="99"/>
      <c r="DR1208" s="99"/>
      <c r="EW1208"/>
      <c r="EX1208"/>
      <c r="EY1208"/>
    </row>
    <row r="1209" spans="121:155" ht="15" customHeight="1" x14ac:dyDescent="0.25">
      <c r="DQ1209" s="99"/>
      <c r="DR1209" s="99"/>
      <c r="EW1209"/>
      <c r="EX1209"/>
      <c r="EY1209"/>
    </row>
    <row r="1210" spans="121:155" ht="15" customHeight="1" x14ac:dyDescent="0.25">
      <c r="DQ1210" s="99"/>
      <c r="DR1210" s="99"/>
      <c r="EW1210"/>
      <c r="EX1210"/>
      <c r="EY1210"/>
    </row>
    <row r="1211" spans="121:155" ht="15" customHeight="1" x14ac:dyDescent="0.25">
      <c r="DQ1211" s="99"/>
      <c r="DR1211" s="99"/>
      <c r="EW1211"/>
      <c r="EX1211"/>
      <c r="EY1211"/>
    </row>
    <row r="1212" spans="121:155" ht="15" customHeight="1" x14ac:dyDescent="0.25">
      <c r="DQ1212" s="99"/>
      <c r="DR1212" s="99"/>
      <c r="EW1212"/>
      <c r="EX1212"/>
      <c r="EY1212"/>
    </row>
    <row r="1213" spans="121:155" ht="15" customHeight="1" x14ac:dyDescent="0.25">
      <c r="DQ1213" s="99"/>
      <c r="DR1213" s="99"/>
      <c r="EW1213"/>
      <c r="EX1213"/>
      <c r="EY1213"/>
    </row>
    <row r="1214" spans="121:155" ht="15" customHeight="1" x14ac:dyDescent="0.25">
      <c r="DQ1214" s="99"/>
      <c r="DR1214" s="99"/>
      <c r="EW1214"/>
      <c r="EX1214"/>
      <c r="EY1214"/>
    </row>
    <row r="1215" spans="121:155" ht="15" customHeight="1" x14ac:dyDescent="0.25">
      <c r="DQ1215" s="99"/>
      <c r="DR1215" s="99"/>
      <c r="EW1215"/>
      <c r="EX1215"/>
      <c r="EY1215"/>
    </row>
    <row r="1216" spans="121:155" ht="15" customHeight="1" x14ac:dyDescent="0.25">
      <c r="DQ1216" s="99"/>
      <c r="DR1216" s="99"/>
      <c r="EW1216"/>
      <c r="EX1216"/>
      <c r="EY1216"/>
    </row>
    <row r="1217" spans="121:155" ht="15" customHeight="1" x14ac:dyDescent="0.25">
      <c r="DQ1217" s="99"/>
      <c r="DR1217" s="99"/>
      <c r="EW1217"/>
      <c r="EX1217"/>
      <c r="EY1217"/>
    </row>
    <row r="1218" spans="121:155" ht="15" customHeight="1" x14ac:dyDescent="0.25">
      <c r="DQ1218" s="99"/>
      <c r="DR1218" s="99"/>
      <c r="EW1218"/>
      <c r="EX1218"/>
      <c r="EY1218"/>
    </row>
    <row r="1219" spans="121:155" ht="15" customHeight="1" x14ac:dyDescent="0.25">
      <c r="DQ1219" s="99"/>
      <c r="DR1219" s="99"/>
      <c r="EW1219"/>
      <c r="EX1219"/>
      <c r="EY1219"/>
    </row>
    <row r="1220" spans="121:155" ht="15" customHeight="1" x14ac:dyDescent="0.25">
      <c r="DQ1220" s="99"/>
      <c r="DR1220" s="99"/>
      <c r="EW1220"/>
      <c r="EX1220"/>
      <c r="EY1220"/>
    </row>
    <row r="1221" spans="121:155" ht="15" customHeight="1" x14ac:dyDescent="0.25">
      <c r="DQ1221" s="99"/>
      <c r="DR1221" s="99"/>
      <c r="EW1221"/>
      <c r="EX1221"/>
      <c r="EY1221"/>
    </row>
    <row r="1222" spans="121:155" ht="15" customHeight="1" x14ac:dyDescent="0.25">
      <c r="DQ1222" s="99"/>
      <c r="DR1222" s="99"/>
      <c r="EW1222"/>
      <c r="EX1222"/>
      <c r="EY1222"/>
    </row>
    <row r="1223" spans="121:155" ht="15" customHeight="1" x14ac:dyDescent="0.25">
      <c r="DQ1223" s="99"/>
      <c r="DR1223" s="99"/>
      <c r="EW1223"/>
      <c r="EX1223"/>
      <c r="EY1223"/>
    </row>
    <row r="1224" spans="121:155" ht="15" customHeight="1" x14ac:dyDescent="0.25">
      <c r="DQ1224" s="99"/>
      <c r="DR1224" s="99"/>
      <c r="EW1224"/>
      <c r="EX1224"/>
      <c r="EY1224"/>
    </row>
    <row r="1225" spans="121:155" ht="15" customHeight="1" x14ac:dyDescent="0.25">
      <c r="DQ1225" s="99"/>
      <c r="DR1225" s="99"/>
      <c r="EW1225"/>
      <c r="EX1225"/>
      <c r="EY1225"/>
    </row>
    <row r="1226" spans="121:155" ht="15" customHeight="1" x14ac:dyDescent="0.25">
      <c r="DQ1226" s="99"/>
      <c r="DR1226" s="99"/>
      <c r="EW1226"/>
      <c r="EX1226"/>
      <c r="EY1226"/>
    </row>
    <row r="1227" spans="121:155" ht="15" customHeight="1" x14ac:dyDescent="0.25">
      <c r="DQ1227" s="99"/>
      <c r="DR1227" s="99"/>
      <c r="EW1227"/>
      <c r="EX1227"/>
      <c r="EY1227"/>
    </row>
    <row r="1228" spans="121:155" ht="15" customHeight="1" x14ac:dyDescent="0.25">
      <c r="DQ1228" s="99"/>
      <c r="DR1228" s="99"/>
      <c r="EW1228"/>
      <c r="EX1228"/>
      <c r="EY1228"/>
    </row>
    <row r="1229" spans="121:155" ht="15" customHeight="1" x14ac:dyDescent="0.25">
      <c r="DQ1229" s="99"/>
      <c r="DR1229" s="99"/>
      <c r="EW1229"/>
      <c r="EX1229"/>
      <c r="EY1229"/>
    </row>
    <row r="1230" spans="121:155" ht="15" customHeight="1" x14ac:dyDescent="0.25">
      <c r="DQ1230" s="99"/>
      <c r="DR1230" s="99"/>
      <c r="EW1230"/>
      <c r="EX1230"/>
      <c r="EY1230"/>
    </row>
    <row r="1231" spans="121:155" ht="15" customHeight="1" x14ac:dyDescent="0.25">
      <c r="DQ1231" s="99"/>
      <c r="DR1231" s="99"/>
      <c r="EW1231"/>
      <c r="EX1231"/>
      <c r="EY1231"/>
    </row>
    <row r="1232" spans="121:155" ht="15" customHeight="1" x14ac:dyDescent="0.25">
      <c r="DQ1232" s="99"/>
      <c r="DR1232" s="99"/>
      <c r="EW1232"/>
      <c r="EX1232"/>
      <c r="EY1232"/>
    </row>
    <row r="1233" spans="121:155" ht="15" customHeight="1" x14ac:dyDescent="0.25">
      <c r="DQ1233" s="99"/>
      <c r="DR1233" s="99"/>
      <c r="EW1233"/>
      <c r="EX1233"/>
      <c r="EY1233"/>
    </row>
    <row r="1234" spans="121:155" ht="15" customHeight="1" x14ac:dyDescent="0.25">
      <c r="DQ1234" s="99"/>
      <c r="DR1234" s="99"/>
      <c r="EW1234"/>
      <c r="EX1234"/>
      <c r="EY1234"/>
    </row>
    <row r="1235" spans="121:155" ht="15" customHeight="1" x14ac:dyDescent="0.25">
      <c r="DQ1235" s="99"/>
      <c r="DR1235" s="99"/>
      <c r="EW1235"/>
      <c r="EX1235"/>
      <c r="EY1235"/>
    </row>
    <row r="1236" spans="121:155" ht="15" customHeight="1" x14ac:dyDescent="0.25">
      <c r="DQ1236" s="99"/>
      <c r="DR1236" s="99"/>
      <c r="EW1236"/>
      <c r="EX1236"/>
      <c r="EY1236"/>
    </row>
    <row r="1237" spans="121:155" ht="15" customHeight="1" x14ac:dyDescent="0.25">
      <c r="DQ1237" s="99"/>
      <c r="DR1237" s="99"/>
      <c r="EW1237"/>
      <c r="EX1237"/>
      <c r="EY1237"/>
    </row>
    <row r="1238" spans="121:155" ht="15" customHeight="1" x14ac:dyDescent="0.25">
      <c r="DQ1238" s="99"/>
      <c r="DR1238" s="99"/>
      <c r="EW1238"/>
      <c r="EX1238"/>
      <c r="EY1238"/>
    </row>
    <row r="1239" spans="121:155" ht="15" customHeight="1" x14ac:dyDescent="0.25">
      <c r="DQ1239" s="99"/>
      <c r="DR1239" s="99"/>
      <c r="EW1239"/>
      <c r="EX1239"/>
      <c r="EY1239"/>
    </row>
    <row r="1240" spans="121:155" ht="15" customHeight="1" x14ac:dyDescent="0.25">
      <c r="DQ1240" s="99"/>
      <c r="DR1240" s="99"/>
      <c r="EW1240"/>
      <c r="EX1240"/>
      <c r="EY1240"/>
    </row>
    <row r="1241" spans="121:155" ht="15" customHeight="1" x14ac:dyDescent="0.25">
      <c r="DQ1241" s="99"/>
      <c r="DR1241" s="99"/>
      <c r="EW1241"/>
      <c r="EX1241"/>
      <c r="EY1241"/>
    </row>
    <row r="1242" spans="121:155" ht="15" customHeight="1" x14ac:dyDescent="0.25">
      <c r="DQ1242" s="99"/>
      <c r="DR1242" s="99"/>
      <c r="EW1242"/>
      <c r="EX1242"/>
      <c r="EY1242"/>
    </row>
    <row r="1243" spans="121:155" ht="15" customHeight="1" x14ac:dyDescent="0.25">
      <c r="DQ1243" s="99"/>
      <c r="DR1243" s="99"/>
      <c r="EW1243"/>
      <c r="EX1243"/>
      <c r="EY1243"/>
    </row>
    <row r="1244" spans="121:155" ht="15" customHeight="1" x14ac:dyDescent="0.25">
      <c r="DQ1244" s="99"/>
      <c r="DR1244" s="99"/>
      <c r="EW1244"/>
      <c r="EX1244"/>
      <c r="EY1244"/>
    </row>
    <row r="1245" spans="121:155" ht="15" customHeight="1" x14ac:dyDescent="0.25">
      <c r="DQ1245" s="99"/>
      <c r="DR1245" s="99"/>
      <c r="EW1245"/>
      <c r="EX1245"/>
      <c r="EY1245"/>
    </row>
    <row r="1246" spans="121:155" ht="15" customHeight="1" x14ac:dyDescent="0.25">
      <c r="DQ1246" s="99"/>
      <c r="DR1246" s="99"/>
      <c r="EW1246"/>
      <c r="EX1246"/>
      <c r="EY1246"/>
    </row>
    <row r="1247" spans="121:155" ht="15" customHeight="1" x14ac:dyDescent="0.25">
      <c r="DQ1247" s="99"/>
      <c r="DR1247" s="99"/>
      <c r="EW1247"/>
      <c r="EX1247"/>
      <c r="EY1247"/>
    </row>
    <row r="1248" spans="121:155" ht="15" customHeight="1" x14ac:dyDescent="0.25">
      <c r="DQ1248" s="99"/>
      <c r="DR1248" s="99"/>
      <c r="EW1248"/>
      <c r="EX1248"/>
      <c r="EY1248"/>
    </row>
    <row r="1249" spans="121:155" ht="15" customHeight="1" x14ac:dyDescent="0.25">
      <c r="DQ1249" s="99"/>
      <c r="DR1249" s="99"/>
      <c r="EW1249"/>
      <c r="EX1249"/>
      <c r="EY1249"/>
    </row>
    <row r="1250" spans="121:155" ht="15" customHeight="1" x14ac:dyDescent="0.25">
      <c r="DQ1250" s="99"/>
      <c r="DR1250" s="99"/>
      <c r="EW1250"/>
      <c r="EX1250"/>
      <c r="EY1250"/>
    </row>
    <row r="1251" spans="121:155" ht="15" customHeight="1" x14ac:dyDescent="0.25">
      <c r="DQ1251" s="99"/>
      <c r="DR1251" s="99"/>
      <c r="EW1251"/>
      <c r="EX1251"/>
      <c r="EY1251"/>
    </row>
    <row r="1252" spans="121:155" ht="15" customHeight="1" x14ac:dyDescent="0.25">
      <c r="DQ1252" s="99"/>
      <c r="DR1252" s="99"/>
      <c r="EW1252"/>
      <c r="EX1252"/>
      <c r="EY1252"/>
    </row>
    <row r="1253" spans="121:155" ht="15" customHeight="1" x14ac:dyDescent="0.25">
      <c r="DQ1253" s="99"/>
      <c r="DR1253" s="99"/>
      <c r="EW1253"/>
      <c r="EX1253"/>
      <c r="EY1253"/>
    </row>
    <row r="1254" spans="121:155" ht="15" customHeight="1" x14ac:dyDescent="0.25">
      <c r="DQ1254" s="99"/>
      <c r="DR1254" s="99"/>
      <c r="EW1254"/>
      <c r="EX1254"/>
      <c r="EY1254"/>
    </row>
    <row r="1255" spans="121:155" ht="15" customHeight="1" x14ac:dyDescent="0.25">
      <c r="DQ1255" s="99"/>
      <c r="DR1255" s="99"/>
      <c r="EW1255"/>
      <c r="EX1255"/>
      <c r="EY1255"/>
    </row>
    <row r="1256" spans="121:155" ht="15" customHeight="1" x14ac:dyDescent="0.25">
      <c r="DQ1256" s="99"/>
      <c r="DR1256" s="99"/>
      <c r="EW1256"/>
      <c r="EX1256"/>
      <c r="EY1256"/>
    </row>
    <row r="1257" spans="121:155" ht="15" customHeight="1" x14ac:dyDescent="0.25">
      <c r="DQ1257" s="99"/>
      <c r="DR1257" s="99"/>
      <c r="EW1257"/>
      <c r="EX1257"/>
      <c r="EY1257"/>
    </row>
    <row r="1258" spans="121:155" ht="15" customHeight="1" x14ac:dyDescent="0.25">
      <c r="DQ1258" s="99"/>
      <c r="DR1258" s="99"/>
      <c r="EW1258"/>
      <c r="EX1258"/>
      <c r="EY1258"/>
    </row>
    <row r="1259" spans="121:155" ht="15" customHeight="1" x14ac:dyDescent="0.25">
      <c r="DQ1259" s="99"/>
      <c r="DR1259" s="99"/>
      <c r="EW1259"/>
      <c r="EX1259"/>
      <c r="EY1259"/>
    </row>
    <row r="1260" spans="121:155" ht="15" customHeight="1" x14ac:dyDescent="0.25">
      <c r="DQ1260" s="99"/>
      <c r="DR1260" s="99"/>
      <c r="EW1260"/>
      <c r="EX1260"/>
      <c r="EY1260"/>
    </row>
    <row r="1261" spans="121:155" ht="15" customHeight="1" x14ac:dyDescent="0.25">
      <c r="DQ1261" s="99"/>
      <c r="DR1261" s="99"/>
      <c r="EW1261"/>
      <c r="EX1261"/>
      <c r="EY1261"/>
    </row>
    <row r="1262" spans="121:155" ht="15" customHeight="1" x14ac:dyDescent="0.25">
      <c r="DQ1262" s="99"/>
      <c r="DR1262" s="99"/>
      <c r="EW1262"/>
      <c r="EX1262"/>
      <c r="EY1262"/>
    </row>
    <row r="1263" spans="121:155" ht="15" customHeight="1" x14ac:dyDescent="0.25">
      <c r="DQ1263" s="99"/>
      <c r="DR1263" s="99"/>
      <c r="EW1263"/>
      <c r="EX1263"/>
      <c r="EY1263"/>
    </row>
    <row r="1264" spans="121:155" ht="15" customHeight="1" x14ac:dyDescent="0.25">
      <c r="DQ1264" s="99"/>
      <c r="DR1264" s="99"/>
      <c r="EW1264"/>
      <c r="EX1264"/>
      <c r="EY1264"/>
    </row>
    <row r="1265" spans="121:155" ht="15" customHeight="1" x14ac:dyDescent="0.25">
      <c r="DQ1265" s="99"/>
      <c r="DR1265" s="99"/>
      <c r="EW1265"/>
      <c r="EX1265"/>
      <c r="EY1265"/>
    </row>
    <row r="1266" spans="121:155" ht="15" customHeight="1" x14ac:dyDescent="0.25">
      <c r="DQ1266" s="99"/>
      <c r="DR1266" s="99"/>
      <c r="EW1266"/>
      <c r="EX1266"/>
      <c r="EY1266"/>
    </row>
    <row r="1267" spans="121:155" ht="15" customHeight="1" x14ac:dyDescent="0.25">
      <c r="DQ1267" s="99"/>
      <c r="DR1267" s="99"/>
      <c r="EW1267"/>
      <c r="EX1267"/>
      <c r="EY1267"/>
    </row>
    <row r="1268" spans="121:155" ht="15" customHeight="1" x14ac:dyDescent="0.25">
      <c r="DQ1268" s="99"/>
      <c r="DR1268" s="99"/>
      <c r="EW1268"/>
      <c r="EX1268"/>
      <c r="EY1268"/>
    </row>
    <row r="1269" spans="121:155" ht="15" customHeight="1" x14ac:dyDescent="0.25">
      <c r="DQ1269" s="99"/>
      <c r="DR1269" s="99"/>
      <c r="EW1269"/>
      <c r="EX1269"/>
      <c r="EY1269"/>
    </row>
    <row r="1270" spans="121:155" ht="15" customHeight="1" x14ac:dyDescent="0.25">
      <c r="DQ1270" s="99"/>
      <c r="DR1270" s="99"/>
      <c r="EW1270"/>
      <c r="EX1270"/>
      <c r="EY1270"/>
    </row>
    <row r="1271" spans="121:155" ht="15" customHeight="1" x14ac:dyDescent="0.25">
      <c r="DQ1271" s="99"/>
      <c r="DR1271" s="99"/>
      <c r="EW1271"/>
      <c r="EX1271"/>
      <c r="EY1271"/>
    </row>
    <row r="1272" spans="121:155" ht="15" customHeight="1" x14ac:dyDescent="0.25">
      <c r="DQ1272" s="99"/>
      <c r="DR1272" s="99"/>
      <c r="EW1272"/>
      <c r="EX1272"/>
      <c r="EY1272"/>
    </row>
    <row r="1273" spans="121:155" ht="15" customHeight="1" x14ac:dyDescent="0.25">
      <c r="DQ1273" s="99"/>
      <c r="DR1273" s="99"/>
      <c r="EW1273"/>
      <c r="EX1273"/>
      <c r="EY1273"/>
    </row>
    <row r="1274" spans="121:155" ht="15" customHeight="1" x14ac:dyDescent="0.25">
      <c r="DQ1274" s="99"/>
      <c r="DR1274" s="99"/>
      <c r="EW1274"/>
      <c r="EX1274"/>
      <c r="EY1274"/>
    </row>
    <row r="1275" spans="121:155" ht="15" customHeight="1" x14ac:dyDescent="0.25">
      <c r="DQ1275" s="99"/>
      <c r="DR1275" s="99"/>
      <c r="EW1275"/>
      <c r="EX1275"/>
      <c r="EY1275"/>
    </row>
    <row r="1276" spans="121:155" ht="15" customHeight="1" x14ac:dyDescent="0.25">
      <c r="DQ1276" s="99"/>
      <c r="DR1276" s="99"/>
      <c r="EW1276"/>
      <c r="EX1276"/>
      <c r="EY1276"/>
    </row>
    <row r="1277" spans="121:155" ht="15" customHeight="1" x14ac:dyDescent="0.25">
      <c r="DQ1277" s="99"/>
      <c r="DR1277" s="99"/>
      <c r="EW1277"/>
      <c r="EX1277"/>
      <c r="EY1277"/>
    </row>
    <row r="1278" spans="121:155" ht="15" customHeight="1" x14ac:dyDescent="0.25">
      <c r="DQ1278" s="99"/>
      <c r="DR1278" s="99"/>
      <c r="EW1278"/>
      <c r="EX1278"/>
      <c r="EY1278"/>
    </row>
    <row r="1279" spans="121:155" ht="15" customHeight="1" x14ac:dyDescent="0.25">
      <c r="DQ1279" s="99"/>
      <c r="DR1279" s="99"/>
      <c r="EW1279"/>
      <c r="EX1279"/>
      <c r="EY1279"/>
    </row>
    <row r="1280" spans="121:155" ht="15" customHeight="1" x14ac:dyDescent="0.25">
      <c r="DQ1280" s="99"/>
      <c r="DR1280" s="99"/>
      <c r="EW1280"/>
      <c r="EX1280"/>
      <c r="EY1280"/>
    </row>
    <row r="1281" spans="121:155" ht="15" customHeight="1" x14ac:dyDescent="0.25">
      <c r="DQ1281" s="99"/>
      <c r="DR1281" s="99"/>
      <c r="EW1281"/>
      <c r="EX1281"/>
      <c r="EY1281"/>
    </row>
    <row r="1282" spans="121:155" ht="15" customHeight="1" x14ac:dyDescent="0.25">
      <c r="DQ1282" s="99"/>
      <c r="DR1282" s="99"/>
      <c r="EW1282"/>
      <c r="EX1282"/>
      <c r="EY1282"/>
    </row>
    <row r="1283" spans="121:155" ht="15" customHeight="1" x14ac:dyDescent="0.25">
      <c r="DQ1283" s="99"/>
      <c r="DR1283" s="99"/>
      <c r="EW1283"/>
      <c r="EX1283"/>
      <c r="EY1283"/>
    </row>
    <row r="1284" spans="121:155" ht="15" customHeight="1" x14ac:dyDescent="0.25">
      <c r="DQ1284" s="99"/>
      <c r="DR1284" s="99"/>
      <c r="EW1284"/>
      <c r="EX1284"/>
      <c r="EY1284"/>
    </row>
    <row r="1285" spans="121:155" ht="15" customHeight="1" x14ac:dyDescent="0.25">
      <c r="DQ1285" s="99"/>
      <c r="DR1285" s="99"/>
      <c r="EW1285"/>
      <c r="EX1285"/>
      <c r="EY1285"/>
    </row>
    <row r="1286" spans="121:155" ht="15" customHeight="1" x14ac:dyDescent="0.25">
      <c r="DQ1286" s="99"/>
      <c r="DR1286" s="99"/>
      <c r="EW1286"/>
      <c r="EX1286"/>
      <c r="EY1286"/>
    </row>
    <row r="1287" spans="121:155" ht="15" customHeight="1" x14ac:dyDescent="0.25">
      <c r="DQ1287" s="99"/>
      <c r="DR1287" s="99"/>
      <c r="EW1287"/>
      <c r="EX1287"/>
      <c r="EY1287"/>
    </row>
    <row r="1288" spans="121:155" ht="15" customHeight="1" x14ac:dyDescent="0.25">
      <c r="DQ1288" s="99"/>
      <c r="DR1288" s="99"/>
      <c r="EW1288"/>
      <c r="EX1288"/>
      <c r="EY1288"/>
    </row>
    <row r="1289" spans="121:155" ht="15" customHeight="1" x14ac:dyDescent="0.25">
      <c r="DQ1289" s="99"/>
      <c r="DR1289" s="99"/>
      <c r="EW1289"/>
      <c r="EX1289"/>
      <c r="EY1289"/>
    </row>
    <row r="1290" spans="121:155" ht="15" customHeight="1" x14ac:dyDescent="0.25">
      <c r="DQ1290" s="99"/>
      <c r="DR1290" s="99"/>
      <c r="EW1290"/>
      <c r="EX1290"/>
      <c r="EY1290"/>
    </row>
    <row r="1291" spans="121:155" ht="15" customHeight="1" x14ac:dyDescent="0.25">
      <c r="DQ1291" s="99"/>
      <c r="DR1291" s="99"/>
      <c r="EW1291"/>
      <c r="EX1291"/>
      <c r="EY1291"/>
    </row>
    <row r="1292" spans="121:155" ht="15" customHeight="1" x14ac:dyDescent="0.25">
      <c r="DQ1292" s="99"/>
      <c r="DR1292" s="99"/>
      <c r="EW1292"/>
      <c r="EX1292"/>
      <c r="EY1292"/>
    </row>
    <row r="1293" spans="121:155" ht="15" customHeight="1" x14ac:dyDescent="0.25">
      <c r="DQ1293" s="99"/>
      <c r="DR1293" s="99"/>
      <c r="EW1293"/>
      <c r="EX1293"/>
      <c r="EY1293"/>
    </row>
    <row r="1294" spans="121:155" ht="15" customHeight="1" x14ac:dyDescent="0.25">
      <c r="DQ1294" s="99"/>
      <c r="DR1294" s="99"/>
      <c r="EW1294"/>
      <c r="EX1294"/>
      <c r="EY1294"/>
    </row>
    <row r="1295" spans="121:155" ht="15" customHeight="1" x14ac:dyDescent="0.25">
      <c r="DQ1295" s="99"/>
      <c r="DR1295" s="99"/>
      <c r="EW1295"/>
      <c r="EX1295"/>
      <c r="EY1295"/>
    </row>
    <row r="1296" spans="121:155" ht="15" customHeight="1" x14ac:dyDescent="0.25">
      <c r="DQ1296" s="99"/>
      <c r="DR1296" s="99"/>
      <c r="EW1296"/>
      <c r="EX1296"/>
      <c r="EY1296"/>
    </row>
    <row r="1297" spans="121:155" ht="15" customHeight="1" x14ac:dyDescent="0.25">
      <c r="DQ1297" s="99"/>
      <c r="DR1297" s="99"/>
      <c r="EW1297"/>
      <c r="EX1297"/>
      <c r="EY1297"/>
    </row>
    <row r="1298" spans="121:155" ht="15" customHeight="1" x14ac:dyDescent="0.25">
      <c r="DQ1298" s="99"/>
      <c r="DR1298" s="99"/>
      <c r="EW1298"/>
      <c r="EX1298"/>
      <c r="EY1298"/>
    </row>
    <row r="1299" spans="121:155" ht="15" customHeight="1" x14ac:dyDescent="0.25">
      <c r="DQ1299" s="99"/>
      <c r="DR1299" s="99"/>
      <c r="EW1299"/>
      <c r="EX1299"/>
      <c r="EY1299"/>
    </row>
    <row r="1300" spans="121:155" ht="15" customHeight="1" x14ac:dyDescent="0.25">
      <c r="DQ1300" s="99"/>
      <c r="DR1300" s="99"/>
      <c r="EW1300"/>
      <c r="EX1300"/>
      <c r="EY1300"/>
    </row>
    <row r="1301" spans="121:155" ht="15" customHeight="1" x14ac:dyDescent="0.25">
      <c r="DQ1301" s="99"/>
      <c r="DR1301" s="99"/>
      <c r="EW1301"/>
      <c r="EX1301"/>
      <c r="EY1301"/>
    </row>
    <row r="1302" spans="121:155" ht="15" customHeight="1" x14ac:dyDescent="0.25">
      <c r="DQ1302" s="99"/>
      <c r="DR1302" s="99"/>
      <c r="EW1302"/>
      <c r="EX1302"/>
      <c r="EY1302"/>
    </row>
    <row r="1303" spans="121:155" ht="15" customHeight="1" x14ac:dyDescent="0.25">
      <c r="DQ1303" s="99"/>
      <c r="DR1303" s="99"/>
      <c r="EW1303"/>
      <c r="EX1303"/>
      <c r="EY1303"/>
    </row>
    <row r="1304" spans="121:155" ht="15" customHeight="1" x14ac:dyDescent="0.25">
      <c r="DQ1304" s="99"/>
      <c r="DR1304" s="99"/>
      <c r="EW1304"/>
      <c r="EX1304"/>
      <c r="EY1304"/>
    </row>
    <row r="1305" spans="121:155" ht="15" customHeight="1" x14ac:dyDescent="0.25">
      <c r="DQ1305" s="99"/>
      <c r="DR1305" s="99"/>
      <c r="EW1305"/>
      <c r="EX1305"/>
      <c r="EY1305"/>
    </row>
    <row r="1306" spans="121:155" ht="15" customHeight="1" x14ac:dyDescent="0.25">
      <c r="DQ1306" s="99"/>
      <c r="DR1306" s="99"/>
      <c r="EW1306"/>
      <c r="EX1306"/>
      <c r="EY1306"/>
    </row>
    <row r="1307" spans="121:155" ht="15" customHeight="1" x14ac:dyDescent="0.25">
      <c r="DQ1307" s="99"/>
      <c r="DR1307" s="99"/>
      <c r="EW1307"/>
      <c r="EX1307"/>
      <c r="EY1307"/>
    </row>
    <row r="1308" spans="121:155" ht="15" customHeight="1" x14ac:dyDescent="0.25">
      <c r="DQ1308" s="99"/>
      <c r="DR1308" s="99"/>
      <c r="EW1308"/>
      <c r="EX1308"/>
      <c r="EY1308"/>
    </row>
    <row r="1309" spans="121:155" ht="15" customHeight="1" x14ac:dyDescent="0.25">
      <c r="DQ1309" s="99"/>
      <c r="DR1309" s="99"/>
      <c r="EW1309"/>
      <c r="EX1309"/>
      <c r="EY1309"/>
    </row>
    <row r="1310" spans="121:155" ht="15" customHeight="1" x14ac:dyDescent="0.25">
      <c r="DQ1310" s="99"/>
      <c r="DR1310" s="99"/>
      <c r="EW1310"/>
      <c r="EX1310"/>
      <c r="EY1310"/>
    </row>
    <row r="1311" spans="121:155" ht="15" customHeight="1" x14ac:dyDescent="0.25">
      <c r="DQ1311" s="99"/>
      <c r="DR1311" s="99"/>
      <c r="EW1311"/>
      <c r="EX1311"/>
      <c r="EY1311"/>
    </row>
    <row r="1312" spans="121:155" ht="15" customHeight="1" x14ac:dyDescent="0.25">
      <c r="DQ1312" s="99"/>
      <c r="DR1312" s="99"/>
      <c r="EW1312"/>
      <c r="EX1312"/>
      <c r="EY1312"/>
    </row>
    <row r="1313" spans="121:155" ht="15" customHeight="1" x14ac:dyDescent="0.25">
      <c r="DQ1313" s="99"/>
      <c r="DR1313" s="99"/>
      <c r="EW1313"/>
      <c r="EX1313"/>
      <c r="EY1313"/>
    </row>
    <row r="1314" spans="121:155" ht="15" customHeight="1" x14ac:dyDescent="0.25">
      <c r="DQ1314" s="99"/>
      <c r="DR1314" s="99"/>
      <c r="EW1314"/>
      <c r="EX1314"/>
      <c r="EY1314"/>
    </row>
    <row r="1315" spans="121:155" ht="15" customHeight="1" x14ac:dyDescent="0.25">
      <c r="DQ1315" s="99"/>
      <c r="DR1315" s="99"/>
      <c r="EW1315"/>
      <c r="EX1315"/>
      <c r="EY1315"/>
    </row>
    <row r="1316" spans="121:155" ht="15" customHeight="1" x14ac:dyDescent="0.25">
      <c r="DQ1316" s="99"/>
      <c r="DR1316" s="99"/>
      <c r="EW1316"/>
      <c r="EX1316"/>
      <c r="EY1316"/>
    </row>
    <row r="1317" spans="121:155" ht="15" customHeight="1" x14ac:dyDescent="0.25">
      <c r="DQ1317" s="99"/>
      <c r="DR1317" s="99"/>
      <c r="EW1317"/>
      <c r="EX1317"/>
      <c r="EY1317"/>
    </row>
    <row r="1318" spans="121:155" ht="15" customHeight="1" x14ac:dyDescent="0.25">
      <c r="DQ1318" s="99"/>
      <c r="DR1318" s="99"/>
      <c r="EW1318"/>
      <c r="EX1318"/>
      <c r="EY1318"/>
    </row>
    <row r="1319" spans="121:155" ht="15" customHeight="1" x14ac:dyDescent="0.25">
      <c r="DQ1319" s="99"/>
      <c r="DR1319" s="99"/>
      <c r="EW1319"/>
      <c r="EX1319"/>
      <c r="EY1319"/>
    </row>
    <row r="1320" spans="121:155" ht="15" customHeight="1" x14ac:dyDescent="0.25">
      <c r="DQ1320" s="99"/>
      <c r="DR1320" s="99"/>
      <c r="EW1320"/>
      <c r="EX1320"/>
      <c r="EY1320"/>
    </row>
    <row r="1321" spans="121:155" ht="15" customHeight="1" x14ac:dyDescent="0.25">
      <c r="DQ1321" s="99"/>
      <c r="DR1321" s="99"/>
      <c r="EW1321"/>
      <c r="EX1321"/>
      <c r="EY1321"/>
    </row>
    <row r="1322" spans="121:155" ht="15" customHeight="1" x14ac:dyDescent="0.25">
      <c r="DQ1322" s="99"/>
      <c r="DR1322" s="99"/>
      <c r="EW1322"/>
      <c r="EX1322"/>
      <c r="EY1322"/>
    </row>
    <row r="1323" spans="121:155" ht="15" customHeight="1" x14ac:dyDescent="0.25">
      <c r="DQ1323" s="99"/>
      <c r="DR1323" s="99"/>
      <c r="EW1323"/>
      <c r="EX1323"/>
      <c r="EY1323"/>
    </row>
    <row r="1324" spans="121:155" ht="15" customHeight="1" x14ac:dyDescent="0.25">
      <c r="DQ1324" s="99"/>
      <c r="DR1324" s="99"/>
      <c r="EW1324"/>
      <c r="EX1324"/>
      <c r="EY1324"/>
    </row>
    <row r="1325" spans="121:155" ht="15" customHeight="1" x14ac:dyDescent="0.25">
      <c r="DQ1325" s="99"/>
      <c r="DR1325" s="99"/>
      <c r="EW1325"/>
      <c r="EX1325"/>
      <c r="EY1325"/>
    </row>
    <row r="1326" spans="121:155" ht="15" customHeight="1" x14ac:dyDescent="0.25">
      <c r="DQ1326" s="99"/>
      <c r="DR1326" s="99"/>
      <c r="EW1326"/>
      <c r="EX1326"/>
      <c r="EY1326"/>
    </row>
    <row r="1327" spans="121:155" ht="15" customHeight="1" x14ac:dyDescent="0.25">
      <c r="DQ1327" s="99"/>
      <c r="DR1327" s="99"/>
      <c r="EW1327"/>
      <c r="EX1327"/>
      <c r="EY1327"/>
    </row>
    <row r="1328" spans="121:155" ht="15" customHeight="1" x14ac:dyDescent="0.25">
      <c r="DQ1328" s="99"/>
      <c r="DR1328" s="99"/>
      <c r="EW1328"/>
      <c r="EX1328"/>
      <c r="EY1328"/>
    </row>
    <row r="1329" spans="121:155" ht="15" customHeight="1" x14ac:dyDescent="0.25">
      <c r="DQ1329" s="99"/>
      <c r="DR1329" s="99"/>
      <c r="EW1329"/>
      <c r="EX1329"/>
      <c r="EY1329"/>
    </row>
    <row r="1330" spans="121:155" ht="15" customHeight="1" x14ac:dyDescent="0.25">
      <c r="DQ1330" s="99"/>
      <c r="DR1330" s="99"/>
      <c r="EW1330"/>
      <c r="EX1330"/>
      <c r="EY1330"/>
    </row>
    <row r="1331" spans="121:155" ht="15" customHeight="1" x14ac:dyDescent="0.25">
      <c r="DQ1331" s="99"/>
      <c r="DR1331" s="99"/>
      <c r="EW1331"/>
      <c r="EX1331"/>
      <c r="EY1331"/>
    </row>
    <row r="1332" spans="121:155" ht="15" customHeight="1" x14ac:dyDescent="0.25">
      <c r="DQ1332" s="99"/>
      <c r="DR1332" s="99"/>
      <c r="EW1332"/>
      <c r="EX1332"/>
      <c r="EY1332"/>
    </row>
    <row r="1333" spans="121:155" ht="15" customHeight="1" x14ac:dyDescent="0.25">
      <c r="DQ1333" s="99"/>
      <c r="DR1333" s="99"/>
      <c r="EW1333"/>
      <c r="EX1333"/>
      <c r="EY1333"/>
    </row>
    <row r="1334" spans="121:155" ht="15" customHeight="1" x14ac:dyDescent="0.25">
      <c r="DQ1334" s="99"/>
      <c r="DR1334" s="99"/>
      <c r="EW1334"/>
      <c r="EX1334"/>
      <c r="EY1334"/>
    </row>
    <row r="1335" spans="121:155" ht="15" customHeight="1" x14ac:dyDescent="0.25">
      <c r="DQ1335" s="99"/>
      <c r="DR1335" s="99"/>
      <c r="EW1335"/>
      <c r="EX1335"/>
      <c r="EY1335"/>
    </row>
    <row r="1336" spans="121:155" ht="15" customHeight="1" x14ac:dyDescent="0.25">
      <c r="DQ1336" s="99"/>
      <c r="DR1336" s="99"/>
      <c r="EW1336"/>
      <c r="EX1336"/>
      <c r="EY1336"/>
    </row>
    <row r="1337" spans="121:155" ht="15" customHeight="1" x14ac:dyDescent="0.25">
      <c r="DQ1337" s="99"/>
      <c r="DR1337" s="99"/>
      <c r="EW1337"/>
      <c r="EX1337"/>
      <c r="EY1337"/>
    </row>
    <row r="1338" spans="121:155" ht="15" customHeight="1" x14ac:dyDescent="0.25">
      <c r="DQ1338" s="99"/>
      <c r="DR1338" s="99"/>
      <c r="EW1338"/>
      <c r="EX1338"/>
      <c r="EY1338"/>
    </row>
    <row r="1339" spans="121:155" ht="15" customHeight="1" x14ac:dyDescent="0.25">
      <c r="DQ1339" s="99"/>
      <c r="DR1339" s="99"/>
      <c r="EW1339"/>
      <c r="EX1339"/>
      <c r="EY1339"/>
    </row>
    <row r="1340" spans="121:155" ht="15" customHeight="1" x14ac:dyDescent="0.25">
      <c r="DQ1340" s="99"/>
      <c r="DR1340" s="99"/>
      <c r="EW1340"/>
      <c r="EX1340"/>
      <c r="EY1340"/>
    </row>
    <row r="1341" spans="121:155" ht="15" customHeight="1" x14ac:dyDescent="0.25">
      <c r="DQ1341" s="99"/>
      <c r="DR1341" s="99"/>
      <c r="EW1341"/>
      <c r="EX1341"/>
      <c r="EY1341"/>
    </row>
    <row r="1342" spans="121:155" ht="15" customHeight="1" x14ac:dyDescent="0.25">
      <c r="DQ1342" s="99"/>
      <c r="DR1342" s="99"/>
      <c r="EW1342"/>
      <c r="EX1342"/>
      <c r="EY1342"/>
    </row>
    <row r="1343" spans="121:155" ht="15" customHeight="1" x14ac:dyDescent="0.25">
      <c r="DQ1343" s="99"/>
      <c r="DR1343" s="99"/>
      <c r="EW1343"/>
      <c r="EX1343"/>
      <c r="EY1343"/>
    </row>
    <row r="1344" spans="121:155" ht="15" customHeight="1" x14ac:dyDescent="0.25">
      <c r="DQ1344" s="99"/>
      <c r="DR1344" s="99"/>
      <c r="EW1344"/>
      <c r="EX1344"/>
      <c r="EY1344"/>
    </row>
    <row r="1345" spans="121:155" ht="15" customHeight="1" x14ac:dyDescent="0.25">
      <c r="DQ1345" s="99"/>
      <c r="DR1345" s="99"/>
      <c r="EW1345"/>
      <c r="EX1345"/>
      <c r="EY1345"/>
    </row>
    <row r="1346" spans="121:155" ht="15" customHeight="1" x14ac:dyDescent="0.25">
      <c r="DQ1346" s="99"/>
      <c r="DR1346" s="99"/>
      <c r="EW1346"/>
      <c r="EX1346"/>
      <c r="EY1346"/>
    </row>
    <row r="1347" spans="121:155" ht="15" customHeight="1" x14ac:dyDescent="0.25">
      <c r="DQ1347" s="99"/>
      <c r="DR1347" s="99"/>
      <c r="EW1347"/>
      <c r="EX1347"/>
      <c r="EY1347"/>
    </row>
    <row r="1348" spans="121:155" ht="15" customHeight="1" x14ac:dyDescent="0.25">
      <c r="DQ1348" s="99"/>
      <c r="DR1348" s="99"/>
      <c r="EW1348"/>
      <c r="EX1348"/>
      <c r="EY1348"/>
    </row>
    <row r="1349" spans="121:155" ht="15" customHeight="1" x14ac:dyDescent="0.25">
      <c r="DQ1349" s="99"/>
      <c r="DR1349" s="99"/>
      <c r="EW1349"/>
      <c r="EX1349"/>
      <c r="EY1349"/>
    </row>
    <row r="1350" spans="121:155" ht="15" customHeight="1" x14ac:dyDescent="0.25">
      <c r="DQ1350" s="99"/>
      <c r="DR1350" s="99"/>
      <c r="EW1350"/>
      <c r="EX1350"/>
      <c r="EY1350"/>
    </row>
    <row r="1351" spans="121:155" ht="15" customHeight="1" x14ac:dyDescent="0.25">
      <c r="DQ1351" s="99"/>
      <c r="DR1351" s="99"/>
      <c r="EW1351"/>
      <c r="EX1351"/>
      <c r="EY1351"/>
    </row>
    <row r="1352" spans="121:155" ht="15" customHeight="1" x14ac:dyDescent="0.25">
      <c r="DQ1352" s="99"/>
      <c r="DR1352" s="99"/>
      <c r="EW1352"/>
      <c r="EX1352"/>
      <c r="EY1352"/>
    </row>
    <row r="1353" spans="121:155" ht="15" customHeight="1" x14ac:dyDescent="0.25">
      <c r="DQ1353" s="99"/>
      <c r="DR1353" s="99"/>
      <c r="EW1353"/>
      <c r="EX1353"/>
      <c r="EY1353"/>
    </row>
    <row r="1354" spans="121:155" ht="15" customHeight="1" x14ac:dyDescent="0.25">
      <c r="DQ1354" s="99"/>
      <c r="DR1354" s="99"/>
      <c r="EW1354"/>
      <c r="EX1354"/>
      <c r="EY1354"/>
    </row>
    <row r="1355" spans="121:155" ht="15" customHeight="1" x14ac:dyDescent="0.25">
      <c r="DQ1355" s="99"/>
      <c r="DR1355" s="99"/>
      <c r="EW1355"/>
      <c r="EX1355"/>
      <c r="EY1355"/>
    </row>
    <row r="1356" spans="121:155" ht="15" customHeight="1" x14ac:dyDescent="0.25">
      <c r="DQ1356" s="99"/>
      <c r="DR1356" s="99"/>
      <c r="EW1356"/>
      <c r="EX1356"/>
      <c r="EY1356"/>
    </row>
    <row r="1357" spans="121:155" ht="15" customHeight="1" x14ac:dyDescent="0.25">
      <c r="DQ1357" s="99"/>
      <c r="DR1357" s="99"/>
      <c r="EW1357"/>
      <c r="EX1357"/>
      <c r="EY1357"/>
    </row>
    <row r="1358" spans="121:155" ht="15" customHeight="1" x14ac:dyDescent="0.25">
      <c r="DQ1358" s="99"/>
      <c r="DR1358" s="99"/>
      <c r="EW1358"/>
      <c r="EX1358"/>
      <c r="EY1358"/>
    </row>
    <row r="1359" spans="121:155" ht="15" customHeight="1" x14ac:dyDescent="0.25">
      <c r="DQ1359" s="99"/>
      <c r="DR1359" s="99"/>
      <c r="EW1359"/>
      <c r="EX1359"/>
      <c r="EY1359"/>
    </row>
    <row r="1360" spans="121:155" ht="15" customHeight="1" x14ac:dyDescent="0.25">
      <c r="DQ1360" s="99"/>
      <c r="DR1360" s="99"/>
      <c r="EW1360"/>
      <c r="EX1360"/>
      <c r="EY1360"/>
    </row>
    <row r="1361" spans="121:155" ht="15" customHeight="1" x14ac:dyDescent="0.25">
      <c r="DQ1361" s="99"/>
      <c r="DR1361" s="99"/>
      <c r="EW1361"/>
      <c r="EX1361"/>
      <c r="EY1361"/>
    </row>
    <row r="1362" spans="121:155" ht="15" customHeight="1" x14ac:dyDescent="0.25">
      <c r="DQ1362" s="99"/>
      <c r="DR1362" s="99"/>
      <c r="EW1362"/>
      <c r="EX1362"/>
      <c r="EY1362"/>
    </row>
    <row r="1363" spans="121:155" ht="15" customHeight="1" x14ac:dyDescent="0.25">
      <c r="DQ1363" s="99"/>
      <c r="DR1363" s="99"/>
      <c r="EW1363"/>
      <c r="EX1363"/>
      <c r="EY1363"/>
    </row>
    <row r="1364" spans="121:155" ht="15" customHeight="1" x14ac:dyDescent="0.25">
      <c r="DQ1364" s="99"/>
      <c r="DR1364" s="99"/>
      <c r="EW1364"/>
      <c r="EX1364"/>
      <c r="EY1364"/>
    </row>
    <row r="1365" spans="121:155" ht="15" customHeight="1" x14ac:dyDescent="0.25">
      <c r="DQ1365" s="99"/>
      <c r="DR1365" s="99"/>
      <c r="EW1365"/>
      <c r="EX1365"/>
      <c r="EY1365"/>
    </row>
    <row r="1366" spans="121:155" ht="15" customHeight="1" x14ac:dyDescent="0.25">
      <c r="DQ1366" s="99"/>
      <c r="DR1366" s="99"/>
      <c r="EW1366"/>
      <c r="EX1366"/>
      <c r="EY1366"/>
    </row>
    <row r="1367" spans="121:155" ht="15" customHeight="1" x14ac:dyDescent="0.25">
      <c r="DQ1367" s="99"/>
      <c r="DR1367" s="99"/>
      <c r="EW1367"/>
      <c r="EX1367"/>
      <c r="EY1367"/>
    </row>
    <row r="1368" spans="121:155" ht="15" customHeight="1" x14ac:dyDescent="0.25">
      <c r="DQ1368" s="99"/>
      <c r="DR1368" s="99"/>
      <c r="EW1368"/>
      <c r="EX1368"/>
      <c r="EY1368"/>
    </row>
    <row r="1369" spans="121:155" ht="15" customHeight="1" x14ac:dyDescent="0.25">
      <c r="DQ1369" s="99"/>
      <c r="DR1369" s="99"/>
      <c r="EW1369"/>
      <c r="EX1369"/>
      <c r="EY1369"/>
    </row>
    <row r="1370" spans="121:155" ht="15" customHeight="1" x14ac:dyDescent="0.25">
      <c r="DQ1370" s="99"/>
      <c r="DR1370" s="99"/>
      <c r="EW1370"/>
      <c r="EX1370"/>
      <c r="EY1370"/>
    </row>
    <row r="1371" spans="121:155" ht="15" customHeight="1" x14ac:dyDescent="0.25">
      <c r="DQ1371" s="99"/>
      <c r="DR1371" s="99"/>
      <c r="EW1371"/>
      <c r="EX1371"/>
      <c r="EY1371"/>
    </row>
    <row r="1372" spans="121:155" ht="15" customHeight="1" x14ac:dyDescent="0.25">
      <c r="DQ1372" s="99"/>
      <c r="DR1372" s="99"/>
      <c r="EW1372"/>
      <c r="EX1372"/>
      <c r="EY1372"/>
    </row>
    <row r="1373" spans="121:155" ht="15" customHeight="1" x14ac:dyDescent="0.25">
      <c r="DQ1373" s="99"/>
      <c r="DR1373" s="99"/>
      <c r="EW1373"/>
      <c r="EX1373"/>
      <c r="EY1373"/>
    </row>
    <row r="1374" spans="121:155" ht="15" customHeight="1" x14ac:dyDescent="0.25">
      <c r="DQ1374" s="99"/>
      <c r="DR1374" s="99"/>
      <c r="EW1374"/>
      <c r="EX1374"/>
      <c r="EY1374"/>
    </row>
    <row r="1375" spans="121:155" ht="15" customHeight="1" x14ac:dyDescent="0.25">
      <c r="DQ1375" s="99"/>
      <c r="DR1375" s="99"/>
      <c r="EW1375"/>
      <c r="EX1375"/>
      <c r="EY1375"/>
    </row>
    <row r="1376" spans="121:155" ht="15" customHeight="1" x14ac:dyDescent="0.25">
      <c r="DQ1376" s="99"/>
      <c r="DR1376" s="99"/>
      <c r="EW1376"/>
      <c r="EX1376"/>
      <c r="EY1376"/>
    </row>
    <row r="1377" spans="121:155" ht="15" customHeight="1" x14ac:dyDescent="0.25">
      <c r="DQ1377" s="99"/>
      <c r="DR1377" s="99"/>
      <c r="EW1377"/>
      <c r="EX1377"/>
      <c r="EY1377"/>
    </row>
    <row r="1378" spans="121:155" ht="15" customHeight="1" x14ac:dyDescent="0.25">
      <c r="DQ1378" s="99"/>
      <c r="DR1378" s="99"/>
      <c r="EW1378"/>
      <c r="EX1378"/>
      <c r="EY1378"/>
    </row>
    <row r="1379" spans="121:155" ht="15" customHeight="1" x14ac:dyDescent="0.25">
      <c r="DQ1379" s="99"/>
      <c r="DR1379" s="99"/>
      <c r="EW1379"/>
      <c r="EX1379"/>
      <c r="EY1379"/>
    </row>
    <row r="1380" spans="121:155" ht="15" customHeight="1" x14ac:dyDescent="0.25">
      <c r="DQ1380" s="99"/>
      <c r="DR1380" s="99"/>
      <c r="EW1380"/>
      <c r="EX1380"/>
      <c r="EY1380"/>
    </row>
    <row r="1381" spans="121:155" ht="15" customHeight="1" x14ac:dyDescent="0.25">
      <c r="DQ1381" s="99"/>
      <c r="DR1381" s="99"/>
      <c r="EW1381"/>
      <c r="EX1381"/>
      <c r="EY1381"/>
    </row>
    <row r="1382" spans="121:155" ht="15" customHeight="1" x14ac:dyDescent="0.25">
      <c r="DQ1382" s="99"/>
      <c r="DR1382" s="99"/>
      <c r="EW1382"/>
      <c r="EX1382"/>
      <c r="EY1382"/>
    </row>
    <row r="1383" spans="121:155" ht="15" customHeight="1" x14ac:dyDescent="0.25">
      <c r="DQ1383" s="99"/>
      <c r="DR1383" s="99"/>
      <c r="EW1383"/>
      <c r="EX1383"/>
      <c r="EY1383"/>
    </row>
    <row r="1384" spans="121:155" ht="15" customHeight="1" x14ac:dyDescent="0.25">
      <c r="DQ1384" s="99"/>
      <c r="DR1384" s="99"/>
      <c r="EW1384"/>
      <c r="EX1384"/>
      <c r="EY1384"/>
    </row>
    <row r="1385" spans="121:155" ht="15" customHeight="1" x14ac:dyDescent="0.25">
      <c r="DQ1385" s="99"/>
      <c r="DR1385" s="99"/>
      <c r="EW1385"/>
      <c r="EX1385"/>
      <c r="EY1385"/>
    </row>
    <row r="1386" spans="121:155" ht="15" customHeight="1" x14ac:dyDescent="0.25">
      <c r="DQ1386" s="99"/>
      <c r="DR1386" s="99"/>
      <c r="EW1386"/>
      <c r="EX1386"/>
      <c r="EY1386"/>
    </row>
    <row r="1387" spans="121:155" ht="15" customHeight="1" x14ac:dyDescent="0.25">
      <c r="DQ1387" s="99"/>
      <c r="DR1387" s="99"/>
      <c r="EW1387"/>
      <c r="EX1387"/>
      <c r="EY1387"/>
    </row>
    <row r="1388" spans="121:155" ht="15" customHeight="1" x14ac:dyDescent="0.25">
      <c r="DQ1388" s="99"/>
      <c r="DR1388" s="99"/>
      <c r="EW1388"/>
      <c r="EX1388"/>
      <c r="EY1388"/>
    </row>
    <row r="1389" spans="121:155" ht="15" customHeight="1" x14ac:dyDescent="0.25">
      <c r="DQ1389" s="99"/>
      <c r="DR1389" s="99"/>
      <c r="EW1389"/>
      <c r="EX1389"/>
      <c r="EY1389"/>
    </row>
    <row r="1390" spans="121:155" ht="15" customHeight="1" x14ac:dyDescent="0.25">
      <c r="DQ1390" s="99"/>
      <c r="DR1390" s="99"/>
      <c r="EW1390"/>
      <c r="EX1390"/>
      <c r="EY1390"/>
    </row>
    <row r="1391" spans="121:155" ht="15" customHeight="1" x14ac:dyDescent="0.25">
      <c r="DQ1391" s="99"/>
      <c r="DR1391" s="99"/>
      <c r="EW1391"/>
      <c r="EX1391"/>
      <c r="EY1391"/>
    </row>
    <row r="1392" spans="121:155" ht="15" customHeight="1" x14ac:dyDescent="0.25">
      <c r="DQ1392" s="99"/>
      <c r="DR1392" s="99"/>
      <c r="EW1392"/>
      <c r="EX1392"/>
      <c r="EY1392"/>
    </row>
    <row r="1393" spans="121:155" ht="15" customHeight="1" x14ac:dyDescent="0.25">
      <c r="DQ1393" s="99"/>
      <c r="DR1393" s="99"/>
      <c r="EW1393"/>
      <c r="EX1393"/>
      <c r="EY1393"/>
    </row>
    <row r="1394" spans="121:155" ht="15" customHeight="1" x14ac:dyDescent="0.25">
      <c r="DQ1394" s="99"/>
      <c r="DR1394" s="99"/>
      <c r="EW1394"/>
      <c r="EX1394"/>
      <c r="EY1394"/>
    </row>
    <row r="1395" spans="121:155" ht="15" customHeight="1" x14ac:dyDescent="0.25">
      <c r="DQ1395" s="99"/>
      <c r="DR1395" s="99"/>
      <c r="EW1395"/>
      <c r="EX1395"/>
      <c r="EY1395"/>
    </row>
    <row r="1396" spans="121:155" ht="15" customHeight="1" x14ac:dyDescent="0.25">
      <c r="DQ1396" s="99"/>
      <c r="DR1396" s="99"/>
      <c r="EW1396"/>
      <c r="EX1396"/>
      <c r="EY1396"/>
    </row>
    <row r="1397" spans="121:155" ht="15" customHeight="1" x14ac:dyDescent="0.25">
      <c r="DQ1397" s="99"/>
      <c r="DR1397" s="99"/>
      <c r="EW1397"/>
      <c r="EX1397"/>
      <c r="EY1397"/>
    </row>
    <row r="1398" spans="121:155" ht="15" customHeight="1" x14ac:dyDescent="0.25">
      <c r="DQ1398" s="99"/>
      <c r="DR1398" s="99"/>
      <c r="EW1398"/>
      <c r="EX1398"/>
      <c r="EY1398"/>
    </row>
    <row r="1399" spans="121:155" ht="15" customHeight="1" x14ac:dyDescent="0.25">
      <c r="DQ1399" s="99"/>
      <c r="DR1399" s="99"/>
      <c r="EW1399"/>
      <c r="EX1399"/>
      <c r="EY1399"/>
    </row>
    <row r="1400" spans="121:155" ht="15" customHeight="1" x14ac:dyDescent="0.25">
      <c r="DQ1400" s="99"/>
      <c r="DR1400" s="99"/>
      <c r="EW1400"/>
      <c r="EX1400"/>
      <c r="EY1400"/>
    </row>
    <row r="1401" spans="121:155" ht="15" customHeight="1" x14ac:dyDescent="0.25">
      <c r="DQ1401" s="99"/>
      <c r="DR1401" s="99"/>
      <c r="EW1401"/>
      <c r="EX1401"/>
      <c r="EY1401"/>
    </row>
    <row r="1402" spans="121:155" ht="15" customHeight="1" x14ac:dyDescent="0.25">
      <c r="DQ1402" s="99"/>
      <c r="DR1402" s="99"/>
      <c r="EW1402"/>
      <c r="EX1402"/>
      <c r="EY1402"/>
    </row>
    <row r="1403" spans="121:155" ht="15" customHeight="1" x14ac:dyDescent="0.25">
      <c r="DQ1403" s="99"/>
      <c r="DR1403" s="99"/>
      <c r="EW1403"/>
      <c r="EX1403"/>
      <c r="EY1403"/>
    </row>
    <row r="1404" spans="121:155" ht="15" customHeight="1" x14ac:dyDescent="0.25">
      <c r="DQ1404" s="99"/>
      <c r="DR1404" s="99"/>
      <c r="EW1404"/>
      <c r="EX1404"/>
      <c r="EY1404"/>
    </row>
    <row r="1405" spans="121:155" ht="15" customHeight="1" x14ac:dyDescent="0.25">
      <c r="DQ1405" s="99"/>
      <c r="DR1405" s="99"/>
      <c r="EW1405"/>
      <c r="EX1405"/>
      <c r="EY1405"/>
    </row>
    <row r="1406" spans="121:155" ht="15" customHeight="1" x14ac:dyDescent="0.25">
      <c r="DQ1406" s="99"/>
      <c r="DR1406" s="99"/>
      <c r="EW1406"/>
      <c r="EX1406"/>
      <c r="EY1406"/>
    </row>
    <row r="1407" spans="121:155" ht="15" customHeight="1" x14ac:dyDescent="0.25">
      <c r="DQ1407" s="99"/>
      <c r="DR1407" s="99"/>
      <c r="EW1407"/>
      <c r="EX1407"/>
      <c r="EY1407"/>
    </row>
    <row r="1408" spans="121:155" ht="15" customHeight="1" x14ac:dyDescent="0.25">
      <c r="DQ1408" s="99"/>
      <c r="DR1408" s="99"/>
      <c r="EW1408"/>
      <c r="EX1408"/>
      <c r="EY1408"/>
    </row>
    <row r="1409" spans="121:155" ht="15" customHeight="1" x14ac:dyDescent="0.25">
      <c r="DQ1409" s="99"/>
      <c r="DR1409" s="99"/>
      <c r="EW1409"/>
      <c r="EX1409"/>
      <c r="EY1409"/>
    </row>
    <row r="1410" spans="121:155" ht="15" customHeight="1" x14ac:dyDescent="0.25">
      <c r="DQ1410" s="99"/>
      <c r="DR1410" s="99"/>
      <c r="EW1410"/>
      <c r="EX1410"/>
      <c r="EY1410"/>
    </row>
    <row r="1411" spans="121:155" ht="15" customHeight="1" x14ac:dyDescent="0.25">
      <c r="DQ1411" s="99"/>
      <c r="DR1411" s="99"/>
      <c r="EW1411"/>
      <c r="EX1411"/>
      <c r="EY1411"/>
    </row>
    <row r="1412" spans="121:155" ht="15" customHeight="1" x14ac:dyDescent="0.25">
      <c r="DQ1412" s="99"/>
      <c r="DR1412" s="99"/>
      <c r="EW1412"/>
      <c r="EX1412"/>
      <c r="EY1412"/>
    </row>
    <row r="1413" spans="121:155" ht="15" customHeight="1" x14ac:dyDescent="0.25">
      <c r="DQ1413" s="99"/>
      <c r="DR1413" s="99"/>
      <c r="EW1413"/>
      <c r="EX1413"/>
      <c r="EY1413"/>
    </row>
    <row r="1414" spans="121:155" ht="15" customHeight="1" x14ac:dyDescent="0.25">
      <c r="DQ1414" s="99"/>
      <c r="DR1414" s="99"/>
      <c r="EW1414"/>
      <c r="EX1414"/>
      <c r="EY1414"/>
    </row>
    <row r="1415" spans="121:155" ht="15" customHeight="1" x14ac:dyDescent="0.25">
      <c r="DQ1415" s="99"/>
      <c r="DR1415" s="99"/>
      <c r="EW1415"/>
      <c r="EX1415"/>
      <c r="EY1415"/>
    </row>
    <row r="1416" spans="121:155" ht="15" customHeight="1" x14ac:dyDescent="0.25">
      <c r="DQ1416" s="99"/>
      <c r="DR1416" s="99"/>
      <c r="EW1416"/>
      <c r="EX1416"/>
      <c r="EY1416"/>
    </row>
    <row r="1417" spans="121:155" ht="15" customHeight="1" x14ac:dyDescent="0.25">
      <c r="DQ1417" s="99"/>
      <c r="DR1417" s="99"/>
      <c r="EW1417"/>
      <c r="EX1417"/>
      <c r="EY1417"/>
    </row>
    <row r="1418" spans="121:155" ht="15" customHeight="1" x14ac:dyDescent="0.25">
      <c r="DQ1418" s="99"/>
      <c r="DR1418" s="99"/>
      <c r="EW1418"/>
      <c r="EX1418"/>
      <c r="EY1418"/>
    </row>
    <row r="1419" spans="121:155" ht="15" customHeight="1" x14ac:dyDescent="0.25">
      <c r="DQ1419" s="99"/>
      <c r="DR1419" s="99"/>
      <c r="EW1419"/>
      <c r="EX1419"/>
      <c r="EY1419"/>
    </row>
    <row r="1420" spans="121:155" ht="15" customHeight="1" x14ac:dyDescent="0.25">
      <c r="DQ1420" s="99"/>
      <c r="DR1420" s="99"/>
      <c r="EW1420"/>
      <c r="EX1420"/>
      <c r="EY1420"/>
    </row>
    <row r="1421" spans="121:155" ht="15" customHeight="1" x14ac:dyDescent="0.25">
      <c r="DQ1421" s="99"/>
      <c r="DR1421" s="99"/>
      <c r="EW1421"/>
      <c r="EX1421"/>
      <c r="EY1421"/>
    </row>
    <row r="1422" spans="121:155" ht="15" customHeight="1" x14ac:dyDescent="0.25">
      <c r="DQ1422" s="99"/>
      <c r="DR1422" s="99"/>
      <c r="EW1422"/>
      <c r="EX1422"/>
      <c r="EY1422"/>
    </row>
    <row r="1423" spans="121:155" ht="15" customHeight="1" x14ac:dyDescent="0.25">
      <c r="DQ1423" s="99"/>
      <c r="DR1423" s="99"/>
      <c r="EW1423"/>
      <c r="EX1423"/>
      <c r="EY1423"/>
    </row>
    <row r="1424" spans="121:155" ht="15" customHeight="1" x14ac:dyDescent="0.25">
      <c r="DQ1424" s="99"/>
      <c r="DR1424" s="99"/>
      <c r="EW1424"/>
      <c r="EX1424"/>
      <c r="EY1424"/>
    </row>
    <row r="1425" spans="121:155" ht="15" customHeight="1" x14ac:dyDescent="0.25">
      <c r="DQ1425" s="99"/>
      <c r="DR1425" s="99"/>
      <c r="EW1425"/>
      <c r="EX1425"/>
      <c r="EY1425"/>
    </row>
    <row r="1426" spans="121:155" ht="15" customHeight="1" x14ac:dyDescent="0.25">
      <c r="DQ1426" s="99"/>
      <c r="DR1426" s="99"/>
      <c r="EW1426"/>
      <c r="EX1426"/>
      <c r="EY1426"/>
    </row>
    <row r="1427" spans="121:155" ht="15" customHeight="1" x14ac:dyDescent="0.25">
      <c r="DQ1427" s="99"/>
      <c r="DR1427" s="99"/>
      <c r="EW1427"/>
      <c r="EX1427"/>
      <c r="EY1427"/>
    </row>
    <row r="1428" spans="121:155" ht="15" customHeight="1" x14ac:dyDescent="0.25">
      <c r="DQ1428" s="99"/>
      <c r="DR1428" s="99"/>
      <c r="EW1428"/>
      <c r="EX1428"/>
      <c r="EY1428"/>
    </row>
    <row r="1429" spans="121:155" ht="15" customHeight="1" x14ac:dyDescent="0.25">
      <c r="DQ1429" s="99"/>
      <c r="DR1429" s="99"/>
      <c r="EW1429"/>
      <c r="EX1429"/>
      <c r="EY1429"/>
    </row>
    <row r="1430" spans="121:155" ht="15" customHeight="1" x14ac:dyDescent="0.25">
      <c r="DQ1430" s="99"/>
      <c r="DR1430" s="99"/>
      <c r="EW1430"/>
      <c r="EX1430"/>
      <c r="EY1430"/>
    </row>
    <row r="1431" spans="121:155" ht="15" customHeight="1" x14ac:dyDescent="0.25">
      <c r="DQ1431" s="99"/>
      <c r="DR1431" s="99"/>
      <c r="EW1431"/>
      <c r="EX1431"/>
      <c r="EY1431"/>
    </row>
    <row r="1432" spans="121:155" ht="15" customHeight="1" x14ac:dyDescent="0.25">
      <c r="DQ1432" s="99"/>
      <c r="DR1432" s="99"/>
      <c r="EW1432"/>
      <c r="EX1432"/>
      <c r="EY1432"/>
    </row>
    <row r="1433" spans="121:155" ht="15" customHeight="1" x14ac:dyDescent="0.25">
      <c r="DQ1433" s="99"/>
      <c r="DR1433" s="99"/>
      <c r="EW1433"/>
      <c r="EX1433"/>
      <c r="EY1433"/>
    </row>
    <row r="1434" spans="121:155" ht="15" customHeight="1" x14ac:dyDescent="0.25">
      <c r="DQ1434" s="99"/>
      <c r="DR1434" s="99"/>
      <c r="EW1434"/>
      <c r="EX1434"/>
      <c r="EY1434"/>
    </row>
    <row r="1435" spans="121:155" ht="15" customHeight="1" x14ac:dyDescent="0.25">
      <c r="DQ1435" s="99"/>
      <c r="DR1435" s="99"/>
      <c r="EW1435"/>
      <c r="EX1435"/>
      <c r="EY1435"/>
    </row>
    <row r="1436" spans="121:155" ht="15" customHeight="1" x14ac:dyDescent="0.25">
      <c r="DQ1436" s="99"/>
      <c r="DR1436" s="99"/>
      <c r="EW1436"/>
      <c r="EX1436"/>
      <c r="EY1436"/>
    </row>
    <row r="1437" spans="121:155" ht="15" customHeight="1" x14ac:dyDescent="0.25">
      <c r="DQ1437" s="99"/>
      <c r="DR1437" s="99"/>
      <c r="EW1437"/>
      <c r="EX1437"/>
      <c r="EY1437"/>
    </row>
    <row r="1438" spans="121:155" ht="15" customHeight="1" x14ac:dyDescent="0.25">
      <c r="DQ1438" s="99"/>
      <c r="DR1438" s="99"/>
      <c r="EW1438"/>
      <c r="EX1438"/>
      <c r="EY1438"/>
    </row>
    <row r="1439" spans="121:155" ht="15" customHeight="1" x14ac:dyDescent="0.25">
      <c r="DQ1439" s="99"/>
      <c r="DR1439" s="99"/>
      <c r="EW1439"/>
      <c r="EX1439"/>
      <c r="EY1439"/>
    </row>
    <row r="1440" spans="121:155" ht="15" customHeight="1" x14ac:dyDescent="0.25">
      <c r="DQ1440" s="99"/>
      <c r="DR1440" s="99"/>
      <c r="EW1440"/>
      <c r="EX1440"/>
      <c r="EY1440"/>
    </row>
    <row r="1441" spans="121:155" ht="15" customHeight="1" x14ac:dyDescent="0.25">
      <c r="DQ1441" s="99"/>
      <c r="DR1441" s="99"/>
      <c r="EW1441"/>
      <c r="EX1441"/>
      <c r="EY1441"/>
    </row>
    <row r="1442" spans="121:155" ht="15" customHeight="1" x14ac:dyDescent="0.25">
      <c r="DQ1442" s="99"/>
      <c r="DR1442" s="99"/>
      <c r="EW1442"/>
      <c r="EX1442"/>
      <c r="EY1442"/>
    </row>
    <row r="1443" spans="121:155" ht="15" customHeight="1" x14ac:dyDescent="0.25">
      <c r="DQ1443" s="99"/>
      <c r="DR1443" s="99"/>
      <c r="EW1443"/>
      <c r="EX1443"/>
      <c r="EY1443"/>
    </row>
    <row r="1444" spans="121:155" ht="15" customHeight="1" x14ac:dyDescent="0.25">
      <c r="DQ1444" s="99"/>
      <c r="DR1444" s="99"/>
      <c r="EW1444"/>
      <c r="EX1444"/>
      <c r="EY1444"/>
    </row>
    <row r="1445" spans="121:155" ht="15" customHeight="1" x14ac:dyDescent="0.25">
      <c r="DQ1445" s="99"/>
      <c r="DR1445" s="99"/>
      <c r="EW1445"/>
      <c r="EX1445"/>
      <c r="EY1445"/>
    </row>
    <row r="1446" spans="121:155" ht="15" customHeight="1" x14ac:dyDescent="0.25">
      <c r="DQ1446" s="99"/>
      <c r="DR1446" s="99"/>
      <c r="EW1446"/>
      <c r="EX1446"/>
      <c r="EY1446"/>
    </row>
    <row r="1447" spans="121:155" ht="15" customHeight="1" x14ac:dyDescent="0.25">
      <c r="DQ1447" s="99"/>
      <c r="DR1447" s="99"/>
      <c r="EW1447"/>
      <c r="EX1447"/>
      <c r="EY1447"/>
    </row>
    <row r="1448" spans="121:155" ht="15" customHeight="1" x14ac:dyDescent="0.25">
      <c r="DQ1448" s="99"/>
      <c r="DR1448" s="99"/>
      <c r="EW1448"/>
      <c r="EX1448"/>
      <c r="EY1448"/>
    </row>
    <row r="1449" spans="121:155" ht="15" customHeight="1" x14ac:dyDescent="0.25">
      <c r="DQ1449" s="99"/>
      <c r="DR1449" s="99"/>
      <c r="EW1449"/>
      <c r="EX1449"/>
      <c r="EY1449"/>
    </row>
    <row r="1450" spans="121:155" ht="15" customHeight="1" x14ac:dyDescent="0.25">
      <c r="DQ1450" s="99"/>
      <c r="DR1450" s="99"/>
      <c r="EW1450"/>
      <c r="EX1450"/>
      <c r="EY1450"/>
    </row>
    <row r="1451" spans="121:155" ht="15" customHeight="1" x14ac:dyDescent="0.25">
      <c r="DQ1451" s="99"/>
      <c r="DR1451" s="99"/>
      <c r="EW1451"/>
      <c r="EX1451"/>
      <c r="EY1451"/>
    </row>
    <row r="1452" spans="121:155" ht="15" customHeight="1" x14ac:dyDescent="0.25">
      <c r="DQ1452" s="99"/>
      <c r="DR1452" s="99"/>
      <c r="EW1452"/>
      <c r="EX1452"/>
      <c r="EY1452"/>
    </row>
    <row r="1453" spans="121:155" ht="15" customHeight="1" x14ac:dyDescent="0.25">
      <c r="DQ1453" s="99"/>
      <c r="DR1453" s="99"/>
      <c r="EW1453"/>
      <c r="EX1453"/>
      <c r="EY1453"/>
    </row>
    <row r="1454" spans="121:155" ht="15" customHeight="1" x14ac:dyDescent="0.25">
      <c r="DQ1454" s="99"/>
      <c r="DR1454" s="99"/>
      <c r="EW1454"/>
      <c r="EX1454"/>
      <c r="EY1454"/>
    </row>
    <row r="1455" spans="121:155" ht="15" customHeight="1" x14ac:dyDescent="0.25">
      <c r="DQ1455" s="99"/>
      <c r="DR1455" s="99"/>
      <c r="EW1455"/>
      <c r="EX1455"/>
      <c r="EY1455"/>
    </row>
    <row r="1456" spans="121:155" ht="15" customHeight="1" x14ac:dyDescent="0.25">
      <c r="DQ1456" s="99"/>
      <c r="DR1456" s="99"/>
      <c r="EW1456"/>
      <c r="EX1456"/>
      <c r="EY1456"/>
    </row>
    <row r="1457" spans="121:155" ht="15" customHeight="1" x14ac:dyDescent="0.25">
      <c r="DQ1457" s="99"/>
      <c r="DR1457" s="99"/>
      <c r="EW1457"/>
      <c r="EX1457"/>
      <c r="EY1457"/>
    </row>
    <row r="1458" spans="121:155" ht="15" customHeight="1" x14ac:dyDescent="0.25">
      <c r="DQ1458" s="99"/>
      <c r="DR1458" s="99"/>
      <c r="EW1458"/>
      <c r="EX1458"/>
      <c r="EY1458"/>
    </row>
    <row r="1459" spans="121:155" ht="15" customHeight="1" x14ac:dyDescent="0.25">
      <c r="DQ1459" s="99"/>
      <c r="DR1459" s="99"/>
      <c r="EW1459"/>
      <c r="EX1459"/>
      <c r="EY1459"/>
    </row>
    <row r="1460" spans="121:155" ht="15" customHeight="1" x14ac:dyDescent="0.25">
      <c r="DQ1460" s="99"/>
      <c r="DR1460" s="99"/>
      <c r="EW1460"/>
      <c r="EX1460"/>
      <c r="EY1460"/>
    </row>
    <row r="1461" spans="121:155" ht="15" customHeight="1" x14ac:dyDescent="0.25">
      <c r="DQ1461" s="99"/>
      <c r="DR1461" s="99"/>
      <c r="EW1461"/>
      <c r="EX1461"/>
      <c r="EY1461"/>
    </row>
    <row r="1462" spans="121:155" ht="15" customHeight="1" x14ac:dyDescent="0.25">
      <c r="DQ1462" s="99"/>
      <c r="DR1462" s="99"/>
      <c r="EW1462"/>
      <c r="EX1462"/>
      <c r="EY1462"/>
    </row>
    <row r="1463" spans="121:155" ht="15" customHeight="1" x14ac:dyDescent="0.25">
      <c r="DQ1463" s="99"/>
      <c r="DR1463" s="99"/>
      <c r="EW1463"/>
      <c r="EX1463"/>
      <c r="EY1463"/>
    </row>
    <row r="1464" spans="121:155" ht="15" customHeight="1" x14ac:dyDescent="0.25">
      <c r="DQ1464" s="99"/>
      <c r="DR1464" s="99"/>
      <c r="EW1464"/>
      <c r="EX1464"/>
      <c r="EY1464"/>
    </row>
    <row r="1465" spans="121:155" ht="15" customHeight="1" x14ac:dyDescent="0.25">
      <c r="DQ1465" s="99"/>
      <c r="DR1465" s="99"/>
      <c r="EW1465"/>
      <c r="EX1465"/>
      <c r="EY1465"/>
    </row>
    <row r="1466" spans="121:155" ht="15" customHeight="1" x14ac:dyDescent="0.25">
      <c r="DQ1466" s="99"/>
      <c r="DR1466" s="99"/>
      <c r="EW1466"/>
      <c r="EX1466"/>
      <c r="EY1466"/>
    </row>
    <row r="1467" spans="121:155" ht="15" customHeight="1" x14ac:dyDescent="0.25">
      <c r="DQ1467" s="99"/>
      <c r="DR1467" s="99"/>
      <c r="EW1467"/>
      <c r="EX1467"/>
      <c r="EY1467"/>
    </row>
    <row r="1468" spans="121:155" ht="15" customHeight="1" x14ac:dyDescent="0.25">
      <c r="DQ1468" s="99"/>
      <c r="DR1468" s="99"/>
      <c r="EW1468"/>
      <c r="EX1468"/>
      <c r="EY1468"/>
    </row>
    <row r="1469" spans="121:155" ht="15" customHeight="1" x14ac:dyDescent="0.25">
      <c r="DQ1469" s="99"/>
      <c r="DR1469" s="99"/>
      <c r="EW1469"/>
      <c r="EX1469"/>
      <c r="EY1469"/>
    </row>
    <row r="1470" spans="121:155" ht="15" customHeight="1" x14ac:dyDescent="0.25">
      <c r="DQ1470" s="99"/>
      <c r="DR1470" s="99"/>
      <c r="EW1470"/>
      <c r="EX1470"/>
      <c r="EY1470"/>
    </row>
    <row r="1471" spans="121:155" ht="15" customHeight="1" x14ac:dyDescent="0.25">
      <c r="DQ1471" s="99"/>
      <c r="DR1471" s="99"/>
      <c r="EW1471"/>
      <c r="EX1471"/>
      <c r="EY1471"/>
    </row>
    <row r="1472" spans="121:155" ht="15" customHeight="1" x14ac:dyDescent="0.25">
      <c r="DQ1472" s="99"/>
      <c r="DR1472" s="99"/>
      <c r="EW1472"/>
      <c r="EX1472"/>
      <c r="EY1472"/>
    </row>
    <row r="1473" spans="121:155" ht="15" customHeight="1" x14ac:dyDescent="0.25">
      <c r="DQ1473" s="99"/>
      <c r="DR1473" s="99"/>
      <c r="EW1473"/>
      <c r="EX1473"/>
      <c r="EY1473"/>
    </row>
    <row r="1474" spans="121:155" ht="15" customHeight="1" x14ac:dyDescent="0.25">
      <c r="DQ1474" s="99"/>
      <c r="DR1474" s="99"/>
      <c r="EW1474"/>
      <c r="EX1474"/>
      <c r="EY1474"/>
    </row>
    <row r="1475" spans="121:155" ht="15" customHeight="1" x14ac:dyDescent="0.25">
      <c r="DQ1475" s="99"/>
      <c r="DR1475" s="99"/>
      <c r="EW1475"/>
      <c r="EX1475"/>
      <c r="EY1475"/>
    </row>
    <row r="1476" spans="121:155" ht="15" customHeight="1" x14ac:dyDescent="0.25">
      <c r="DQ1476" s="99"/>
      <c r="DR1476" s="99"/>
      <c r="EW1476"/>
      <c r="EX1476"/>
      <c r="EY1476"/>
    </row>
    <row r="1477" spans="121:155" ht="15" customHeight="1" x14ac:dyDescent="0.25">
      <c r="DQ1477" s="99"/>
      <c r="DR1477" s="99"/>
      <c r="EW1477"/>
      <c r="EX1477"/>
      <c r="EY1477"/>
    </row>
    <row r="1478" spans="121:155" ht="15" customHeight="1" x14ac:dyDescent="0.25">
      <c r="DQ1478" s="99"/>
      <c r="DR1478" s="99"/>
      <c r="EW1478"/>
      <c r="EX1478"/>
      <c r="EY1478"/>
    </row>
    <row r="1479" spans="121:155" ht="15" customHeight="1" x14ac:dyDescent="0.25">
      <c r="DQ1479" s="99"/>
      <c r="DR1479" s="99"/>
      <c r="EW1479"/>
      <c r="EX1479"/>
      <c r="EY1479"/>
    </row>
    <row r="1480" spans="121:155" ht="15" customHeight="1" x14ac:dyDescent="0.25">
      <c r="DQ1480" s="99"/>
      <c r="DR1480" s="99"/>
      <c r="EW1480"/>
      <c r="EX1480"/>
      <c r="EY1480"/>
    </row>
    <row r="1481" spans="121:155" ht="15" customHeight="1" x14ac:dyDescent="0.25">
      <c r="DQ1481" s="99"/>
      <c r="DR1481" s="99"/>
      <c r="EW1481"/>
      <c r="EX1481"/>
      <c r="EY1481"/>
    </row>
    <row r="1482" spans="121:155" ht="15" customHeight="1" x14ac:dyDescent="0.25">
      <c r="DQ1482" s="99"/>
      <c r="DR1482" s="99"/>
      <c r="EW1482"/>
      <c r="EX1482"/>
      <c r="EY1482"/>
    </row>
    <row r="1483" spans="121:155" ht="15" customHeight="1" x14ac:dyDescent="0.25">
      <c r="DQ1483" s="99"/>
      <c r="DR1483" s="99"/>
      <c r="EW1483"/>
      <c r="EX1483"/>
      <c r="EY1483"/>
    </row>
    <row r="1484" spans="121:155" ht="15" customHeight="1" x14ac:dyDescent="0.25">
      <c r="DQ1484" s="99"/>
      <c r="DR1484" s="99"/>
      <c r="EW1484"/>
      <c r="EX1484"/>
      <c r="EY1484"/>
    </row>
    <row r="1485" spans="121:155" ht="15" customHeight="1" x14ac:dyDescent="0.25">
      <c r="DQ1485" s="99"/>
      <c r="DR1485" s="99"/>
      <c r="EW1485"/>
      <c r="EX1485"/>
      <c r="EY1485"/>
    </row>
    <row r="1486" spans="121:155" ht="15" customHeight="1" x14ac:dyDescent="0.25">
      <c r="DQ1486" s="99"/>
      <c r="DR1486" s="99"/>
      <c r="EW1486"/>
      <c r="EX1486"/>
      <c r="EY1486"/>
    </row>
    <row r="1487" spans="121:155" ht="15" customHeight="1" x14ac:dyDescent="0.25">
      <c r="DQ1487" s="99"/>
      <c r="DR1487" s="99"/>
      <c r="EW1487"/>
      <c r="EX1487"/>
      <c r="EY1487"/>
    </row>
    <row r="1488" spans="121:155" ht="15" customHeight="1" x14ac:dyDescent="0.25">
      <c r="DQ1488" s="99"/>
      <c r="DR1488" s="99"/>
      <c r="EW1488"/>
      <c r="EX1488"/>
      <c r="EY1488"/>
    </row>
    <row r="1489" spans="121:155" ht="15" customHeight="1" x14ac:dyDescent="0.25">
      <c r="DQ1489" s="99"/>
      <c r="DR1489" s="99"/>
      <c r="EW1489"/>
      <c r="EX1489"/>
      <c r="EY1489"/>
    </row>
    <row r="1490" spans="121:155" ht="15" customHeight="1" x14ac:dyDescent="0.25">
      <c r="DQ1490" s="99"/>
      <c r="DR1490" s="99"/>
      <c r="EW1490"/>
      <c r="EX1490"/>
      <c r="EY1490"/>
    </row>
    <row r="1491" spans="121:155" ht="15" customHeight="1" x14ac:dyDescent="0.25">
      <c r="DQ1491" s="99"/>
      <c r="DR1491" s="99"/>
      <c r="EW1491"/>
      <c r="EX1491"/>
      <c r="EY1491"/>
    </row>
    <row r="1492" spans="121:155" ht="15" customHeight="1" x14ac:dyDescent="0.25">
      <c r="DQ1492" s="99"/>
      <c r="DR1492" s="99"/>
      <c r="EW1492"/>
      <c r="EX1492"/>
      <c r="EY1492"/>
    </row>
    <row r="1493" spans="121:155" ht="15" customHeight="1" x14ac:dyDescent="0.25">
      <c r="DQ1493" s="99"/>
      <c r="DR1493" s="99"/>
      <c r="EW1493"/>
      <c r="EX1493"/>
      <c r="EY1493"/>
    </row>
    <row r="1494" spans="121:155" ht="15" customHeight="1" x14ac:dyDescent="0.25">
      <c r="DQ1494" s="99"/>
      <c r="DR1494" s="99"/>
      <c r="EW1494"/>
      <c r="EX1494"/>
      <c r="EY1494"/>
    </row>
    <row r="1495" spans="121:155" ht="15" customHeight="1" x14ac:dyDescent="0.25">
      <c r="DQ1495" s="99"/>
      <c r="DR1495" s="99"/>
      <c r="EW1495"/>
      <c r="EX1495"/>
      <c r="EY1495"/>
    </row>
    <row r="1496" spans="121:155" ht="15" customHeight="1" x14ac:dyDescent="0.25">
      <c r="DQ1496" s="99"/>
      <c r="DR1496" s="99"/>
      <c r="EW1496"/>
      <c r="EX1496"/>
      <c r="EY1496"/>
    </row>
    <row r="1497" spans="121:155" ht="15" customHeight="1" x14ac:dyDescent="0.25">
      <c r="DQ1497" s="99"/>
      <c r="DR1497" s="99"/>
      <c r="EW1497"/>
      <c r="EX1497"/>
      <c r="EY1497"/>
    </row>
    <row r="1498" spans="121:155" ht="15" customHeight="1" x14ac:dyDescent="0.25">
      <c r="DQ1498" s="99"/>
      <c r="DR1498" s="99"/>
      <c r="EW1498"/>
      <c r="EX1498"/>
      <c r="EY1498"/>
    </row>
    <row r="1499" spans="121:155" ht="15" customHeight="1" x14ac:dyDescent="0.25">
      <c r="DQ1499" s="99"/>
      <c r="DR1499" s="99"/>
      <c r="EW1499"/>
      <c r="EX1499"/>
      <c r="EY1499"/>
    </row>
    <row r="1500" spans="121:155" ht="15" customHeight="1" x14ac:dyDescent="0.25">
      <c r="DQ1500" s="99"/>
      <c r="DR1500" s="99"/>
      <c r="EW1500"/>
      <c r="EX1500"/>
      <c r="EY1500"/>
    </row>
    <row r="1501" spans="121:155" ht="15" customHeight="1" x14ac:dyDescent="0.25">
      <c r="DQ1501" s="99"/>
      <c r="DR1501" s="99"/>
      <c r="EW1501"/>
      <c r="EX1501"/>
      <c r="EY1501"/>
    </row>
    <row r="1502" spans="121:155" ht="15" customHeight="1" x14ac:dyDescent="0.25">
      <c r="DQ1502" s="99"/>
      <c r="DR1502" s="99"/>
      <c r="EW1502"/>
      <c r="EX1502"/>
      <c r="EY1502"/>
    </row>
    <row r="1503" spans="121:155" ht="15" customHeight="1" x14ac:dyDescent="0.25">
      <c r="DQ1503" s="99"/>
      <c r="DR1503" s="99"/>
      <c r="EW1503"/>
      <c r="EX1503"/>
      <c r="EY1503"/>
    </row>
    <row r="1504" spans="121:155" ht="15" customHeight="1" x14ac:dyDescent="0.25">
      <c r="DQ1504" s="99"/>
      <c r="DR1504" s="99"/>
      <c r="EW1504"/>
      <c r="EX1504"/>
      <c r="EY1504"/>
    </row>
    <row r="1505" spans="121:155" ht="15" customHeight="1" x14ac:dyDescent="0.25">
      <c r="DQ1505" s="99"/>
      <c r="DR1505" s="99"/>
      <c r="EW1505"/>
      <c r="EX1505"/>
      <c r="EY1505"/>
    </row>
    <row r="1506" spans="121:155" ht="15" customHeight="1" x14ac:dyDescent="0.25">
      <c r="DQ1506" s="99"/>
      <c r="DR1506" s="99"/>
      <c r="EW1506"/>
      <c r="EX1506"/>
      <c r="EY1506"/>
    </row>
    <row r="1507" spans="121:155" ht="15" customHeight="1" x14ac:dyDescent="0.25">
      <c r="DQ1507" s="99"/>
      <c r="DR1507" s="99"/>
      <c r="EW1507"/>
      <c r="EX1507"/>
      <c r="EY1507"/>
    </row>
    <row r="1508" spans="121:155" ht="15" customHeight="1" x14ac:dyDescent="0.25">
      <c r="DQ1508" s="99"/>
      <c r="DR1508" s="99"/>
      <c r="EW1508"/>
      <c r="EX1508"/>
      <c r="EY1508"/>
    </row>
    <row r="1509" spans="121:155" ht="15" customHeight="1" x14ac:dyDescent="0.25">
      <c r="DQ1509" s="99"/>
      <c r="DR1509" s="99"/>
      <c r="EW1509"/>
      <c r="EX1509"/>
      <c r="EY1509"/>
    </row>
    <row r="1510" spans="121:155" ht="15" customHeight="1" x14ac:dyDescent="0.25">
      <c r="DQ1510" s="99"/>
      <c r="DR1510" s="99"/>
      <c r="EW1510"/>
      <c r="EX1510"/>
      <c r="EY1510"/>
    </row>
    <row r="1511" spans="121:155" ht="15" customHeight="1" x14ac:dyDescent="0.25">
      <c r="DQ1511" s="99"/>
      <c r="DR1511" s="99"/>
      <c r="EW1511"/>
      <c r="EX1511"/>
      <c r="EY1511"/>
    </row>
    <row r="1512" spans="121:155" ht="15" customHeight="1" x14ac:dyDescent="0.25">
      <c r="DQ1512" s="99"/>
      <c r="DR1512" s="99"/>
      <c r="EW1512"/>
      <c r="EX1512"/>
      <c r="EY1512"/>
    </row>
    <row r="1513" spans="121:155" ht="15" customHeight="1" x14ac:dyDescent="0.25">
      <c r="DQ1513" s="99"/>
      <c r="DR1513" s="99"/>
      <c r="EW1513"/>
      <c r="EX1513"/>
      <c r="EY1513"/>
    </row>
    <row r="1514" spans="121:155" ht="15" customHeight="1" x14ac:dyDescent="0.25">
      <c r="DQ1514" s="99"/>
      <c r="DR1514" s="99"/>
      <c r="EW1514"/>
      <c r="EX1514"/>
      <c r="EY1514"/>
    </row>
    <row r="1515" spans="121:155" ht="15" customHeight="1" x14ac:dyDescent="0.25">
      <c r="DQ1515" s="99"/>
      <c r="DR1515" s="99"/>
      <c r="EW1515"/>
      <c r="EX1515"/>
      <c r="EY1515"/>
    </row>
    <row r="1516" spans="121:155" ht="15" customHeight="1" x14ac:dyDescent="0.25">
      <c r="DQ1516" s="99"/>
      <c r="DR1516" s="99"/>
      <c r="EW1516"/>
      <c r="EX1516"/>
      <c r="EY1516"/>
    </row>
    <row r="1517" spans="121:155" ht="15" customHeight="1" x14ac:dyDescent="0.25">
      <c r="DQ1517" s="99"/>
      <c r="DR1517" s="99"/>
      <c r="EW1517"/>
      <c r="EX1517"/>
      <c r="EY1517"/>
    </row>
    <row r="1518" spans="121:155" ht="15" customHeight="1" x14ac:dyDescent="0.25">
      <c r="DQ1518" s="99"/>
      <c r="DR1518" s="99"/>
      <c r="EW1518"/>
      <c r="EX1518"/>
      <c r="EY1518"/>
    </row>
    <row r="1519" spans="121:155" ht="15" customHeight="1" x14ac:dyDescent="0.25">
      <c r="DQ1519" s="99"/>
      <c r="DR1519" s="99"/>
      <c r="EW1519"/>
      <c r="EX1519"/>
      <c r="EY1519"/>
    </row>
    <row r="1520" spans="121:155" ht="15" customHeight="1" x14ac:dyDescent="0.25">
      <c r="DQ1520" s="99"/>
      <c r="DR1520" s="99"/>
      <c r="EW1520"/>
      <c r="EX1520"/>
      <c r="EY1520"/>
    </row>
    <row r="1521" spans="121:155" ht="15" customHeight="1" x14ac:dyDescent="0.25">
      <c r="DQ1521" s="99"/>
      <c r="DR1521" s="99"/>
      <c r="EW1521"/>
      <c r="EX1521"/>
      <c r="EY1521"/>
    </row>
    <row r="1522" spans="121:155" ht="15" customHeight="1" x14ac:dyDescent="0.25">
      <c r="DQ1522" s="99"/>
      <c r="DR1522" s="99"/>
      <c r="EW1522"/>
      <c r="EX1522"/>
      <c r="EY1522"/>
    </row>
    <row r="1523" spans="121:155" ht="15" customHeight="1" x14ac:dyDescent="0.25">
      <c r="DQ1523" s="99"/>
      <c r="DR1523" s="99"/>
      <c r="EW1523"/>
      <c r="EX1523"/>
      <c r="EY1523"/>
    </row>
    <row r="1524" spans="121:155" ht="15" customHeight="1" x14ac:dyDescent="0.25">
      <c r="DQ1524" s="99"/>
      <c r="DR1524" s="99"/>
      <c r="EW1524"/>
      <c r="EX1524"/>
      <c r="EY1524"/>
    </row>
    <row r="1525" spans="121:155" ht="15" customHeight="1" x14ac:dyDescent="0.25">
      <c r="DQ1525" s="99"/>
      <c r="DR1525" s="99"/>
      <c r="EW1525"/>
      <c r="EX1525"/>
      <c r="EY1525"/>
    </row>
    <row r="1526" spans="121:155" ht="15" customHeight="1" x14ac:dyDescent="0.25">
      <c r="DQ1526" s="99"/>
      <c r="DR1526" s="99"/>
      <c r="EW1526"/>
      <c r="EX1526"/>
      <c r="EY1526"/>
    </row>
    <row r="1527" spans="121:155" ht="15" customHeight="1" x14ac:dyDescent="0.25">
      <c r="DQ1527" s="99"/>
      <c r="DR1527" s="99"/>
      <c r="EW1527"/>
      <c r="EX1527"/>
      <c r="EY1527"/>
    </row>
    <row r="1528" spans="121:155" ht="15" customHeight="1" x14ac:dyDescent="0.25">
      <c r="DQ1528" s="99"/>
      <c r="DR1528" s="99"/>
      <c r="EW1528"/>
      <c r="EX1528"/>
      <c r="EY1528"/>
    </row>
    <row r="1529" spans="121:155" ht="15" customHeight="1" x14ac:dyDescent="0.25">
      <c r="DQ1529" s="99"/>
      <c r="DR1529" s="99"/>
      <c r="EW1529"/>
      <c r="EX1529"/>
      <c r="EY1529"/>
    </row>
    <row r="1530" spans="121:155" ht="15" customHeight="1" x14ac:dyDescent="0.25">
      <c r="DQ1530" s="99"/>
      <c r="DR1530" s="99"/>
      <c r="EW1530"/>
      <c r="EX1530"/>
      <c r="EY1530"/>
    </row>
    <row r="1531" spans="121:155" ht="15" customHeight="1" x14ac:dyDescent="0.25">
      <c r="DQ1531" s="99"/>
      <c r="DR1531" s="99"/>
      <c r="EW1531"/>
      <c r="EX1531"/>
      <c r="EY1531"/>
    </row>
    <row r="1532" spans="121:155" ht="15" customHeight="1" x14ac:dyDescent="0.25">
      <c r="DQ1532" s="99"/>
      <c r="DR1532" s="99"/>
      <c r="EW1532"/>
      <c r="EX1532"/>
      <c r="EY1532"/>
    </row>
    <row r="1533" spans="121:155" ht="15" customHeight="1" x14ac:dyDescent="0.25">
      <c r="DQ1533" s="99"/>
      <c r="DR1533" s="99"/>
      <c r="EW1533"/>
      <c r="EX1533"/>
      <c r="EY1533"/>
    </row>
    <row r="1534" spans="121:155" ht="15" customHeight="1" x14ac:dyDescent="0.25">
      <c r="DQ1534" s="99"/>
      <c r="DR1534" s="99"/>
      <c r="EW1534"/>
      <c r="EX1534"/>
      <c r="EY1534"/>
    </row>
    <row r="1535" spans="121:155" ht="15" customHeight="1" x14ac:dyDescent="0.25">
      <c r="DQ1535" s="99"/>
      <c r="DR1535" s="99"/>
      <c r="EW1535"/>
      <c r="EX1535"/>
      <c r="EY1535"/>
    </row>
    <row r="1536" spans="121:155" ht="15" customHeight="1" x14ac:dyDescent="0.25">
      <c r="DQ1536" s="99"/>
      <c r="DR1536" s="99"/>
      <c r="EW1536"/>
      <c r="EX1536"/>
      <c r="EY1536"/>
    </row>
    <row r="1537" spans="121:155" ht="15" customHeight="1" x14ac:dyDescent="0.25">
      <c r="DQ1537" s="99"/>
      <c r="DR1537" s="99"/>
      <c r="EW1537"/>
      <c r="EX1537"/>
      <c r="EY1537"/>
    </row>
    <row r="1538" spans="121:155" ht="15" customHeight="1" x14ac:dyDescent="0.25">
      <c r="DQ1538" s="99"/>
      <c r="DR1538" s="99"/>
      <c r="EW1538"/>
      <c r="EX1538"/>
      <c r="EY1538"/>
    </row>
    <row r="1539" spans="121:155" ht="15" customHeight="1" x14ac:dyDescent="0.25">
      <c r="DQ1539" s="99"/>
      <c r="DR1539" s="99"/>
      <c r="EW1539"/>
      <c r="EX1539"/>
      <c r="EY1539"/>
    </row>
    <row r="1540" spans="121:155" ht="15" customHeight="1" x14ac:dyDescent="0.25">
      <c r="DQ1540" s="99"/>
      <c r="DR1540" s="99"/>
      <c r="EW1540"/>
      <c r="EX1540"/>
      <c r="EY1540"/>
    </row>
    <row r="1541" spans="121:155" ht="15" customHeight="1" x14ac:dyDescent="0.25">
      <c r="DQ1541" s="99"/>
      <c r="DR1541" s="99"/>
      <c r="EW1541"/>
      <c r="EX1541"/>
      <c r="EY1541"/>
    </row>
    <row r="1542" spans="121:155" ht="15" customHeight="1" x14ac:dyDescent="0.25">
      <c r="DQ1542" s="99"/>
      <c r="DR1542" s="99"/>
      <c r="EW1542"/>
      <c r="EX1542"/>
      <c r="EY1542"/>
    </row>
    <row r="1543" spans="121:155" ht="15" customHeight="1" x14ac:dyDescent="0.25">
      <c r="DQ1543" s="99"/>
      <c r="DR1543" s="99"/>
      <c r="EW1543"/>
      <c r="EX1543"/>
      <c r="EY1543"/>
    </row>
    <row r="1544" spans="121:155" ht="15" customHeight="1" x14ac:dyDescent="0.25">
      <c r="DQ1544" s="99"/>
      <c r="DR1544" s="99"/>
      <c r="EW1544"/>
      <c r="EX1544"/>
      <c r="EY1544"/>
    </row>
    <row r="1545" spans="121:155" ht="15" customHeight="1" x14ac:dyDescent="0.25">
      <c r="DQ1545" s="99"/>
      <c r="DR1545" s="99"/>
      <c r="EW1545"/>
      <c r="EX1545"/>
      <c r="EY1545"/>
    </row>
    <row r="1546" spans="121:155" ht="15" customHeight="1" x14ac:dyDescent="0.25">
      <c r="DQ1546" s="99"/>
      <c r="DR1546" s="99"/>
      <c r="EW1546"/>
      <c r="EX1546"/>
      <c r="EY1546"/>
    </row>
    <row r="1547" spans="121:155" ht="15" customHeight="1" x14ac:dyDescent="0.25">
      <c r="DQ1547" s="99"/>
      <c r="DR1547" s="99"/>
      <c r="EW1547"/>
      <c r="EX1547"/>
      <c r="EY1547"/>
    </row>
    <row r="1548" spans="121:155" ht="15" customHeight="1" x14ac:dyDescent="0.25">
      <c r="DQ1548" s="99"/>
      <c r="DR1548" s="99"/>
      <c r="EW1548"/>
      <c r="EX1548"/>
      <c r="EY1548"/>
    </row>
    <row r="1549" spans="121:155" ht="15" customHeight="1" x14ac:dyDescent="0.25">
      <c r="DQ1549" s="99"/>
      <c r="DR1549" s="99"/>
      <c r="EW1549"/>
      <c r="EX1549"/>
      <c r="EY1549"/>
    </row>
    <row r="1550" spans="121:155" ht="15" customHeight="1" x14ac:dyDescent="0.25">
      <c r="DQ1550" s="99"/>
      <c r="DR1550" s="99"/>
      <c r="EW1550"/>
      <c r="EX1550"/>
      <c r="EY1550"/>
    </row>
    <row r="1551" spans="121:155" ht="15" customHeight="1" x14ac:dyDescent="0.25">
      <c r="DQ1551" s="99"/>
      <c r="DR1551" s="99"/>
      <c r="EW1551"/>
      <c r="EX1551"/>
      <c r="EY1551"/>
    </row>
    <row r="1552" spans="121:155" ht="15" customHeight="1" x14ac:dyDescent="0.25">
      <c r="DQ1552" s="99"/>
      <c r="DR1552" s="99"/>
      <c r="EW1552"/>
      <c r="EX1552"/>
      <c r="EY1552"/>
    </row>
    <row r="1553" spans="121:155" ht="15" customHeight="1" x14ac:dyDescent="0.25">
      <c r="DQ1553" s="99"/>
      <c r="DR1553" s="99"/>
      <c r="EW1553"/>
      <c r="EX1553"/>
      <c r="EY1553"/>
    </row>
    <row r="1554" spans="121:155" ht="15" customHeight="1" x14ac:dyDescent="0.25">
      <c r="DQ1554" s="99"/>
      <c r="DR1554" s="99"/>
      <c r="EW1554"/>
      <c r="EX1554"/>
      <c r="EY1554"/>
    </row>
    <row r="1555" spans="121:155" ht="15" customHeight="1" x14ac:dyDescent="0.25">
      <c r="DQ1555" s="99"/>
      <c r="DR1555" s="99"/>
      <c r="EW1555"/>
      <c r="EX1555"/>
      <c r="EY1555"/>
    </row>
    <row r="1556" spans="121:155" ht="15" customHeight="1" x14ac:dyDescent="0.25">
      <c r="DQ1556" s="99"/>
      <c r="DR1556" s="99"/>
      <c r="EW1556"/>
      <c r="EX1556"/>
      <c r="EY1556"/>
    </row>
    <row r="1557" spans="121:155" ht="15" customHeight="1" x14ac:dyDescent="0.25">
      <c r="DQ1557" s="99"/>
      <c r="DR1557" s="99"/>
      <c r="EW1557"/>
      <c r="EX1557"/>
      <c r="EY1557"/>
    </row>
    <row r="1558" spans="121:155" ht="15" customHeight="1" x14ac:dyDescent="0.25">
      <c r="DQ1558" s="99"/>
      <c r="DR1558" s="99"/>
      <c r="EW1558"/>
      <c r="EX1558"/>
      <c r="EY1558"/>
    </row>
    <row r="1559" spans="121:155" ht="15" customHeight="1" x14ac:dyDescent="0.25">
      <c r="DQ1559" s="99"/>
      <c r="DR1559" s="99"/>
      <c r="EW1559"/>
      <c r="EX1559"/>
      <c r="EY1559"/>
    </row>
    <row r="1560" spans="121:155" ht="15" customHeight="1" x14ac:dyDescent="0.25">
      <c r="DQ1560" s="99"/>
      <c r="DR1560" s="99"/>
      <c r="EW1560"/>
      <c r="EX1560"/>
      <c r="EY1560"/>
    </row>
    <row r="1561" spans="121:155" ht="15" customHeight="1" x14ac:dyDescent="0.25">
      <c r="DQ1561" s="99"/>
      <c r="DR1561" s="99"/>
      <c r="EW1561"/>
      <c r="EX1561"/>
      <c r="EY1561"/>
    </row>
    <row r="1562" spans="121:155" ht="15" customHeight="1" x14ac:dyDescent="0.25">
      <c r="DQ1562" s="99"/>
      <c r="DR1562" s="99"/>
      <c r="EW1562"/>
      <c r="EX1562"/>
      <c r="EY1562"/>
    </row>
    <row r="1563" spans="121:155" ht="15" customHeight="1" x14ac:dyDescent="0.25">
      <c r="DQ1563" s="99"/>
      <c r="DR1563" s="99"/>
      <c r="EW1563"/>
      <c r="EX1563"/>
      <c r="EY1563"/>
    </row>
    <row r="1564" spans="121:155" ht="15" customHeight="1" x14ac:dyDescent="0.25">
      <c r="DQ1564" s="99"/>
      <c r="DR1564" s="99"/>
      <c r="EW1564"/>
      <c r="EX1564"/>
      <c r="EY1564"/>
    </row>
    <row r="1565" spans="121:155" ht="15" customHeight="1" x14ac:dyDescent="0.25">
      <c r="DQ1565" s="99"/>
      <c r="DR1565" s="99"/>
      <c r="EW1565"/>
      <c r="EX1565"/>
      <c r="EY1565"/>
    </row>
    <row r="1566" spans="121:155" ht="15" customHeight="1" x14ac:dyDescent="0.25">
      <c r="DQ1566" s="99"/>
      <c r="DR1566" s="99"/>
      <c r="EW1566"/>
      <c r="EX1566"/>
      <c r="EY1566"/>
    </row>
    <row r="1567" spans="121:155" ht="15" customHeight="1" x14ac:dyDescent="0.25">
      <c r="DQ1567" s="99"/>
      <c r="DR1567" s="99"/>
      <c r="EW1567"/>
      <c r="EX1567"/>
      <c r="EY1567"/>
    </row>
    <row r="1568" spans="121:155" ht="15" customHeight="1" x14ac:dyDescent="0.25">
      <c r="DQ1568" s="99"/>
      <c r="DR1568" s="99"/>
      <c r="EW1568"/>
      <c r="EX1568"/>
      <c r="EY1568"/>
    </row>
    <row r="1569" spans="121:155" ht="15" customHeight="1" x14ac:dyDescent="0.25">
      <c r="DQ1569" s="99"/>
      <c r="DR1569" s="99"/>
      <c r="EW1569"/>
      <c r="EX1569"/>
      <c r="EY1569"/>
    </row>
    <row r="1570" spans="121:155" ht="15" customHeight="1" x14ac:dyDescent="0.25">
      <c r="DQ1570" s="99"/>
      <c r="DR1570" s="99"/>
      <c r="EW1570"/>
      <c r="EX1570"/>
      <c r="EY1570"/>
    </row>
    <row r="1571" spans="121:155" ht="15" customHeight="1" x14ac:dyDescent="0.25">
      <c r="DQ1571" s="99"/>
      <c r="DR1571" s="99"/>
      <c r="EW1571"/>
      <c r="EX1571"/>
      <c r="EY1571"/>
    </row>
    <row r="1572" spans="121:155" ht="15" customHeight="1" x14ac:dyDescent="0.25">
      <c r="DQ1572" s="99"/>
      <c r="DR1572" s="99"/>
      <c r="EW1572"/>
      <c r="EX1572"/>
      <c r="EY1572"/>
    </row>
    <row r="1573" spans="121:155" ht="15" customHeight="1" x14ac:dyDescent="0.25">
      <c r="DQ1573" s="99"/>
      <c r="DR1573" s="99"/>
      <c r="EW1573"/>
      <c r="EX1573"/>
      <c r="EY1573"/>
    </row>
    <row r="1574" spans="121:155" ht="15" customHeight="1" x14ac:dyDescent="0.25">
      <c r="DQ1574" s="99"/>
      <c r="DR1574" s="99"/>
      <c r="EW1574"/>
      <c r="EX1574"/>
      <c r="EY1574"/>
    </row>
    <row r="1575" spans="121:155" ht="15" customHeight="1" x14ac:dyDescent="0.25">
      <c r="DQ1575" s="99"/>
      <c r="DR1575" s="99"/>
      <c r="EW1575"/>
      <c r="EX1575"/>
      <c r="EY1575"/>
    </row>
    <row r="1576" spans="121:155" ht="15" customHeight="1" x14ac:dyDescent="0.25">
      <c r="DQ1576" s="99"/>
      <c r="DR1576" s="99"/>
      <c r="EW1576"/>
      <c r="EX1576"/>
      <c r="EY1576"/>
    </row>
    <row r="1577" spans="121:155" ht="15" customHeight="1" x14ac:dyDescent="0.25">
      <c r="DQ1577" s="99"/>
      <c r="DR1577" s="99"/>
      <c r="EW1577"/>
      <c r="EX1577"/>
      <c r="EY1577"/>
    </row>
    <row r="1578" spans="121:155" ht="15" customHeight="1" x14ac:dyDescent="0.25">
      <c r="DQ1578" s="99"/>
      <c r="DR1578" s="99"/>
      <c r="EW1578"/>
      <c r="EX1578"/>
      <c r="EY1578"/>
    </row>
    <row r="1579" spans="121:155" ht="15" customHeight="1" x14ac:dyDescent="0.25">
      <c r="DQ1579" s="99"/>
      <c r="DR1579" s="99"/>
      <c r="EW1579"/>
      <c r="EX1579"/>
      <c r="EY1579"/>
    </row>
    <row r="1580" spans="121:155" ht="15" customHeight="1" x14ac:dyDescent="0.25">
      <c r="DQ1580" s="99"/>
      <c r="DR1580" s="99"/>
      <c r="EW1580"/>
      <c r="EX1580"/>
      <c r="EY1580"/>
    </row>
    <row r="1581" spans="121:155" ht="15" customHeight="1" x14ac:dyDescent="0.25">
      <c r="DQ1581" s="99"/>
      <c r="DR1581" s="99"/>
      <c r="EW1581"/>
      <c r="EX1581"/>
      <c r="EY1581"/>
    </row>
    <row r="1582" spans="121:155" ht="15" customHeight="1" x14ac:dyDescent="0.25">
      <c r="DQ1582" s="99"/>
      <c r="DR1582" s="99"/>
      <c r="EW1582"/>
      <c r="EX1582"/>
      <c r="EY1582"/>
    </row>
    <row r="1583" spans="121:155" ht="15" customHeight="1" x14ac:dyDescent="0.25">
      <c r="DQ1583" s="99"/>
      <c r="DR1583" s="99"/>
      <c r="EW1583"/>
      <c r="EX1583"/>
      <c r="EY1583"/>
    </row>
    <row r="1584" spans="121:155" ht="15" customHeight="1" x14ac:dyDescent="0.25">
      <c r="DQ1584" s="99"/>
      <c r="DR1584" s="99"/>
      <c r="EW1584"/>
      <c r="EX1584"/>
      <c r="EY1584"/>
    </row>
    <row r="1585" spans="121:155" ht="15" customHeight="1" x14ac:dyDescent="0.25">
      <c r="DQ1585" s="99"/>
      <c r="DR1585" s="99"/>
      <c r="EW1585"/>
      <c r="EX1585"/>
      <c r="EY1585"/>
    </row>
    <row r="1586" spans="121:155" ht="15" customHeight="1" x14ac:dyDescent="0.25">
      <c r="DQ1586" s="99"/>
      <c r="DR1586" s="99"/>
      <c r="EW1586"/>
      <c r="EX1586"/>
      <c r="EY1586"/>
    </row>
    <row r="1587" spans="121:155" ht="15" customHeight="1" x14ac:dyDescent="0.25">
      <c r="DQ1587" s="99"/>
      <c r="DR1587" s="99"/>
      <c r="EW1587"/>
      <c r="EX1587"/>
      <c r="EY1587"/>
    </row>
    <row r="1588" spans="121:155" ht="15" customHeight="1" x14ac:dyDescent="0.25">
      <c r="DQ1588" s="99"/>
      <c r="DR1588" s="99"/>
      <c r="EW1588"/>
      <c r="EX1588"/>
      <c r="EY1588"/>
    </row>
    <row r="1589" spans="121:155" ht="15" customHeight="1" x14ac:dyDescent="0.25">
      <c r="DQ1589" s="99"/>
      <c r="DR1589" s="99"/>
      <c r="EW1589"/>
      <c r="EX1589"/>
      <c r="EY1589"/>
    </row>
    <row r="1590" spans="121:155" ht="15" customHeight="1" x14ac:dyDescent="0.25">
      <c r="DQ1590" s="99"/>
      <c r="DR1590" s="99"/>
      <c r="EW1590"/>
      <c r="EX1590"/>
      <c r="EY1590"/>
    </row>
    <row r="1591" spans="121:155" ht="15" customHeight="1" x14ac:dyDescent="0.25">
      <c r="DQ1591" s="99"/>
      <c r="DR1591" s="99"/>
      <c r="EW1591"/>
      <c r="EX1591"/>
      <c r="EY1591"/>
    </row>
    <row r="1592" spans="121:155" ht="15" customHeight="1" x14ac:dyDescent="0.25">
      <c r="DQ1592" s="99"/>
      <c r="DR1592" s="99"/>
      <c r="EW1592"/>
      <c r="EX1592"/>
      <c r="EY1592"/>
    </row>
    <row r="1593" spans="121:155" ht="15" customHeight="1" x14ac:dyDescent="0.25">
      <c r="DQ1593" s="99"/>
      <c r="DR1593" s="99"/>
      <c r="EW1593"/>
      <c r="EX1593"/>
      <c r="EY1593"/>
    </row>
    <row r="1594" spans="121:155" ht="15" customHeight="1" x14ac:dyDescent="0.25">
      <c r="DQ1594" s="99"/>
      <c r="DR1594" s="99"/>
      <c r="EW1594"/>
      <c r="EX1594"/>
      <c r="EY1594"/>
    </row>
    <row r="1595" spans="121:155" ht="15" customHeight="1" x14ac:dyDescent="0.25">
      <c r="DQ1595" s="99"/>
      <c r="DR1595" s="99"/>
      <c r="EW1595"/>
      <c r="EX1595"/>
      <c r="EY1595"/>
    </row>
    <row r="1596" spans="121:155" ht="15" customHeight="1" x14ac:dyDescent="0.25">
      <c r="DQ1596" s="99"/>
      <c r="DR1596" s="99"/>
      <c r="EW1596"/>
      <c r="EX1596"/>
      <c r="EY1596"/>
    </row>
    <row r="1597" spans="121:155" ht="15" customHeight="1" x14ac:dyDescent="0.25">
      <c r="DQ1597" s="99"/>
      <c r="DR1597" s="99"/>
      <c r="EW1597"/>
      <c r="EX1597"/>
      <c r="EY1597"/>
    </row>
    <row r="1598" spans="121:155" ht="15" customHeight="1" x14ac:dyDescent="0.25">
      <c r="DQ1598" s="99"/>
      <c r="DR1598" s="99"/>
      <c r="EW1598"/>
      <c r="EX1598"/>
      <c r="EY1598"/>
    </row>
    <row r="1599" spans="121:155" ht="15" customHeight="1" x14ac:dyDescent="0.25">
      <c r="DQ1599" s="99"/>
      <c r="DR1599" s="99"/>
      <c r="EW1599"/>
      <c r="EX1599"/>
      <c r="EY1599"/>
    </row>
    <row r="1600" spans="121:155" ht="15" customHeight="1" x14ac:dyDescent="0.25">
      <c r="DQ1600" s="99"/>
      <c r="DR1600" s="99"/>
      <c r="EW1600"/>
      <c r="EX1600"/>
      <c r="EY1600"/>
    </row>
    <row r="1601" spans="121:155" ht="15" customHeight="1" x14ac:dyDescent="0.25">
      <c r="DQ1601" s="99"/>
      <c r="DR1601" s="99"/>
      <c r="EW1601"/>
      <c r="EX1601"/>
      <c r="EY1601"/>
    </row>
    <row r="1602" spans="121:155" ht="15" customHeight="1" x14ac:dyDescent="0.25">
      <c r="DQ1602" s="99"/>
      <c r="DR1602" s="99"/>
      <c r="EW1602"/>
      <c r="EX1602"/>
      <c r="EY1602"/>
    </row>
    <row r="1603" spans="121:155" ht="15" customHeight="1" x14ac:dyDescent="0.25">
      <c r="DQ1603" s="99"/>
      <c r="DR1603" s="99"/>
      <c r="EW1603"/>
      <c r="EX1603"/>
      <c r="EY1603"/>
    </row>
    <row r="1604" spans="121:155" ht="15" customHeight="1" x14ac:dyDescent="0.25">
      <c r="DQ1604" s="99"/>
      <c r="DR1604" s="99"/>
      <c r="EW1604"/>
      <c r="EX1604"/>
      <c r="EY1604"/>
    </row>
    <row r="1605" spans="121:155" ht="15" customHeight="1" x14ac:dyDescent="0.25">
      <c r="DQ1605" s="99"/>
      <c r="DR1605" s="99"/>
      <c r="EW1605"/>
      <c r="EX1605"/>
      <c r="EY1605"/>
    </row>
    <row r="1606" spans="121:155" ht="15" customHeight="1" x14ac:dyDescent="0.25">
      <c r="DQ1606" s="99"/>
      <c r="DR1606" s="99"/>
      <c r="EW1606"/>
      <c r="EX1606"/>
      <c r="EY1606"/>
    </row>
    <row r="1607" spans="121:155" ht="15" customHeight="1" x14ac:dyDescent="0.25">
      <c r="DQ1607" s="99"/>
      <c r="DR1607" s="99"/>
      <c r="EW1607"/>
      <c r="EX1607"/>
      <c r="EY1607"/>
    </row>
    <row r="1608" spans="121:155" ht="15" customHeight="1" x14ac:dyDescent="0.25">
      <c r="DQ1608" s="99"/>
      <c r="DR1608" s="99"/>
      <c r="EW1608"/>
      <c r="EX1608"/>
      <c r="EY1608"/>
    </row>
    <row r="1609" spans="121:155" ht="15" customHeight="1" x14ac:dyDescent="0.25">
      <c r="DQ1609" s="99"/>
      <c r="DR1609" s="99"/>
      <c r="EW1609"/>
      <c r="EX1609"/>
      <c r="EY1609"/>
    </row>
    <row r="1610" spans="121:155" ht="15" customHeight="1" x14ac:dyDescent="0.25">
      <c r="DQ1610" s="99"/>
      <c r="DR1610" s="99"/>
      <c r="EW1610"/>
      <c r="EX1610"/>
      <c r="EY1610"/>
    </row>
    <row r="1611" spans="121:155" ht="15" customHeight="1" x14ac:dyDescent="0.25">
      <c r="DQ1611" s="99"/>
      <c r="DR1611" s="99"/>
      <c r="EW1611"/>
      <c r="EX1611"/>
      <c r="EY1611"/>
    </row>
    <row r="1612" spans="121:155" ht="15" customHeight="1" x14ac:dyDescent="0.25">
      <c r="DQ1612" s="99"/>
      <c r="DR1612" s="99"/>
      <c r="EW1612"/>
      <c r="EX1612"/>
      <c r="EY1612"/>
    </row>
    <row r="1613" spans="121:155" ht="15" customHeight="1" x14ac:dyDescent="0.25">
      <c r="DQ1613" s="99"/>
      <c r="DR1613" s="99"/>
      <c r="EW1613"/>
      <c r="EX1613"/>
      <c r="EY1613"/>
    </row>
    <row r="1614" spans="121:155" ht="15" customHeight="1" x14ac:dyDescent="0.25">
      <c r="DQ1614" s="99"/>
      <c r="DR1614" s="99"/>
      <c r="EW1614"/>
      <c r="EX1614"/>
      <c r="EY1614"/>
    </row>
    <row r="1615" spans="121:155" ht="15" customHeight="1" x14ac:dyDescent="0.25">
      <c r="DQ1615" s="99"/>
      <c r="DR1615" s="99"/>
      <c r="EW1615"/>
      <c r="EX1615"/>
      <c r="EY1615"/>
    </row>
    <row r="1616" spans="121:155" ht="15" customHeight="1" x14ac:dyDescent="0.25">
      <c r="DQ1616" s="99"/>
      <c r="DR1616" s="99"/>
      <c r="EW1616"/>
      <c r="EX1616"/>
      <c r="EY1616"/>
    </row>
    <row r="1617" spans="121:155" ht="15" customHeight="1" x14ac:dyDescent="0.25">
      <c r="DQ1617" s="99"/>
      <c r="DR1617" s="99"/>
      <c r="EW1617"/>
      <c r="EX1617"/>
      <c r="EY1617"/>
    </row>
    <row r="1618" spans="121:155" ht="15" customHeight="1" x14ac:dyDescent="0.25">
      <c r="DQ1618" s="99"/>
      <c r="DR1618" s="99"/>
      <c r="EW1618"/>
      <c r="EX1618"/>
      <c r="EY1618"/>
    </row>
    <row r="1619" spans="121:155" ht="15" customHeight="1" x14ac:dyDescent="0.25">
      <c r="DQ1619" s="99"/>
      <c r="DR1619" s="99"/>
      <c r="EW1619"/>
      <c r="EX1619"/>
      <c r="EY1619"/>
    </row>
    <row r="1620" spans="121:155" ht="15" customHeight="1" x14ac:dyDescent="0.25">
      <c r="DQ1620" s="99"/>
      <c r="DR1620" s="99"/>
      <c r="EW1620"/>
      <c r="EX1620"/>
      <c r="EY1620"/>
    </row>
    <row r="1621" spans="121:155" ht="15" customHeight="1" x14ac:dyDescent="0.25">
      <c r="DQ1621" s="99"/>
      <c r="DR1621" s="99"/>
      <c r="EW1621"/>
      <c r="EX1621"/>
      <c r="EY1621"/>
    </row>
    <row r="1622" spans="121:155" ht="15" customHeight="1" x14ac:dyDescent="0.25">
      <c r="DQ1622" s="99"/>
      <c r="DR1622" s="99"/>
      <c r="EW1622"/>
      <c r="EX1622"/>
      <c r="EY1622"/>
    </row>
    <row r="1623" spans="121:155" ht="15" customHeight="1" x14ac:dyDescent="0.25">
      <c r="DQ1623" s="99"/>
      <c r="DR1623" s="99"/>
      <c r="EW1623"/>
      <c r="EX1623"/>
      <c r="EY1623"/>
    </row>
    <row r="1624" spans="121:155" ht="15" customHeight="1" x14ac:dyDescent="0.25">
      <c r="DQ1624" s="99"/>
      <c r="DR1624" s="99"/>
      <c r="EW1624"/>
      <c r="EX1624"/>
      <c r="EY1624"/>
    </row>
    <row r="1625" spans="121:155" ht="15" customHeight="1" x14ac:dyDescent="0.25">
      <c r="DQ1625" s="99"/>
      <c r="DR1625" s="99"/>
      <c r="EW1625"/>
      <c r="EX1625"/>
      <c r="EY1625"/>
    </row>
    <row r="1626" spans="121:155" ht="15" customHeight="1" x14ac:dyDescent="0.25">
      <c r="DQ1626" s="99"/>
      <c r="DR1626" s="99"/>
      <c r="EW1626"/>
      <c r="EX1626"/>
      <c r="EY1626"/>
    </row>
    <row r="1627" spans="121:155" ht="15" customHeight="1" x14ac:dyDescent="0.25">
      <c r="DQ1627" s="99"/>
      <c r="DR1627" s="99"/>
      <c r="EW1627"/>
      <c r="EX1627"/>
      <c r="EY1627"/>
    </row>
    <row r="1628" spans="121:155" ht="15" customHeight="1" x14ac:dyDescent="0.25">
      <c r="DQ1628" s="99"/>
      <c r="DR1628" s="99"/>
      <c r="EW1628"/>
      <c r="EX1628"/>
      <c r="EY1628"/>
    </row>
    <row r="1629" spans="121:155" ht="15" customHeight="1" x14ac:dyDescent="0.25">
      <c r="DQ1629" s="99"/>
      <c r="DR1629" s="99"/>
      <c r="EW1629"/>
      <c r="EX1629"/>
      <c r="EY1629"/>
    </row>
    <row r="1630" spans="121:155" ht="15" customHeight="1" x14ac:dyDescent="0.25">
      <c r="DQ1630" s="99"/>
      <c r="DR1630" s="99"/>
      <c r="EW1630"/>
      <c r="EX1630"/>
      <c r="EY1630"/>
    </row>
    <row r="1631" spans="121:155" ht="15" customHeight="1" x14ac:dyDescent="0.25">
      <c r="DQ1631" s="99"/>
      <c r="DR1631" s="99"/>
      <c r="EW1631"/>
      <c r="EX1631"/>
      <c r="EY1631"/>
    </row>
    <row r="1632" spans="121:155" ht="15" customHeight="1" x14ac:dyDescent="0.25">
      <c r="DQ1632" s="99"/>
      <c r="DR1632" s="99"/>
      <c r="EW1632"/>
      <c r="EX1632"/>
      <c r="EY1632"/>
    </row>
    <row r="1633" spans="121:155" ht="15" customHeight="1" x14ac:dyDescent="0.25">
      <c r="DQ1633" s="99"/>
      <c r="DR1633" s="99"/>
      <c r="EW1633"/>
      <c r="EX1633"/>
      <c r="EY1633"/>
    </row>
    <row r="1634" spans="121:155" ht="15" customHeight="1" x14ac:dyDescent="0.25">
      <c r="DQ1634" s="99"/>
      <c r="DR1634" s="99"/>
      <c r="EW1634"/>
      <c r="EX1634"/>
      <c r="EY1634"/>
    </row>
    <row r="1635" spans="121:155" ht="15" customHeight="1" x14ac:dyDescent="0.25">
      <c r="DQ1635" s="99"/>
      <c r="DR1635" s="99"/>
      <c r="EW1635"/>
      <c r="EX1635"/>
      <c r="EY1635"/>
    </row>
    <row r="1636" spans="121:155" ht="15" customHeight="1" x14ac:dyDescent="0.25">
      <c r="DQ1636" s="99"/>
      <c r="DR1636" s="99"/>
      <c r="EW1636"/>
      <c r="EX1636"/>
      <c r="EY1636"/>
    </row>
    <row r="1637" spans="121:155" ht="15" customHeight="1" x14ac:dyDescent="0.25">
      <c r="DQ1637" s="99"/>
      <c r="DR1637" s="99"/>
      <c r="EW1637"/>
      <c r="EX1637"/>
      <c r="EY1637"/>
    </row>
    <row r="1638" spans="121:155" ht="15" customHeight="1" x14ac:dyDescent="0.25">
      <c r="DQ1638" s="99"/>
      <c r="DR1638" s="99"/>
      <c r="EW1638"/>
      <c r="EX1638"/>
      <c r="EY1638"/>
    </row>
    <row r="1639" spans="121:155" ht="15" customHeight="1" x14ac:dyDescent="0.25">
      <c r="DQ1639" s="99"/>
      <c r="DR1639" s="99"/>
      <c r="EW1639"/>
      <c r="EX1639"/>
      <c r="EY1639"/>
    </row>
    <row r="1640" spans="121:155" ht="15" customHeight="1" x14ac:dyDescent="0.25">
      <c r="DQ1640" s="99"/>
      <c r="DR1640" s="99"/>
      <c r="EW1640"/>
      <c r="EX1640"/>
      <c r="EY1640"/>
    </row>
    <row r="1641" spans="121:155" ht="15" customHeight="1" x14ac:dyDescent="0.25">
      <c r="DQ1641" s="99"/>
      <c r="DR1641" s="99"/>
      <c r="EW1641"/>
      <c r="EX1641"/>
      <c r="EY1641"/>
    </row>
    <row r="1642" spans="121:155" ht="15" customHeight="1" x14ac:dyDescent="0.25">
      <c r="DQ1642" s="99"/>
      <c r="DR1642" s="99"/>
      <c r="EW1642"/>
      <c r="EX1642"/>
      <c r="EY1642"/>
    </row>
    <row r="1643" spans="121:155" ht="15" customHeight="1" x14ac:dyDescent="0.25">
      <c r="DQ1643" s="99"/>
      <c r="DR1643" s="99"/>
      <c r="EW1643"/>
      <c r="EX1643"/>
      <c r="EY1643"/>
    </row>
    <row r="1644" spans="121:155" ht="15" customHeight="1" x14ac:dyDescent="0.25">
      <c r="DQ1644" s="99"/>
      <c r="DR1644" s="99"/>
      <c r="EW1644"/>
      <c r="EX1644"/>
      <c r="EY1644"/>
    </row>
    <row r="1645" spans="121:155" ht="15" customHeight="1" x14ac:dyDescent="0.25">
      <c r="DQ1645" s="99"/>
      <c r="DR1645" s="99"/>
      <c r="EW1645"/>
      <c r="EX1645"/>
      <c r="EY1645"/>
    </row>
    <row r="1646" spans="121:155" ht="15" customHeight="1" x14ac:dyDescent="0.25">
      <c r="DQ1646" s="99"/>
      <c r="DR1646" s="99"/>
      <c r="EW1646"/>
      <c r="EX1646"/>
      <c r="EY1646"/>
    </row>
    <row r="1647" spans="121:155" ht="15" customHeight="1" x14ac:dyDescent="0.25">
      <c r="DQ1647" s="99"/>
      <c r="DR1647" s="99"/>
      <c r="EW1647"/>
      <c r="EX1647"/>
      <c r="EY1647"/>
    </row>
    <row r="1648" spans="121:155" ht="15" customHeight="1" x14ac:dyDescent="0.25">
      <c r="DQ1648" s="99"/>
      <c r="DR1648" s="99"/>
      <c r="EW1648"/>
      <c r="EX1648"/>
      <c r="EY1648"/>
    </row>
    <row r="1649" spans="121:155" ht="15" customHeight="1" x14ac:dyDescent="0.25">
      <c r="DQ1649" s="99"/>
      <c r="DR1649" s="99"/>
      <c r="EW1649"/>
      <c r="EX1649"/>
      <c r="EY1649"/>
    </row>
    <row r="1650" spans="121:155" ht="15" customHeight="1" x14ac:dyDescent="0.25">
      <c r="DQ1650" s="99"/>
      <c r="DR1650" s="99"/>
      <c r="EW1650"/>
      <c r="EX1650"/>
      <c r="EY1650"/>
    </row>
    <row r="1651" spans="121:155" ht="15" customHeight="1" x14ac:dyDescent="0.25">
      <c r="DQ1651" s="99"/>
      <c r="DR1651" s="99"/>
      <c r="EW1651"/>
      <c r="EX1651"/>
      <c r="EY1651"/>
    </row>
    <row r="1652" spans="121:155" ht="15" customHeight="1" x14ac:dyDescent="0.25">
      <c r="DQ1652" s="99"/>
      <c r="DR1652" s="99"/>
      <c r="EW1652"/>
      <c r="EX1652"/>
      <c r="EY1652"/>
    </row>
    <row r="1653" spans="121:155" ht="15" customHeight="1" x14ac:dyDescent="0.25">
      <c r="DQ1653" s="99"/>
      <c r="DR1653" s="99"/>
      <c r="EW1653"/>
      <c r="EX1653"/>
      <c r="EY1653"/>
    </row>
    <row r="1654" spans="121:155" ht="15" customHeight="1" x14ac:dyDescent="0.25">
      <c r="DQ1654" s="99"/>
      <c r="DR1654" s="99"/>
      <c r="EW1654"/>
      <c r="EX1654"/>
      <c r="EY1654"/>
    </row>
    <row r="1655" spans="121:155" ht="15" customHeight="1" x14ac:dyDescent="0.25">
      <c r="DQ1655" s="99"/>
      <c r="DR1655" s="99"/>
      <c r="EW1655"/>
      <c r="EX1655"/>
      <c r="EY1655"/>
    </row>
    <row r="1656" spans="121:155" ht="15" customHeight="1" x14ac:dyDescent="0.25">
      <c r="DQ1656" s="99"/>
      <c r="DR1656" s="99"/>
      <c r="EW1656"/>
      <c r="EX1656"/>
      <c r="EY1656"/>
    </row>
    <row r="1657" spans="121:155" ht="15" customHeight="1" x14ac:dyDescent="0.25">
      <c r="DQ1657" s="99"/>
      <c r="DR1657" s="99"/>
      <c r="EW1657"/>
      <c r="EX1657"/>
      <c r="EY1657"/>
    </row>
    <row r="1658" spans="121:155" ht="15" customHeight="1" x14ac:dyDescent="0.25">
      <c r="DQ1658" s="99"/>
      <c r="DR1658" s="99"/>
      <c r="EW1658"/>
      <c r="EX1658"/>
      <c r="EY1658"/>
    </row>
    <row r="1659" spans="121:155" ht="15" customHeight="1" x14ac:dyDescent="0.25">
      <c r="DQ1659" s="99"/>
      <c r="DR1659" s="99"/>
      <c r="EW1659"/>
      <c r="EX1659"/>
      <c r="EY1659"/>
    </row>
    <row r="1660" spans="121:155" ht="15" customHeight="1" x14ac:dyDescent="0.25">
      <c r="DQ1660" s="99"/>
      <c r="DR1660" s="99"/>
      <c r="EW1660"/>
      <c r="EX1660"/>
      <c r="EY1660"/>
    </row>
    <row r="1661" spans="121:155" ht="15" customHeight="1" x14ac:dyDescent="0.25">
      <c r="DQ1661" s="99"/>
      <c r="DR1661" s="99"/>
      <c r="EW1661"/>
      <c r="EX1661"/>
      <c r="EY1661"/>
    </row>
    <row r="1662" spans="121:155" ht="15" customHeight="1" x14ac:dyDescent="0.25">
      <c r="DQ1662" s="99"/>
      <c r="DR1662" s="99"/>
      <c r="EW1662"/>
      <c r="EX1662"/>
      <c r="EY1662"/>
    </row>
    <row r="1663" spans="121:155" ht="15" customHeight="1" x14ac:dyDescent="0.25">
      <c r="DQ1663" s="99"/>
      <c r="DR1663" s="99"/>
      <c r="EW1663"/>
      <c r="EX1663"/>
      <c r="EY1663"/>
    </row>
    <row r="1664" spans="121:155" ht="15" customHeight="1" x14ac:dyDescent="0.25">
      <c r="DQ1664" s="99"/>
      <c r="DR1664" s="99"/>
      <c r="EW1664"/>
      <c r="EX1664"/>
      <c r="EY1664"/>
    </row>
    <row r="1665" spans="121:155" ht="15" customHeight="1" x14ac:dyDescent="0.25">
      <c r="DQ1665" s="99"/>
      <c r="DR1665" s="99"/>
      <c r="EW1665"/>
      <c r="EX1665"/>
      <c r="EY1665"/>
    </row>
    <row r="1666" spans="121:155" ht="15" customHeight="1" x14ac:dyDescent="0.25">
      <c r="DQ1666" s="99"/>
      <c r="DR1666" s="99"/>
      <c r="EW1666"/>
      <c r="EX1666"/>
      <c r="EY1666"/>
    </row>
    <row r="1667" spans="121:155" ht="15" customHeight="1" x14ac:dyDescent="0.25">
      <c r="DQ1667" s="99"/>
      <c r="DR1667" s="99"/>
      <c r="EW1667"/>
      <c r="EX1667"/>
      <c r="EY1667"/>
    </row>
    <row r="1668" spans="121:155" ht="15" customHeight="1" x14ac:dyDescent="0.25">
      <c r="DQ1668" s="99"/>
      <c r="DR1668" s="99"/>
      <c r="EW1668"/>
      <c r="EX1668"/>
      <c r="EY1668"/>
    </row>
    <row r="1669" spans="121:155" ht="15" customHeight="1" x14ac:dyDescent="0.25">
      <c r="DQ1669" s="99"/>
      <c r="DR1669" s="99"/>
      <c r="EW1669"/>
      <c r="EX1669"/>
      <c r="EY1669"/>
    </row>
    <row r="1670" spans="121:155" ht="15" customHeight="1" x14ac:dyDescent="0.25">
      <c r="DQ1670" s="99"/>
      <c r="DR1670" s="99"/>
      <c r="EW1670"/>
      <c r="EX1670"/>
      <c r="EY1670"/>
    </row>
    <row r="1671" spans="121:155" ht="15" customHeight="1" x14ac:dyDescent="0.25">
      <c r="DQ1671" s="99"/>
      <c r="DR1671" s="99"/>
      <c r="EW1671"/>
      <c r="EX1671"/>
      <c r="EY1671"/>
    </row>
    <row r="1672" spans="121:155" ht="15" customHeight="1" x14ac:dyDescent="0.25">
      <c r="DQ1672" s="99"/>
      <c r="DR1672" s="99"/>
      <c r="EW1672"/>
      <c r="EX1672"/>
      <c r="EY1672"/>
    </row>
    <row r="1673" spans="121:155" ht="15" customHeight="1" x14ac:dyDescent="0.25">
      <c r="DQ1673" s="99"/>
      <c r="DR1673" s="99"/>
      <c r="EW1673"/>
      <c r="EX1673"/>
      <c r="EY1673"/>
    </row>
    <row r="1674" spans="121:155" ht="15" customHeight="1" x14ac:dyDescent="0.25">
      <c r="DQ1674" s="99"/>
      <c r="DR1674" s="99"/>
      <c r="EW1674"/>
      <c r="EX1674"/>
      <c r="EY1674"/>
    </row>
    <row r="1675" spans="121:155" ht="15" customHeight="1" x14ac:dyDescent="0.25">
      <c r="DQ1675" s="99"/>
      <c r="DR1675" s="99"/>
      <c r="EW1675"/>
      <c r="EX1675"/>
      <c r="EY1675"/>
    </row>
    <row r="1676" spans="121:155" ht="15" customHeight="1" x14ac:dyDescent="0.25">
      <c r="DQ1676" s="99"/>
      <c r="DR1676" s="99"/>
      <c r="EW1676"/>
      <c r="EX1676"/>
      <c r="EY1676"/>
    </row>
    <row r="1677" spans="121:155" ht="15" customHeight="1" x14ac:dyDescent="0.25">
      <c r="DQ1677" s="99"/>
      <c r="DR1677" s="99"/>
      <c r="EW1677"/>
      <c r="EX1677"/>
      <c r="EY1677"/>
    </row>
    <row r="1678" spans="121:155" ht="15" customHeight="1" x14ac:dyDescent="0.25">
      <c r="DQ1678" s="99"/>
      <c r="DR1678" s="99"/>
      <c r="EW1678"/>
      <c r="EX1678"/>
      <c r="EY1678"/>
    </row>
    <row r="1679" spans="121:155" ht="15" customHeight="1" x14ac:dyDescent="0.25">
      <c r="DQ1679" s="99"/>
      <c r="DR1679" s="99"/>
      <c r="EW1679"/>
      <c r="EX1679"/>
      <c r="EY1679"/>
    </row>
    <row r="1680" spans="121:155" ht="15" customHeight="1" x14ac:dyDescent="0.25">
      <c r="DQ1680" s="99"/>
      <c r="DR1680" s="99"/>
      <c r="EW1680"/>
      <c r="EX1680"/>
      <c r="EY1680"/>
    </row>
    <row r="1681" spans="121:155" ht="15" customHeight="1" x14ac:dyDescent="0.25">
      <c r="DQ1681" s="99"/>
      <c r="DR1681" s="99"/>
      <c r="EW1681"/>
      <c r="EX1681"/>
      <c r="EY1681"/>
    </row>
    <row r="1682" spans="121:155" ht="15" customHeight="1" x14ac:dyDescent="0.25">
      <c r="DQ1682" s="99"/>
      <c r="DR1682" s="99"/>
      <c r="EW1682"/>
      <c r="EX1682"/>
      <c r="EY1682"/>
    </row>
    <row r="1683" spans="121:155" ht="15" customHeight="1" x14ac:dyDescent="0.25">
      <c r="DQ1683" s="99"/>
      <c r="DR1683" s="99"/>
      <c r="EW1683"/>
      <c r="EX1683"/>
      <c r="EY1683"/>
    </row>
    <row r="1684" spans="121:155" ht="15" customHeight="1" x14ac:dyDescent="0.25">
      <c r="DQ1684" s="99"/>
      <c r="DR1684" s="99"/>
      <c r="EW1684"/>
      <c r="EX1684"/>
      <c r="EY1684"/>
    </row>
    <row r="1685" spans="121:155" ht="15" customHeight="1" x14ac:dyDescent="0.25">
      <c r="DQ1685" s="99"/>
      <c r="DR1685" s="99"/>
      <c r="EW1685"/>
      <c r="EX1685"/>
      <c r="EY1685"/>
    </row>
    <row r="1686" spans="121:155" ht="15" customHeight="1" x14ac:dyDescent="0.25">
      <c r="DQ1686" s="99"/>
      <c r="DR1686" s="99"/>
      <c r="EW1686"/>
      <c r="EX1686"/>
      <c r="EY1686"/>
    </row>
    <row r="1687" spans="121:155" ht="15" customHeight="1" x14ac:dyDescent="0.25">
      <c r="DQ1687" s="99"/>
      <c r="DR1687" s="99"/>
      <c r="EW1687"/>
      <c r="EX1687"/>
      <c r="EY1687"/>
    </row>
    <row r="1688" spans="121:155" ht="15" customHeight="1" x14ac:dyDescent="0.25">
      <c r="DQ1688" s="99"/>
      <c r="DR1688" s="99"/>
      <c r="EW1688"/>
      <c r="EX1688"/>
      <c r="EY1688"/>
    </row>
    <row r="1689" spans="121:155" ht="15" customHeight="1" x14ac:dyDescent="0.25">
      <c r="DQ1689" s="99"/>
      <c r="DR1689" s="99"/>
      <c r="EW1689"/>
      <c r="EX1689"/>
      <c r="EY1689"/>
    </row>
    <row r="1690" spans="121:155" ht="15" customHeight="1" x14ac:dyDescent="0.25">
      <c r="DQ1690" s="99"/>
      <c r="DR1690" s="99"/>
      <c r="EW1690"/>
      <c r="EX1690"/>
      <c r="EY1690"/>
    </row>
    <row r="1691" spans="121:155" ht="15" customHeight="1" x14ac:dyDescent="0.25">
      <c r="DQ1691" s="99"/>
      <c r="DR1691" s="99"/>
      <c r="EW1691"/>
      <c r="EX1691"/>
      <c r="EY1691"/>
    </row>
    <row r="1692" spans="121:155" ht="15" customHeight="1" x14ac:dyDescent="0.25">
      <c r="DQ1692" s="99"/>
      <c r="DR1692" s="99"/>
      <c r="EW1692"/>
      <c r="EX1692"/>
      <c r="EY1692"/>
    </row>
    <row r="1693" spans="121:155" ht="15" customHeight="1" x14ac:dyDescent="0.25">
      <c r="DQ1693" s="99"/>
      <c r="DR1693" s="99"/>
      <c r="EW1693"/>
      <c r="EX1693"/>
      <c r="EY1693"/>
    </row>
    <row r="1694" spans="121:155" ht="15" customHeight="1" x14ac:dyDescent="0.25">
      <c r="DQ1694" s="99"/>
      <c r="DR1694" s="99"/>
      <c r="EW1694"/>
      <c r="EX1694"/>
      <c r="EY1694"/>
    </row>
    <row r="1695" spans="121:155" ht="15" customHeight="1" x14ac:dyDescent="0.25">
      <c r="DQ1695" s="99"/>
      <c r="DR1695" s="99"/>
      <c r="EW1695"/>
      <c r="EX1695"/>
      <c r="EY1695"/>
    </row>
    <row r="1696" spans="121:155" ht="15" customHeight="1" x14ac:dyDescent="0.25">
      <c r="DQ1696" s="99"/>
      <c r="DR1696" s="99"/>
      <c r="EW1696"/>
      <c r="EX1696"/>
      <c r="EY1696"/>
    </row>
    <row r="1697" spans="121:155" ht="15" customHeight="1" x14ac:dyDescent="0.25">
      <c r="DQ1697" s="99"/>
      <c r="DR1697" s="99"/>
      <c r="EW1697"/>
      <c r="EX1697"/>
      <c r="EY1697"/>
    </row>
    <row r="1698" spans="121:155" ht="15" customHeight="1" x14ac:dyDescent="0.25">
      <c r="DQ1698" s="99"/>
      <c r="DR1698" s="99"/>
      <c r="EW1698"/>
      <c r="EX1698"/>
      <c r="EY1698"/>
    </row>
    <row r="1699" spans="121:155" ht="15" customHeight="1" x14ac:dyDescent="0.25">
      <c r="DQ1699" s="99"/>
      <c r="DR1699" s="99"/>
      <c r="EW1699"/>
      <c r="EX1699"/>
      <c r="EY1699"/>
    </row>
    <row r="1700" spans="121:155" ht="15" customHeight="1" x14ac:dyDescent="0.25">
      <c r="DQ1700" s="99"/>
      <c r="DR1700" s="99"/>
      <c r="EW1700"/>
      <c r="EX1700"/>
      <c r="EY1700"/>
    </row>
    <row r="1701" spans="121:155" ht="15" customHeight="1" x14ac:dyDescent="0.25">
      <c r="DQ1701" s="99"/>
      <c r="DR1701" s="99"/>
      <c r="EW1701"/>
      <c r="EX1701"/>
      <c r="EY1701"/>
    </row>
    <row r="1702" spans="121:155" ht="15" customHeight="1" x14ac:dyDescent="0.25">
      <c r="DQ1702" s="99"/>
      <c r="DR1702" s="99"/>
      <c r="EW1702"/>
      <c r="EX1702"/>
      <c r="EY1702"/>
    </row>
    <row r="1703" spans="121:155" ht="15" customHeight="1" x14ac:dyDescent="0.25">
      <c r="DQ1703" s="99"/>
      <c r="DR1703" s="99"/>
      <c r="EW1703"/>
      <c r="EX1703"/>
      <c r="EY1703"/>
    </row>
    <row r="1704" spans="121:155" ht="15" customHeight="1" x14ac:dyDescent="0.25">
      <c r="DQ1704" s="99"/>
      <c r="DR1704" s="99"/>
      <c r="EW1704"/>
      <c r="EX1704"/>
      <c r="EY1704"/>
    </row>
    <row r="1705" spans="121:155" ht="15" customHeight="1" x14ac:dyDescent="0.25">
      <c r="DQ1705" s="99"/>
      <c r="DR1705" s="99"/>
      <c r="EW1705"/>
      <c r="EX1705"/>
      <c r="EY1705"/>
    </row>
    <row r="1706" spans="121:155" ht="15" customHeight="1" x14ac:dyDescent="0.25">
      <c r="DQ1706" s="99"/>
      <c r="DR1706" s="99"/>
      <c r="EW1706"/>
      <c r="EX1706"/>
      <c r="EY1706"/>
    </row>
    <row r="1707" spans="121:155" ht="15" customHeight="1" x14ac:dyDescent="0.25">
      <c r="DQ1707" s="99"/>
      <c r="DR1707" s="99"/>
      <c r="EW1707"/>
      <c r="EX1707"/>
      <c r="EY1707"/>
    </row>
    <row r="1708" spans="121:155" ht="15" customHeight="1" x14ac:dyDescent="0.25">
      <c r="DQ1708" s="99"/>
      <c r="DR1708" s="99"/>
      <c r="EW1708"/>
      <c r="EX1708"/>
      <c r="EY1708"/>
    </row>
    <row r="1709" spans="121:155" ht="15" customHeight="1" x14ac:dyDescent="0.25">
      <c r="DQ1709" s="99"/>
      <c r="DR1709" s="99"/>
      <c r="EW1709"/>
      <c r="EX1709"/>
      <c r="EY1709"/>
    </row>
    <row r="1710" spans="121:155" ht="15" customHeight="1" x14ac:dyDescent="0.25">
      <c r="DQ1710" s="99"/>
      <c r="DR1710" s="99"/>
      <c r="EW1710"/>
      <c r="EX1710"/>
      <c r="EY1710"/>
    </row>
    <row r="1711" spans="121:155" ht="15" customHeight="1" x14ac:dyDescent="0.25">
      <c r="DQ1711" s="99"/>
      <c r="DR1711" s="99"/>
      <c r="EW1711"/>
      <c r="EX1711"/>
      <c r="EY1711"/>
    </row>
    <row r="1712" spans="121:155" ht="15" customHeight="1" x14ac:dyDescent="0.25">
      <c r="DQ1712" s="99"/>
      <c r="DR1712" s="99"/>
      <c r="EW1712"/>
      <c r="EX1712"/>
      <c r="EY1712"/>
    </row>
    <row r="1713" spans="121:155" ht="15" customHeight="1" x14ac:dyDescent="0.25">
      <c r="DQ1713" s="99"/>
      <c r="DR1713" s="99"/>
      <c r="EW1713"/>
      <c r="EX1713"/>
      <c r="EY1713"/>
    </row>
    <row r="1714" spans="121:155" ht="15" customHeight="1" x14ac:dyDescent="0.25">
      <c r="DQ1714" s="99"/>
      <c r="DR1714" s="99"/>
      <c r="EW1714"/>
      <c r="EX1714"/>
      <c r="EY1714"/>
    </row>
    <row r="1715" spans="121:155" ht="15" customHeight="1" x14ac:dyDescent="0.25">
      <c r="DQ1715" s="99"/>
      <c r="DR1715" s="99"/>
      <c r="EW1715"/>
      <c r="EX1715"/>
      <c r="EY1715"/>
    </row>
    <row r="1716" spans="121:155" ht="15" customHeight="1" x14ac:dyDescent="0.25">
      <c r="DQ1716" s="99"/>
      <c r="DR1716" s="99"/>
      <c r="EW1716"/>
      <c r="EX1716"/>
      <c r="EY1716"/>
    </row>
    <row r="1717" spans="121:155" ht="15" customHeight="1" x14ac:dyDescent="0.25">
      <c r="DQ1717" s="99"/>
      <c r="DR1717" s="99"/>
      <c r="EW1717"/>
      <c r="EX1717"/>
      <c r="EY1717"/>
    </row>
    <row r="1718" spans="121:155" ht="15" customHeight="1" x14ac:dyDescent="0.25">
      <c r="DQ1718" s="99"/>
      <c r="DR1718" s="99"/>
      <c r="EW1718"/>
      <c r="EX1718"/>
      <c r="EY1718"/>
    </row>
    <row r="1719" spans="121:155" ht="15" customHeight="1" x14ac:dyDescent="0.25">
      <c r="DQ1719" s="99"/>
      <c r="DR1719" s="99"/>
      <c r="EW1719"/>
      <c r="EX1719"/>
      <c r="EY1719"/>
    </row>
    <row r="1720" spans="121:155" ht="15" customHeight="1" x14ac:dyDescent="0.25">
      <c r="DQ1720" s="99"/>
      <c r="DR1720" s="99"/>
      <c r="EW1720"/>
      <c r="EX1720"/>
      <c r="EY1720"/>
    </row>
    <row r="1721" spans="121:155" ht="15" customHeight="1" x14ac:dyDescent="0.25">
      <c r="DQ1721" s="99"/>
      <c r="DR1721" s="99"/>
      <c r="EW1721"/>
      <c r="EX1721"/>
      <c r="EY1721"/>
    </row>
    <row r="1722" spans="121:155" ht="15" customHeight="1" x14ac:dyDescent="0.25">
      <c r="DQ1722" s="99"/>
      <c r="DR1722" s="99"/>
      <c r="EW1722"/>
      <c r="EX1722"/>
      <c r="EY1722"/>
    </row>
    <row r="1723" spans="121:155" ht="15" customHeight="1" x14ac:dyDescent="0.25">
      <c r="DQ1723" s="99"/>
      <c r="DR1723" s="99"/>
      <c r="EW1723"/>
      <c r="EX1723"/>
      <c r="EY1723"/>
    </row>
    <row r="1724" spans="121:155" ht="15" customHeight="1" x14ac:dyDescent="0.25">
      <c r="DQ1724" s="99"/>
      <c r="DR1724" s="99"/>
      <c r="EW1724"/>
      <c r="EX1724"/>
      <c r="EY1724"/>
    </row>
    <row r="1725" spans="121:155" ht="15" customHeight="1" x14ac:dyDescent="0.25">
      <c r="DQ1725" s="99"/>
      <c r="DR1725" s="99"/>
      <c r="EW1725"/>
      <c r="EX1725"/>
      <c r="EY1725"/>
    </row>
    <row r="1726" spans="121:155" ht="15" customHeight="1" x14ac:dyDescent="0.25">
      <c r="DQ1726" s="99"/>
      <c r="DR1726" s="99"/>
      <c r="EW1726"/>
      <c r="EX1726"/>
      <c r="EY1726"/>
    </row>
    <row r="1727" spans="121:155" ht="15" customHeight="1" x14ac:dyDescent="0.25">
      <c r="DQ1727" s="99"/>
      <c r="DR1727" s="99"/>
      <c r="EW1727"/>
      <c r="EX1727"/>
      <c r="EY1727"/>
    </row>
    <row r="1728" spans="121:155" ht="15" customHeight="1" x14ac:dyDescent="0.25">
      <c r="DQ1728" s="99"/>
      <c r="DR1728" s="99"/>
      <c r="EW1728"/>
      <c r="EX1728"/>
      <c r="EY1728"/>
    </row>
    <row r="1729" spans="121:155" ht="15" customHeight="1" x14ac:dyDescent="0.25">
      <c r="DQ1729" s="99"/>
      <c r="DR1729" s="99"/>
      <c r="EW1729"/>
      <c r="EX1729"/>
      <c r="EY1729"/>
    </row>
    <row r="1730" spans="121:155" ht="15" customHeight="1" x14ac:dyDescent="0.25">
      <c r="DQ1730" s="99"/>
      <c r="DR1730" s="99"/>
      <c r="EW1730"/>
      <c r="EX1730"/>
      <c r="EY1730"/>
    </row>
    <row r="1731" spans="121:155" ht="15" customHeight="1" x14ac:dyDescent="0.25">
      <c r="DQ1731" s="99"/>
      <c r="DR1731" s="99"/>
      <c r="EW1731"/>
      <c r="EX1731"/>
      <c r="EY1731"/>
    </row>
    <row r="1732" spans="121:155" ht="15" customHeight="1" x14ac:dyDescent="0.25">
      <c r="DQ1732" s="99"/>
      <c r="DR1732" s="99"/>
      <c r="EW1732"/>
      <c r="EX1732"/>
      <c r="EY1732"/>
    </row>
    <row r="1733" spans="121:155" ht="15" customHeight="1" x14ac:dyDescent="0.25">
      <c r="DQ1733" s="99"/>
      <c r="DR1733" s="99"/>
      <c r="EW1733"/>
      <c r="EX1733"/>
      <c r="EY1733"/>
    </row>
    <row r="1734" spans="121:155" ht="15" customHeight="1" x14ac:dyDescent="0.25">
      <c r="DQ1734" s="99"/>
      <c r="DR1734" s="99"/>
      <c r="EW1734"/>
      <c r="EX1734"/>
      <c r="EY1734"/>
    </row>
    <row r="1735" spans="121:155" ht="15" customHeight="1" x14ac:dyDescent="0.25">
      <c r="DQ1735" s="99"/>
      <c r="DR1735" s="99"/>
      <c r="EW1735"/>
      <c r="EX1735"/>
      <c r="EY1735"/>
    </row>
    <row r="1736" spans="121:155" ht="15" customHeight="1" x14ac:dyDescent="0.25">
      <c r="DQ1736" s="99"/>
      <c r="DR1736" s="99"/>
      <c r="EW1736"/>
      <c r="EX1736"/>
      <c r="EY1736"/>
    </row>
    <row r="1737" spans="121:155" ht="15" customHeight="1" x14ac:dyDescent="0.25">
      <c r="DQ1737" s="99"/>
      <c r="DR1737" s="99"/>
      <c r="EW1737"/>
      <c r="EX1737"/>
      <c r="EY1737"/>
    </row>
    <row r="1738" spans="121:155" ht="15" customHeight="1" x14ac:dyDescent="0.25">
      <c r="DQ1738" s="99"/>
      <c r="DR1738" s="99"/>
      <c r="EW1738"/>
      <c r="EX1738"/>
      <c r="EY1738"/>
    </row>
    <row r="1739" spans="121:155" ht="15" customHeight="1" x14ac:dyDescent="0.25">
      <c r="DQ1739" s="99"/>
      <c r="DR1739" s="99"/>
      <c r="EW1739"/>
      <c r="EX1739"/>
      <c r="EY1739"/>
    </row>
    <row r="1740" spans="121:155" ht="15" customHeight="1" x14ac:dyDescent="0.25">
      <c r="DQ1740" s="99"/>
      <c r="DR1740" s="99"/>
      <c r="EW1740"/>
      <c r="EX1740"/>
      <c r="EY1740"/>
    </row>
    <row r="1741" spans="121:155" ht="15" customHeight="1" x14ac:dyDescent="0.25">
      <c r="DQ1741" s="99"/>
      <c r="DR1741" s="99"/>
      <c r="EW1741"/>
      <c r="EX1741"/>
      <c r="EY1741"/>
    </row>
    <row r="1742" spans="121:155" ht="15" customHeight="1" x14ac:dyDescent="0.25">
      <c r="DQ1742" s="99"/>
      <c r="DR1742" s="99"/>
      <c r="EW1742"/>
      <c r="EX1742"/>
      <c r="EY1742"/>
    </row>
    <row r="1743" spans="121:155" ht="15" customHeight="1" x14ac:dyDescent="0.25">
      <c r="DQ1743" s="99"/>
      <c r="DR1743" s="99"/>
      <c r="EW1743"/>
      <c r="EX1743"/>
      <c r="EY1743"/>
    </row>
    <row r="1744" spans="121:155" ht="15" customHeight="1" x14ac:dyDescent="0.25">
      <c r="DQ1744" s="99"/>
      <c r="DR1744" s="99"/>
      <c r="EW1744"/>
      <c r="EX1744"/>
      <c r="EY1744"/>
    </row>
    <row r="1745" spans="121:155" ht="15" customHeight="1" x14ac:dyDescent="0.25">
      <c r="DQ1745" s="99"/>
      <c r="DR1745" s="99"/>
      <c r="EW1745"/>
      <c r="EX1745"/>
      <c r="EY1745"/>
    </row>
    <row r="1746" spans="121:155" ht="15" customHeight="1" x14ac:dyDescent="0.25">
      <c r="DQ1746" s="99"/>
      <c r="DR1746" s="99"/>
      <c r="EW1746"/>
      <c r="EX1746"/>
      <c r="EY1746"/>
    </row>
    <row r="1747" spans="121:155" ht="15" customHeight="1" x14ac:dyDescent="0.25">
      <c r="DQ1747" s="99"/>
      <c r="DR1747" s="99"/>
      <c r="EW1747"/>
      <c r="EX1747"/>
      <c r="EY1747"/>
    </row>
    <row r="1748" spans="121:155" ht="15" customHeight="1" x14ac:dyDescent="0.25">
      <c r="DQ1748" s="99"/>
      <c r="DR1748" s="99"/>
      <c r="EW1748"/>
      <c r="EX1748"/>
      <c r="EY1748"/>
    </row>
    <row r="1749" spans="121:155" ht="15" customHeight="1" x14ac:dyDescent="0.25">
      <c r="DQ1749" s="99"/>
      <c r="DR1749" s="99"/>
      <c r="EW1749"/>
      <c r="EX1749"/>
      <c r="EY1749"/>
    </row>
    <row r="1750" spans="121:155" ht="15" customHeight="1" x14ac:dyDescent="0.25">
      <c r="DQ1750" s="99"/>
      <c r="DR1750" s="99"/>
      <c r="EW1750"/>
      <c r="EX1750"/>
      <c r="EY1750"/>
    </row>
    <row r="1751" spans="121:155" ht="15" customHeight="1" x14ac:dyDescent="0.25">
      <c r="DQ1751" s="99"/>
      <c r="DR1751" s="99"/>
      <c r="EW1751"/>
      <c r="EX1751"/>
      <c r="EY1751"/>
    </row>
    <row r="1752" spans="121:155" ht="15" customHeight="1" x14ac:dyDescent="0.25">
      <c r="DQ1752" s="99"/>
      <c r="DR1752" s="99"/>
      <c r="EW1752"/>
      <c r="EX1752"/>
      <c r="EY1752"/>
    </row>
    <row r="1753" spans="121:155" ht="15" customHeight="1" x14ac:dyDescent="0.25">
      <c r="DQ1753" s="99"/>
      <c r="DR1753" s="99"/>
      <c r="EW1753"/>
      <c r="EX1753"/>
      <c r="EY1753"/>
    </row>
    <row r="1754" spans="121:155" ht="15" customHeight="1" x14ac:dyDescent="0.25">
      <c r="DQ1754" s="99"/>
      <c r="DR1754" s="99"/>
      <c r="EW1754"/>
      <c r="EX1754"/>
      <c r="EY1754"/>
    </row>
    <row r="1755" spans="121:155" ht="15" customHeight="1" x14ac:dyDescent="0.25">
      <c r="DQ1755" s="99"/>
      <c r="DR1755" s="99"/>
      <c r="EW1755"/>
      <c r="EX1755"/>
      <c r="EY1755"/>
    </row>
    <row r="1756" spans="121:155" ht="15" customHeight="1" x14ac:dyDescent="0.25">
      <c r="DQ1756" s="99"/>
      <c r="DR1756" s="99"/>
      <c r="EW1756"/>
      <c r="EX1756"/>
      <c r="EY1756"/>
    </row>
    <row r="1757" spans="121:155" ht="15" customHeight="1" x14ac:dyDescent="0.25">
      <c r="DQ1757" s="99"/>
      <c r="DR1757" s="99"/>
      <c r="EW1757"/>
      <c r="EX1757"/>
      <c r="EY1757"/>
    </row>
    <row r="1758" spans="121:155" ht="15" customHeight="1" x14ac:dyDescent="0.25">
      <c r="DQ1758" s="99"/>
      <c r="DR1758" s="99"/>
      <c r="EW1758"/>
      <c r="EX1758"/>
      <c r="EY1758"/>
    </row>
    <row r="1759" spans="121:155" ht="15" customHeight="1" x14ac:dyDescent="0.25">
      <c r="DQ1759" s="99"/>
      <c r="DR1759" s="99"/>
      <c r="EW1759"/>
      <c r="EX1759"/>
      <c r="EY1759"/>
    </row>
    <row r="1760" spans="121:155" ht="15" customHeight="1" x14ac:dyDescent="0.25">
      <c r="DQ1760" s="99"/>
      <c r="DR1760" s="99"/>
      <c r="EW1760"/>
      <c r="EX1760"/>
      <c r="EY1760"/>
    </row>
    <row r="1761" spans="121:155" ht="15" customHeight="1" x14ac:dyDescent="0.25">
      <c r="DQ1761" s="99"/>
      <c r="DR1761" s="99"/>
      <c r="EW1761"/>
      <c r="EX1761"/>
      <c r="EY1761"/>
    </row>
    <row r="1762" spans="121:155" ht="15" customHeight="1" x14ac:dyDescent="0.25">
      <c r="DQ1762" s="99"/>
      <c r="DR1762" s="99"/>
      <c r="EW1762"/>
      <c r="EX1762"/>
      <c r="EY1762"/>
    </row>
    <row r="1763" spans="121:155" ht="15" customHeight="1" x14ac:dyDescent="0.25">
      <c r="DQ1763" s="99"/>
      <c r="DR1763" s="99"/>
      <c r="EW1763"/>
      <c r="EX1763"/>
      <c r="EY1763"/>
    </row>
    <row r="1764" spans="121:155" ht="15" customHeight="1" x14ac:dyDescent="0.25">
      <c r="DQ1764" s="99"/>
      <c r="DR1764" s="99"/>
      <c r="EW1764"/>
      <c r="EX1764"/>
      <c r="EY1764"/>
    </row>
    <row r="1765" spans="121:155" ht="15" customHeight="1" x14ac:dyDescent="0.25">
      <c r="DQ1765" s="99"/>
      <c r="DR1765" s="99"/>
      <c r="EW1765"/>
      <c r="EX1765"/>
      <c r="EY1765"/>
    </row>
    <row r="1766" spans="121:155" ht="15" customHeight="1" x14ac:dyDescent="0.25">
      <c r="DQ1766" s="99"/>
      <c r="DR1766" s="99"/>
      <c r="EW1766"/>
      <c r="EX1766"/>
      <c r="EY1766"/>
    </row>
    <row r="1767" spans="121:155" ht="15" customHeight="1" x14ac:dyDescent="0.25">
      <c r="DQ1767" s="99"/>
      <c r="DR1767" s="99"/>
      <c r="EW1767"/>
      <c r="EX1767"/>
      <c r="EY1767"/>
    </row>
    <row r="1768" spans="121:155" ht="15" customHeight="1" x14ac:dyDescent="0.25">
      <c r="DQ1768" s="99"/>
      <c r="DR1768" s="99"/>
      <c r="EW1768"/>
      <c r="EX1768"/>
      <c r="EY1768"/>
    </row>
    <row r="1769" spans="121:155" ht="15" customHeight="1" x14ac:dyDescent="0.25">
      <c r="DQ1769" s="99"/>
      <c r="DR1769" s="99"/>
      <c r="EW1769"/>
      <c r="EX1769"/>
      <c r="EY1769"/>
    </row>
    <row r="1770" spans="121:155" ht="15" customHeight="1" x14ac:dyDescent="0.25">
      <c r="DQ1770" s="99"/>
      <c r="DR1770" s="99"/>
      <c r="EW1770"/>
      <c r="EX1770"/>
      <c r="EY1770"/>
    </row>
    <row r="1771" spans="121:155" ht="15" customHeight="1" x14ac:dyDescent="0.25">
      <c r="DQ1771" s="99"/>
      <c r="DR1771" s="99"/>
      <c r="EW1771"/>
      <c r="EX1771"/>
      <c r="EY1771"/>
    </row>
    <row r="1772" spans="121:155" ht="15" customHeight="1" x14ac:dyDescent="0.25">
      <c r="DQ1772" s="99"/>
      <c r="DR1772" s="99"/>
      <c r="EW1772"/>
      <c r="EX1772"/>
      <c r="EY1772"/>
    </row>
    <row r="1773" spans="121:155" ht="15" customHeight="1" x14ac:dyDescent="0.25">
      <c r="DQ1773" s="99"/>
      <c r="DR1773" s="99"/>
      <c r="EW1773"/>
      <c r="EX1773"/>
      <c r="EY1773"/>
    </row>
    <row r="1774" spans="121:155" ht="15" customHeight="1" x14ac:dyDescent="0.25">
      <c r="DQ1774" s="99"/>
      <c r="DR1774" s="99"/>
      <c r="EW1774"/>
      <c r="EX1774"/>
      <c r="EY1774"/>
    </row>
    <row r="1775" spans="121:155" ht="15" customHeight="1" x14ac:dyDescent="0.25">
      <c r="DQ1775" s="99"/>
      <c r="DR1775" s="99"/>
      <c r="EW1775"/>
      <c r="EX1775"/>
      <c r="EY1775"/>
    </row>
    <row r="1776" spans="121:155" ht="15" customHeight="1" x14ac:dyDescent="0.25">
      <c r="DQ1776" s="99"/>
      <c r="DR1776" s="99"/>
      <c r="EW1776"/>
      <c r="EX1776"/>
      <c r="EY1776"/>
    </row>
    <row r="1777" spans="121:155" ht="15" customHeight="1" x14ac:dyDescent="0.25">
      <c r="DQ1777" s="99"/>
      <c r="DR1777" s="99"/>
      <c r="EW1777"/>
      <c r="EX1777"/>
      <c r="EY1777"/>
    </row>
    <row r="1778" spans="121:155" ht="15" customHeight="1" x14ac:dyDescent="0.25">
      <c r="DQ1778" s="99"/>
      <c r="DR1778" s="99"/>
      <c r="EW1778"/>
      <c r="EX1778"/>
      <c r="EY1778"/>
    </row>
    <row r="1779" spans="121:155" ht="15" customHeight="1" x14ac:dyDescent="0.25">
      <c r="DQ1779" s="99"/>
      <c r="DR1779" s="99"/>
      <c r="EW1779"/>
      <c r="EX1779"/>
      <c r="EY1779"/>
    </row>
    <row r="1780" spans="121:155" ht="15" customHeight="1" x14ac:dyDescent="0.25">
      <c r="DQ1780" s="99"/>
      <c r="DR1780" s="99"/>
      <c r="EW1780"/>
      <c r="EX1780"/>
      <c r="EY1780"/>
    </row>
    <row r="1781" spans="121:155" ht="15" customHeight="1" x14ac:dyDescent="0.25">
      <c r="DQ1781" s="99"/>
      <c r="DR1781" s="99"/>
      <c r="EW1781"/>
      <c r="EX1781"/>
      <c r="EY1781"/>
    </row>
    <row r="1782" spans="121:155" ht="15" customHeight="1" x14ac:dyDescent="0.25">
      <c r="DQ1782" s="99"/>
      <c r="DR1782" s="99"/>
      <c r="EW1782"/>
      <c r="EX1782"/>
      <c r="EY1782"/>
    </row>
    <row r="1783" spans="121:155" ht="15" customHeight="1" x14ac:dyDescent="0.25">
      <c r="DQ1783" s="99"/>
      <c r="DR1783" s="99"/>
      <c r="EW1783"/>
      <c r="EX1783"/>
      <c r="EY1783"/>
    </row>
    <row r="1784" spans="121:155" ht="15" customHeight="1" x14ac:dyDescent="0.25">
      <c r="DQ1784" s="99"/>
      <c r="DR1784" s="99"/>
      <c r="EW1784"/>
      <c r="EX1784"/>
      <c r="EY1784"/>
    </row>
    <row r="1785" spans="121:155" ht="15" customHeight="1" x14ac:dyDescent="0.25">
      <c r="DQ1785" s="99"/>
      <c r="DR1785" s="99"/>
      <c r="EW1785"/>
      <c r="EX1785"/>
      <c r="EY1785"/>
    </row>
    <row r="1786" spans="121:155" ht="15" customHeight="1" x14ac:dyDescent="0.25">
      <c r="DQ1786" s="99"/>
      <c r="DR1786" s="99"/>
      <c r="EW1786"/>
      <c r="EX1786"/>
      <c r="EY1786"/>
    </row>
    <row r="1787" spans="121:155" ht="15" customHeight="1" x14ac:dyDescent="0.25">
      <c r="DQ1787" s="99"/>
      <c r="DR1787" s="99"/>
      <c r="EW1787"/>
      <c r="EX1787"/>
      <c r="EY1787"/>
    </row>
    <row r="1788" spans="121:155" ht="15" customHeight="1" x14ac:dyDescent="0.25">
      <c r="DQ1788" s="99"/>
      <c r="DR1788" s="99"/>
      <c r="EW1788"/>
      <c r="EX1788"/>
      <c r="EY1788"/>
    </row>
    <row r="1789" spans="121:155" ht="15" customHeight="1" x14ac:dyDescent="0.25">
      <c r="DQ1789" s="99"/>
      <c r="DR1789" s="99"/>
      <c r="EW1789"/>
      <c r="EX1789"/>
      <c r="EY1789"/>
    </row>
    <row r="1790" spans="121:155" ht="15" customHeight="1" x14ac:dyDescent="0.25">
      <c r="DQ1790" s="99"/>
      <c r="DR1790" s="99"/>
      <c r="EW1790"/>
      <c r="EX1790"/>
      <c r="EY1790"/>
    </row>
    <row r="1791" spans="121:155" ht="15" customHeight="1" x14ac:dyDescent="0.25">
      <c r="DQ1791" s="99"/>
      <c r="DR1791" s="99"/>
      <c r="EW1791"/>
      <c r="EX1791"/>
      <c r="EY1791"/>
    </row>
    <row r="1792" spans="121:155" ht="15" customHeight="1" x14ac:dyDescent="0.25">
      <c r="DQ1792" s="99"/>
      <c r="DR1792" s="99"/>
      <c r="EW1792"/>
      <c r="EX1792"/>
      <c r="EY1792"/>
    </row>
    <row r="1793" spans="121:155" ht="15" customHeight="1" x14ac:dyDescent="0.25">
      <c r="DQ1793" s="99"/>
      <c r="DR1793" s="99"/>
      <c r="EW1793"/>
      <c r="EX1793"/>
      <c r="EY1793"/>
    </row>
    <row r="1794" spans="121:155" ht="15" customHeight="1" x14ac:dyDescent="0.25">
      <c r="DQ1794" s="99"/>
      <c r="DR1794" s="99"/>
      <c r="EW1794"/>
      <c r="EX1794"/>
      <c r="EY1794"/>
    </row>
    <row r="1795" spans="121:155" ht="15" customHeight="1" x14ac:dyDescent="0.25">
      <c r="DQ1795" s="99"/>
      <c r="DR1795" s="99"/>
      <c r="EW1795"/>
      <c r="EX1795"/>
      <c r="EY1795"/>
    </row>
    <row r="1796" spans="121:155" ht="15" customHeight="1" x14ac:dyDescent="0.25">
      <c r="DQ1796" s="99"/>
      <c r="DR1796" s="99"/>
      <c r="EW1796"/>
      <c r="EX1796"/>
      <c r="EY1796"/>
    </row>
    <row r="1797" spans="121:155" ht="15" customHeight="1" x14ac:dyDescent="0.25">
      <c r="DQ1797" s="99"/>
      <c r="DR1797" s="99"/>
      <c r="EW1797"/>
      <c r="EX1797"/>
      <c r="EY1797"/>
    </row>
    <row r="1798" spans="121:155" ht="15" customHeight="1" x14ac:dyDescent="0.25">
      <c r="DQ1798" s="99"/>
      <c r="DR1798" s="99"/>
      <c r="EW1798"/>
      <c r="EX1798"/>
      <c r="EY1798"/>
    </row>
    <row r="1799" spans="121:155" ht="15" customHeight="1" x14ac:dyDescent="0.25">
      <c r="DQ1799" s="99"/>
      <c r="DR1799" s="99"/>
      <c r="EW1799"/>
      <c r="EX1799"/>
      <c r="EY1799"/>
    </row>
    <row r="1800" spans="121:155" ht="15" customHeight="1" x14ac:dyDescent="0.25">
      <c r="DQ1800" s="99"/>
      <c r="DR1800" s="99"/>
      <c r="EW1800"/>
      <c r="EX1800"/>
      <c r="EY1800"/>
    </row>
    <row r="1801" spans="121:155" ht="15" customHeight="1" x14ac:dyDescent="0.25">
      <c r="DQ1801" s="99"/>
      <c r="DR1801" s="99"/>
      <c r="EW1801"/>
      <c r="EX1801"/>
      <c r="EY1801"/>
    </row>
    <row r="1802" spans="121:155" ht="15" customHeight="1" x14ac:dyDescent="0.25">
      <c r="DQ1802" s="99"/>
      <c r="DR1802" s="99"/>
      <c r="EW1802"/>
      <c r="EX1802"/>
      <c r="EY1802"/>
    </row>
    <row r="1803" spans="121:155" ht="15" customHeight="1" x14ac:dyDescent="0.25">
      <c r="DQ1803" s="99"/>
      <c r="DR1803" s="99"/>
      <c r="EW1803"/>
      <c r="EX1803"/>
      <c r="EY1803"/>
    </row>
    <row r="1804" spans="121:155" ht="15" customHeight="1" x14ac:dyDescent="0.25">
      <c r="DQ1804" s="99"/>
      <c r="DR1804" s="99"/>
      <c r="EW1804"/>
      <c r="EX1804"/>
      <c r="EY1804"/>
    </row>
    <row r="1805" spans="121:155" ht="15" customHeight="1" x14ac:dyDescent="0.25">
      <c r="DQ1805" s="99"/>
      <c r="DR1805" s="99"/>
      <c r="EW1805"/>
      <c r="EX1805"/>
      <c r="EY1805"/>
    </row>
    <row r="1806" spans="121:155" ht="15" customHeight="1" x14ac:dyDescent="0.25">
      <c r="DQ1806" s="99"/>
      <c r="DR1806" s="99"/>
      <c r="EW1806"/>
      <c r="EX1806"/>
      <c r="EY1806"/>
    </row>
    <row r="1807" spans="121:155" ht="15" customHeight="1" x14ac:dyDescent="0.25">
      <c r="DQ1807" s="99"/>
      <c r="DR1807" s="99"/>
      <c r="EW1807"/>
      <c r="EX1807"/>
      <c r="EY1807"/>
    </row>
    <row r="1808" spans="121:155" ht="15" customHeight="1" x14ac:dyDescent="0.25">
      <c r="DQ1808" s="99"/>
      <c r="DR1808" s="99"/>
      <c r="EW1808"/>
      <c r="EX1808"/>
      <c r="EY1808"/>
    </row>
    <row r="1809" spans="121:155" ht="15" customHeight="1" x14ac:dyDescent="0.25">
      <c r="DQ1809" s="99"/>
      <c r="DR1809" s="99"/>
      <c r="EW1809"/>
      <c r="EX1809"/>
      <c r="EY1809"/>
    </row>
    <row r="1810" spans="121:155" ht="15" customHeight="1" x14ac:dyDescent="0.25">
      <c r="DQ1810" s="99"/>
      <c r="DR1810" s="99"/>
      <c r="EW1810"/>
      <c r="EX1810"/>
      <c r="EY1810"/>
    </row>
    <row r="1811" spans="121:155" ht="15" customHeight="1" x14ac:dyDescent="0.25">
      <c r="DQ1811" s="99"/>
      <c r="DR1811" s="99"/>
      <c r="EW1811"/>
      <c r="EX1811"/>
      <c r="EY1811"/>
    </row>
    <row r="1812" spans="121:155" ht="15" customHeight="1" x14ac:dyDescent="0.25">
      <c r="DQ1812" s="99"/>
      <c r="DR1812" s="99"/>
      <c r="EW1812"/>
      <c r="EX1812"/>
      <c r="EY1812"/>
    </row>
    <row r="1813" spans="121:155" ht="15" customHeight="1" x14ac:dyDescent="0.25">
      <c r="DQ1813" s="99"/>
      <c r="DR1813" s="99"/>
      <c r="EW1813"/>
      <c r="EX1813"/>
      <c r="EY1813"/>
    </row>
    <row r="1814" spans="121:155" ht="15" customHeight="1" x14ac:dyDescent="0.25">
      <c r="DQ1814" s="99"/>
      <c r="DR1814" s="99"/>
      <c r="EW1814"/>
      <c r="EX1814"/>
      <c r="EY1814"/>
    </row>
    <row r="1815" spans="121:155" ht="15" customHeight="1" x14ac:dyDescent="0.25">
      <c r="DQ1815" s="99"/>
      <c r="DR1815" s="99"/>
      <c r="EW1815"/>
      <c r="EX1815"/>
      <c r="EY1815"/>
    </row>
    <row r="1816" spans="121:155" ht="15" customHeight="1" x14ac:dyDescent="0.25">
      <c r="DQ1816" s="99"/>
      <c r="DR1816" s="99"/>
      <c r="EW1816"/>
      <c r="EX1816"/>
      <c r="EY1816"/>
    </row>
    <row r="1817" spans="121:155" ht="15" customHeight="1" x14ac:dyDescent="0.25">
      <c r="DQ1817" s="99"/>
      <c r="DR1817" s="99"/>
      <c r="EW1817"/>
      <c r="EX1817"/>
      <c r="EY1817"/>
    </row>
    <row r="1818" spans="121:155" ht="15" customHeight="1" x14ac:dyDescent="0.25">
      <c r="DQ1818" s="99"/>
      <c r="DR1818" s="99"/>
      <c r="EW1818"/>
      <c r="EX1818"/>
      <c r="EY1818"/>
    </row>
    <row r="1819" spans="121:155" ht="15" customHeight="1" x14ac:dyDescent="0.25">
      <c r="DQ1819" s="99"/>
      <c r="DR1819" s="99"/>
      <c r="EW1819"/>
      <c r="EX1819"/>
      <c r="EY1819"/>
    </row>
    <row r="1820" spans="121:155" ht="15" customHeight="1" x14ac:dyDescent="0.25">
      <c r="DQ1820" s="99"/>
      <c r="DR1820" s="99"/>
      <c r="EW1820"/>
      <c r="EX1820"/>
      <c r="EY1820"/>
    </row>
    <row r="1821" spans="121:155" ht="15" customHeight="1" x14ac:dyDescent="0.25">
      <c r="DQ1821" s="99"/>
      <c r="DR1821" s="99"/>
      <c r="EW1821"/>
      <c r="EX1821"/>
      <c r="EY1821"/>
    </row>
    <row r="1822" spans="121:155" ht="15" customHeight="1" x14ac:dyDescent="0.25">
      <c r="DQ1822" s="99"/>
      <c r="DR1822" s="99"/>
      <c r="EW1822"/>
      <c r="EX1822"/>
      <c r="EY1822"/>
    </row>
    <row r="1823" spans="121:155" ht="15" customHeight="1" x14ac:dyDescent="0.25">
      <c r="DQ1823" s="99"/>
      <c r="DR1823" s="99"/>
      <c r="EW1823"/>
      <c r="EX1823"/>
      <c r="EY1823"/>
    </row>
    <row r="1824" spans="121:155" ht="15" customHeight="1" x14ac:dyDescent="0.25">
      <c r="DQ1824" s="99"/>
      <c r="DR1824" s="99"/>
      <c r="EW1824"/>
      <c r="EX1824"/>
      <c r="EY1824"/>
    </row>
    <row r="1825" spans="121:155" ht="15" customHeight="1" x14ac:dyDescent="0.25">
      <c r="DQ1825" s="99"/>
      <c r="DR1825" s="99"/>
      <c r="EW1825"/>
      <c r="EX1825"/>
      <c r="EY1825"/>
    </row>
    <row r="1826" spans="121:155" ht="15" customHeight="1" x14ac:dyDescent="0.25">
      <c r="DQ1826" s="99"/>
      <c r="DR1826" s="99"/>
      <c r="EW1826"/>
      <c r="EX1826"/>
      <c r="EY1826"/>
    </row>
    <row r="1827" spans="121:155" ht="15" customHeight="1" x14ac:dyDescent="0.25">
      <c r="DQ1827" s="99"/>
      <c r="DR1827" s="99"/>
      <c r="EW1827"/>
      <c r="EX1827"/>
      <c r="EY1827"/>
    </row>
    <row r="1828" spans="121:155" ht="15" customHeight="1" x14ac:dyDescent="0.25">
      <c r="DQ1828" s="99"/>
      <c r="DR1828" s="99"/>
      <c r="EW1828"/>
      <c r="EX1828"/>
      <c r="EY1828"/>
    </row>
    <row r="1829" spans="121:155" ht="15" customHeight="1" x14ac:dyDescent="0.25">
      <c r="DQ1829" s="99"/>
      <c r="DR1829" s="99"/>
      <c r="EW1829"/>
      <c r="EX1829"/>
      <c r="EY1829"/>
    </row>
    <row r="1830" spans="121:155" ht="15" customHeight="1" x14ac:dyDescent="0.25">
      <c r="DQ1830" s="99"/>
      <c r="DR1830" s="99"/>
      <c r="EW1830"/>
      <c r="EX1830"/>
      <c r="EY1830"/>
    </row>
    <row r="1831" spans="121:155" ht="15" customHeight="1" x14ac:dyDescent="0.25">
      <c r="DQ1831" s="99"/>
      <c r="DR1831" s="99"/>
      <c r="EW1831"/>
      <c r="EX1831"/>
      <c r="EY1831"/>
    </row>
    <row r="1832" spans="121:155" ht="15" customHeight="1" x14ac:dyDescent="0.25">
      <c r="DQ1832" s="99"/>
      <c r="DR1832" s="99"/>
      <c r="EW1832"/>
      <c r="EX1832"/>
      <c r="EY1832"/>
    </row>
    <row r="1833" spans="121:155" ht="15" customHeight="1" x14ac:dyDescent="0.25">
      <c r="DQ1833" s="99"/>
      <c r="DR1833" s="99"/>
      <c r="EW1833"/>
      <c r="EX1833"/>
      <c r="EY1833"/>
    </row>
    <row r="1834" spans="121:155" ht="15" customHeight="1" x14ac:dyDescent="0.25">
      <c r="DQ1834" s="99"/>
      <c r="DR1834" s="99"/>
      <c r="EW1834"/>
      <c r="EX1834"/>
      <c r="EY1834"/>
    </row>
    <row r="1835" spans="121:155" ht="15" customHeight="1" x14ac:dyDescent="0.25">
      <c r="DQ1835" s="99"/>
      <c r="DR1835" s="99"/>
      <c r="EW1835"/>
      <c r="EX1835"/>
      <c r="EY1835"/>
    </row>
    <row r="1836" spans="121:155" ht="15" customHeight="1" x14ac:dyDescent="0.25">
      <c r="DQ1836" s="99"/>
      <c r="DR1836" s="99"/>
      <c r="EW1836"/>
      <c r="EX1836"/>
      <c r="EY1836"/>
    </row>
    <row r="1837" spans="121:155" ht="15" customHeight="1" x14ac:dyDescent="0.25">
      <c r="DQ1837" s="99"/>
      <c r="DR1837" s="99"/>
      <c r="EW1837"/>
      <c r="EX1837"/>
      <c r="EY1837"/>
    </row>
    <row r="1838" spans="121:155" ht="15" customHeight="1" x14ac:dyDescent="0.25">
      <c r="DQ1838" s="99"/>
      <c r="DR1838" s="99"/>
      <c r="EW1838"/>
      <c r="EX1838"/>
      <c r="EY1838"/>
    </row>
    <row r="1839" spans="121:155" ht="15" customHeight="1" x14ac:dyDescent="0.25">
      <c r="DQ1839" s="99"/>
      <c r="DR1839" s="99"/>
      <c r="EW1839"/>
      <c r="EX1839"/>
      <c r="EY1839"/>
    </row>
    <row r="1840" spans="121:155" ht="15" customHeight="1" x14ac:dyDescent="0.25">
      <c r="DQ1840" s="99"/>
      <c r="DR1840" s="99"/>
      <c r="EW1840"/>
      <c r="EX1840"/>
      <c r="EY1840"/>
    </row>
    <row r="1841" spans="121:155" ht="15" customHeight="1" x14ac:dyDescent="0.25">
      <c r="DQ1841" s="99"/>
      <c r="DR1841" s="99"/>
      <c r="EW1841"/>
      <c r="EX1841"/>
      <c r="EY1841"/>
    </row>
    <row r="1842" spans="121:155" ht="15" customHeight="1" x14ac:dyDescent="0.25">
      <c r="DQ1842" s="99"/>
      <c r="DR1842" s="99"/>
      <c r="EW1842"/>
      <c r="EX1842"/>
      <c r="EY1842"/>
    </row>
    <row r="1843" spans="121:155" ht="15" customHeight="1" x14ac:dyDescent="0.25">
      <c r="DQ1843" s="99"/>
      <c r="DR1843" s="99"/>
      <c r="EW1843"/>
      <c r="EX1843"/>
      <c r="EY1843"/>
    </row>
    <row r="1844" spans="121:155" ht="15" customHeight="1" x14ac:dyDescent="0.25">
      <c r="DQ1844" s="99"/>
      <c r="DR1844" s="99"/>
      <c r="EW1844"/>
      <c r="EX1844"/>
      <c r="EY1844"/>
    </row>
    <row r="1845" spans="121:155" ht="15" customHeight="1" x14ac:dyDescent="0.25">
      <c r="DQ1845" s="99"/>
      <c r="DR1845" s="99"/>
      <c r="EW1845"/>
      <c r="EX1845"/>
      <c r="EY1845"/>
    </row>
    <row r="1846" spans="121:155" ht="15" customHeight="1" x14ac:dyDescent="0.25">
      <c r="DQ1846" s="99"/>
      <c r="DR1846" s="99"/>
      <c r="EW1846"/>
      <c r="EX1846"/>
      <c r="EY1846"/>
    </row>
    <row r="1847" spans="121:155" ht="15" customHeight="1" x14ac:dyDescent="0.25">
      <c r="DQ1847" s="99"/>
      <c r="DR1847" s="99"/>
      <c r="EW1847"/>
      <c r="EX1847"/>
      <c r="EY1847"/>
    </row>
    <row r="1848" spans="121:155" ht="15" customHeight="1" x14ac:dyDescent="0.25">
      <c r="DQ1848" s="99"/>
      <c r="DR1848" s="99"/>
      <c r="EW1848"/>
      <c r="EX1848"/>
      <c r="EY1848"/>
    </row>
    <row r="1849" spans="121:155" ht="15" customHeight="1" x14ac:dyDescent="0.25">
      <c r="DQ1849" s="99"/>
      <c r="DR1849" s="99"/>
      <c r="EW1849"/>
      <c r="EX1849"/>
      <c r="EY1849"/>
    </row>
    <row r="1850" spans="121:155" ht="15" customHeight="1" x14ac:dyDescent="0.25">
      <c r="DQ1850" s="99"/>
      <c r="DR1850" s="99"/>
      <c r="EW1850"/>
      <c r="EX1850"/>
      <c r="EY1850"/>
    </row>
    <row r="1851" spans="121:155" ht="15" customHeight="1" x14ac:dyDescent="0.25">
      <c r="DQ1851" s="99"/>
      <c r="DR1851" s="99"/>
      <c r="EW1851"/>
      <c r="EX1851"/>
      <c r="EY1851"/>
    </row>
    <row r="1852" spans="121:155" ht="15" customHeight="1" x14ac:dyDescent="0.25">
      <c r="DQ1852" s="99"/>
      <c r="DR1852" s="99"/>
      <c r="EW1852"/>
      <c r="EX1852"/>
      <c r="EY1852"/>
    </row>
    <row r="1853" spans="121:155" ht="15" customHeight="1" x14ac:dyDescent="0.25">
      <c r="DQ1853" s="99"/>
      <c r="DR1853" s="99"/>
      <c r="EW1853"/>
      <c r="EX1853"/>
      <c r="EY1853"/>
    </row>
    <row r="1854" spans="121:155" ht="15" customHeight="1" x14ac:dyDescent="0.25">
      <c r="DQ1854" s="99"/>
      <c r="DR1854" s="99"/>
      <c r="EW1854"/>
      <c r="EX1854"/>
      <c r="EY1854"/>
    </row>
    <row r="1855" spans="121:155" ht="15" customHeight="1" x14ac:dyDescent="0.25">
      <c r="DQ1855" s="99"/>
      <c r="DR1855" s="99"/>
      <c r="EW1855"/>
      <c r="EX1855"/>
      <c r="EY1855"/>
    </row>
    <row r="1856" spans="121:155" ht="15" customHeight="1" x14ac:dyDescent="0.25">
      <c r="DQ1856" s="99"/>
      <c r="DR1856" s="99"/>
      <c r="EW1856"/>
      <c r="EX1856"/>
      <c r="EY1856"/>
    </row>
    <row r="1857" spans="121:155" ht="15" customHeight="1" x14ac:dyDescent="0.25">
      <c r="DQ1857" s="99"/>
      <c r="DR1857" s="99"/>
      <c r="EW1857"/>
      <c r="EX1857"/>
      <c r="EY1857"/>
    </row>
    <row r="1858" spans="121:155" ht="15" customHeight="1" x14ac:dyDescent="0.25">
      <c r="DQ1858" s="99"/>
      <c r="DR1858" s="99"/>
      <c r="EW1858"/>
      <c r="EX1858"/>
      <c r="EY1858"/>
    </row>
    <row r="1859" spans="121:155" ht="15" customHeight="1" x14ac:dyDescent="0.25">
      <c r="DQ1859" s="99"/>
      <c r="DR1859" s="99"/>
      <c r="EW1859"/>
      <c r="EX1859"/>
      <c r="EY1859"/>
    </row>
    <row r="1860" spans="121:155" ht="15" customHeight="1" x14ac:dyDescent="0.25">
      <c r="DQ1860" s="99"/>
      <c r="DR1860" s="99"/>
      <c r="EW1860"/>
      <c r="EX1860"/>
      <c r="EY1860"/>
    </row>
    <row r="1861" spans="121:155" ht="15" customHeight="1" x14ac:dyDescent="0.25">
      <c r="DQ1861" s="99"/>
      <c r="DR1861" s="99"/>
      <c r="EW1861"/>
      <c r="EX1861"/>
      <c r="EY1861"/>
    </row>
    <row r="1862" spans="121:155" ht="15" customHeight="1" x14ac:dyDescent="0.25">
      <c r="DQ1862" s="99"/>
      <c r="DR1862" s="99"/>
      <c r="EW1862"/>
      <c r="EX1862"/>
      <c r="EY1862"/>
    </row>
    <row r="1863" spans="121:155" ht="15" customHeight="1" x14ac:dyDescent="0.25">
      <c r="DQ1863" s="99"/>
      <c r="DR1863" s="99"/>
      <c r="EW1863"/>
      <c r="EX1863"/>
      <c r="EY1863"/>
    </row>
    <row r="1864" spans="121:155" ht="15" customHeight="1" x14ac:dyDescent="0.25">
      <c r="DQ1864" s="99"/>
      <c r="DR1864" s="99"/>
      <c r="EW1864"/>
      <c r="EX1864"/>
      <c r="EY1864"/>
    </row>
    <row r="1865" spans="121:155" ht="15" customHeight="1" x14ac:dyDescent="0.25">
      <c r="DQ1865" s="99"/>
      <c r="DR1865" s="99"/>
      <c r="EW1865"/>
      <c r="EX1865"/>
      <c r="EY1865"/>
    </row>
    <row r="1866" spans="121:155" ht="15" customHeight="1" x14ac:dyDescent="0.25">
      <c r="DQ1866" s="99"/>
      <c r="DR1866" s="99"/>
      <c r="EW1866"/>
      <c r="EX1866"/>
      <c r="EY1866"/>
    </row>
    <row r="1867" spans="121:155" ht="15" customHeight="1" x14ac:dyDescent="0.25">
      <c r="DQ1867" s="99"/>
      <c r="DR1867" s="99"/>
      <c r="EW1867"/>
      <c r="EX1867"/>
      <c r="EY1867"/>
    </row>
    <row r="1868" spans="121:155" ht="15" customHeight="1" x14ac:dyDescent="0.25">
      <c r="DQ1868" s="99"/>
      <c r="DR1868" s="99"/>
      <c r="EW1868"/>
      <c r="EX1868"/>
      <c r="EY1868"/>
    </row>
    <row r="1869" spans="121:155" ht="15" customHeight="1" x14ac:dyDescent="0.25">
      <c r="DQ1869" s="99"/>
      <c r="DR1869" s="99"/>
      <c r="EW1869"/>
      <c r="EX1869"/>
      <c r="EY1869"/>
    </row>
    <row r="1870" spans="121:155" ht="15" customHeight="1" x14ac:dyDescent="0.25">
      <c r="DQ1870" s="99"/>
      <c r="DR1870" s="99"/>
      <c r="EW1870"/>
      <c r="EX1870"/>
      <c r="EY1870"/>
    </row>
    <row r="1871" spans="121:155" ht="15" customHeight="1" x14ac:dyDescent="0.25">
      <c r="DQ1871" s="99"/>
      <c r="DR1871" s="99"/>
      <c r="EW1871"/>
      <c r="EX1871"/>
      <c r="EY1871"/>
    </row>
    <row r="1872" spans="121:155" ht="15" customHeight="1" x14ac:dyDescent="0.25">
      <c r="DQ1872" s="99"/>
      <c r="DR1872" s="99"/>
      <c r="EW1872"/>
      <c r="EX1872"/>
      <c r="EY1872"/>
    </row>
    <row r="1873" spans="121:155" ht="15" customHeight="1" x14ac:dyDescent="0.25">
      <c r="DQ1873" s="99"/>
      <c r="DR1873" s="99"/>
      <c r="EW1873"/>
      <c r="EX1873"/>
      <c r="EY1873"/>
    </row>
    <row r="1874" spans="121:155" ht="15" customHeight="1" x14ac:dyDescent="0.25">
      <c r="DQ1874" s="99"/>
      <c r="DR1874" s="99"/>
      <c r="EW1874"/>
      <c r="EX1874"/>
      <c r="EY1874"/>
    </row>
    <row r="1875" spans="121:155" ht="15" customHeight="1" x14ac:dyDescent="0.25">
      <c r="DQ1875" s="99"/>
      <c r="DR1875" s="99"/>
      <c r="EW1875"/>
      <c r="EX1875"/>
      <c r="EY1875"/>
    </row>
    <row r="1876" spans="121:155" ht="15" customHeight="1" x14ac:dyDescent="0.25">
      <c r="DQ1876" s="99"/>
      <c r="DR1876" s="99"/>
      <c r="EW1876"/>
      <c r="EX1876"/>
      <c r="EY1876"/>
    </row>
    <row r="1877" spans="121:155" ht="15" customHeight="1" x14ac:dyDescent="0.25">
      <c r="DQ1877" s="99"/>
      <c r="DR1877" s="99"/>
      <c r="EW1877"/>
      <c r="EX1877"/>
      <c r="EY1877"/>
    </row>
    <row r="1878" spans="121:155" ht="15" customHeight="1" x14ac:dyDescent="0.25">
      <c r="DQ1878" s="99"/>
      <c r="DR1878" s="99"/>
      <c r="EW1878"/>
      <c r="EX1878"/>
      <c r="EY1878"/>
    </row>
    <row r="1879" spans="121:155" ht="15" customHeight="1" x14ac:dyDescent="0.25">
      <c r="DQ1879" s="99"/>
      <c r="DR1879" s="99"/>
      <c r="EW1879"/>
      <c r="EX1879"/>
      <c r="EY1879"/>
    </row>
    <row r="1880" spans="121:155" ht="15" customHeight="1" x14ac:dyDescent="0.25">
      <c r="DQ1880" s="99"/>
      <c r="DR1880" s="99"/>
      <c r="EW1880"/>
      <c r="EX1880"/>
      <c r="EY1880"/>
    </row>
    <row r="1881" spans="121:155" ht="15" customHeight="1" x14ac:dyDescent="0.25">
      <c r="DQ1881" s="99"/>
      <c r="DR1881" s="99"/>
      <c r="EW1881"/>
      <c r="EX1881"/>
      <c r="EY1881"/>
    </row>
    <row r="1882" spans="121:155" ht="15" customHeight="1" x14ac:dyDescent="0.25">
      <c r="DQ1882" s="99"/>
      <c r="DR1882" s="99"/>
      <c r="EW1882"/>
      <c r="EX1882"/>
      <c r="EY1882"/>
    </row>
    <row r="1883" spans="121:155" ht="15" customHeight="1" x14ac:dyDescent="0.25">
      <c r="DQ1883" s="99"/>
      <c r="DR1883" s="99"/>
      <c r="EW1883"/>
      <c r="EX1883"/>
      <c r="EY1883"/>
    </row>
    <row r="1884" spans="121:155" ht="15" customHeight="1" x14ac:dyDescent="0.25">
      <c r="DQ1884" s="99"/>
      <c r="DR1884" s="99"/>
      <c r="EW1884"/>
      <c r="EX1884"/>
      <c r="EY1884"/>
    </row>
    <row r="1885" spans="121:155" ht="15" customHeight="1" x14ac:dyDescent="0.25">
      <c r="DQ1885" s="99"/>
      <c r="DR1885" s="99"/>
      <c r="EW1885"/>
      <c r="EX1885"/>
      <c r="EY1885"/>
    </row>
    <row r="1886" spans="121:155" ht="15" customHeight="1" x14ac:dyDescent="0.25">
      <c r="DQ1886" s="99"/>
      <c r="DR1886" s="99"/>
      <c r="EW1886"/>
      <c r="EX1886"/>
      <c r="EY1886"/>
    </row>
    <row r="1887" spans="121:155" ht="15" customHeight="1" x14ac:dyDescent="0.25">
      <c r="DQ1887" s="99"/>
      <c r="DR1887" s="99"/>
      <c r="EW1887"/>
      <c r="EX1887"/>
      <c r="EY1887"/>
    </row>
    <row r="1888" spans="121:155" ht="15" customHeight="1" x14ac:dyDescent="0.25">
      <c r="DQ1888" s="99"/>
      <c r="DR1888" s="99"/>
      <c r="EW1888"/>
      <c r="EX1888"/>
      <c r="EY1888"/>
    </row>
    <row r="1889" spans="121:155" ht="15" customHeight="1" x14ac:dyDescent="0.25">
      <c r="DQ1889" s="99"/>
      <c r="DR1889" s="99"/>
      <c r="EW1889"/>
      <c r="EX1889"/>
      <c r="EY1889"/>
    </row>
    <row r="1890" spans="121:155" ht="15" customHeight="1" x14ac:dyDescent="0.25">
      <c r="DQ1890" s="99"/>
      <c r="DR1890" s="99"/>
      <c r="EW1890"/>
      <c r="EX1890"/>
      <c r="EY1890"/>
    </row>
    <row r="1891" spans="121:155" ht="15" customHeight="1" x14ac:dyDescent="0.25">
      <c r="DQ1891" s="99"/>
      <c r="DR1891" s="99"/>
      <c r="EW1891"/>
      <c r="EX1891"/>
      <c r="EY1891"/>
    </row>
    <row r="1892" spans="121:155" ht="15" customHeight="1" x14ac:dyDescent="0.25">
      <c r="DQ1892" s="99"/>
      <c r="DR1892" s="99"/>
      <c r="EW1892"/>
      <c r="EX1892"/>
      <c r="EY1892"/>
    </row>
    <row r="1893" spans="121:155" ht="15" customHeight="1" x14ac:dyDescent="0.25">
      <c r="DQ1893" s="99"/>
      <c r="DR1893" s="99"/>
      <c r="EW1893"/>
      <c r="EX1893"/>
      <c r="EY1893"/>
    </row>
    <row r="1894" spans="121:155" ht="15" customHeight="1" x14ac:dyDescent="0.25">
      <c r="DQ1894" s="99"/>
      <c r="DR1894" s="99"/>
      <c r="EW1894"/>
      <c r="EX1894"/>
      <c r="EY1894"/>
    </row>
    <row r="1895" spans="121:155" ht="15" customHeight="1" x14ac:dyDescent="0.25">
      <c r="DQ1895" s="99"/>
      <c r="DR1895" s="99"/>
      <c r="EW1895"/>
      <c r="EX1895"/>
      <c r="EY1895"/>
    </row>
    <row r="1896" spans="121:155" ht="15" customHeight="1" x14ac:dyDescent="0.25">
      <c r="DQ1896" s="99"/>
      <c r="DR1896" s="99"/>
      <c r="EW1896"/>
      <c r="EX1896"/>
      <c r="EY1896"/>
    </row>
    <row r="1897" spans="121:155" ht="15" customHeight="1" x14ac:dyDescent="0.25">
      <c r="DQ1897" s="99"/>
      <c r="DR1897" s="99"/>
      <c r="EW1897"/>
      <c r="EX1897"/>
      <c r="EY1897"/>
    </row>
    <row r="1898" spans="121:155" ht="15" customHeight="1" x14ac:dyDescent="0.25">
      <c r="DQ1898" s="99"/>
      <c r="DR1898" s="99"/>
      <c r="EW1898"/>
      <c r="EX1898"/>
      <c r="EY1898"/>
    </row>
    <row r="1899" spans="121:155" ht="15" customHeight="1" x14ac:dyDescent="0.25">
      <c r="DQ1899" s="99"/>
      <c r="DR1899" s="99"/>
      <c r="EW1899"/>
      <c r="EX1899"/>
      <c r="EY1899"/>
    </row>
    <row r="1900" spans="121:155" ht="15" customHeight="1" x14ac:dyDescent="0.25">
      <c r="DQ1900" s="99"/>
      <c r="DR1900" s="99"/>
      <c r="EW1900"/>
      <c r="EX1900"/>
      <c r="EY1900"/>
    </row>
    <row r="1901" spans="121:155" ht="15" customHeight="1" x14ac:dyDescent="0.25">
      <c r="DQ1901" s="99"/>
      <c r="DR1901" s="99"/>
      <c r="EW1901"/>
      <c r="EX1901"/>
      <c r="EY1901"/>
    </row>
    <row r="1902" spans="121:155" ht="15" customHeight="1" x14ac:dyDescent="0.25">
      <c r="DQ1902" s="99"/>
      <c r="DR1902" s="99"/>
      <c r="EW1902"/>
      <c r="EX1902"/>
      <c r="EY1902"/>
    </row>
    <row r="1903" spans="121:155" ht="15" customHeight="1" x14ac:dyDescent="0.25">
      <c r="DQ1903" s="99"/>
      <c r="DR1903" s="99"/>
      <c r="EW1903"/>
      <c r="EX1903"/>
      <c r="EY1903"/>
    </row>
    <row r="1904" spans="121:155" ht="15" customHeight="1" x14ac:dyDescent="0.25">
      <c r="DQ1904" s="99"/>
      <c r="DR1904" s="99"/>
      <c r="EW1904"/>
      <c r="EX1904"/>
      <c r="EY1904"/>
    </row>
    <row r="1905" spans="121:155" ht="15" customHeight="1" x14ac:dyDescent="0.25">
      <c r="DQ1905" s="99"/>
      <c r="DR1905" s="99"/>
      <c r="EW1905"/>
      <c r="EX1905"/>
      <c r="EY1905"/>
    </row>
    <row r="1906" spans="121:155" ht="15" customHeight="1" x14ac:dyDescent="0.25">
      <c r="DQ1906" s="99"/>
      <c r="DR1906" s="99"/>
      <c r="EW1906"/>
      <c r="EX1906"/>
      <c r="EY1906"/>
    </row>
    <row r="1907" spans="121:155" ht="15" customHeight="1" x14ac:dyDescent="0.25">
      <c r="DQ1907" s="99"/>
      <c r="DR1907" s="99"/>
      <c r="EW1907"/>
      <c r="EX1907"/>
      <c r="EY1907"/>
    </row>
    <row r="1908" spans="121:155" ht="15" customHeight="1" x14ac:dyDescent="0.25">
      <c r="DQ1908" s="99"/>
      <c r="DR1908" s="99"/>
      <c r="EW1908"/>
      <c r="EX1908"/>
      <c r="EY1908"/>
    </row>
    <row r="1909" spans="121:155" ht="15" customHeight="1" x14ac:dyDescent="0.25">
      <c r="DQ1909" s="99"/>
      <c r="DR1909" s="99"/>
      <c r="EW1909"/>
      <c r="EX1909"/>
      <c r="EY1909"/>
    </row>
    <row r="1910" spans="121:155" ht="15" customHeight="1" x14ac:dyDescent="0.25">
      <c r="DQ1910" s="99"/>
      <c r="DR1910" s="99"/>
      <c r="EW1910"/>
      <c r="EX1910"/>
      <c r="EY1910"/>
    </row>
    <row r="1911" spans="121:155" ht="15" customHeight="1" x14ac:dyDescent="0.25">
      <c r="DQ1911" s="99"/>
      <c r="DR1911" s="99"/>
      <c r="EW1911"/>
      <c r="EX1911"/>
      <c r="EY1911"/>
    </row>
    <row r="1912" spans="121:155" ht="15" customHeight="1" x14ac:dyDescent="0.25">
      <c r="DQ1912" s="99"/>
      <c r="DR1912" s="99"/>
      <c r="EW1912"/>
      <c r="EX1912"/>
      <c r="EY1912"/>
    </row>
    <row r="1913" spans="121:155" ht="15" customHeight="1" x14ac:dyDescent="0.25">
      <c r="DQ1913" s="99"/>
      <c r="DR1913" s="99"/>
      <c r="EW1913"/>
      <c r="EX1913"/>
      <c r="EY1913"/>
    </row>
    <row r="1914" spans="121:155" ht="15" customHeight="1" x14ac:dyDescent="0.25">
      <c r="DQ1914" s="99"/>
      <c r="DR1914" s="99"/>
      <c r="EW1914"/>
      <c r="EX1914"/>
      <c r="EY1914"/>
    </row>
    <row r="1915" spans="121:155" ht="15" customHeight="1" x14ac:dyDescent="0.25">
      <c r="DQ1915" s="99"/>
      <c r="DR1915" s="99"/>
      <c r="EW1915"/>
      <c r="EX1915"/>
      <c r="EY1915"/>
    </row>
    <row r="1916" spans="121:155" ht="15" customHeight="1" x14ac:dyDescent="0.25">
      <c r="DQ1916" s="99"/>
      <c r="DR1916" s="99"/>
      <c r="EW1916"/>
      <c r="EX1916"/>
      <c r="EY1916"/>
    </row>
    <row r="1917" spans="121:155" ht="15" customHeight="1" x14ac:dyDescent="0.25">
      <c r="DQ1917" s="99"/>
      <c r="DR1917" s="99"/>
      <c r="EW1917"/>
      <c r="EX1917"/>
      <c r="EY1917"/>
    </row>
    <row r="1918" spans="121:155" ht="15" customHeight="1" x14ac:dyDescent="0.25">
      <c r="DQ1918" s="99"/>
      <c r="DR1918" s="99"/>
      <c r="EW1918"/>
      <c r="EX1918"/>
      <c r="EY1918"/>
    </row>
    <row r="1919" spans="121:155" ht="15" customHeight="1" x14ac:dyDescent="0.25">
      <c r="DQ1919" s="99"/>
      <c r="DR1919" s="99"/>
      <c r="EW1919"/>
      <c r="EX1919"/>
      <c r="EY1919"/>
    </row>
    <row r="1920" spans="121:155" ht="15" customHeight="1" x14ac:dyDescent="0.25">
      <c r="DQ1920" s="99"/>
      <c r="DR1920" s="99"/>
      <c r="EW1920"/>
      <c r="EX1920"/>
      <c r="EY1920"/>
    </row>
    <row r="1921" spans="121:155" ht="15" customHeight="1" x14ac:dyDescent="0.25">
      <c r="DQ1921" s="99"/>
      <c r="DR1921" s="99"/>
      <c r="EW1921"/>
      <c r="EX1921"/>
      <c r="EY1921"/>
    </row>
    <row r="1922" spans="121:155" ht="15" customHeight="1" x14ac:dyDescent="0.25">
      <c r="DQ1922" s="99"/>
      <c r="DR1922" s="99"/>
      <c r="EW1922"/>
      <c r="EX1922"/>
      <c r="EY1922"/>
    </row>
    <row r="1923" spans="121:155" ht="15" customHeight="1" x14ac:dyDescent="0.25">
      <c r="DQ1923" s="99"/>
      <c r="DR1923" s="99"/>
      <c r="EW1923"/>
      <c r="EX1923"/>
      <c r="EY1923"/>
    </row>
    <row r="1924" spans="121:155" ht="15" customHeight="1" x14ac:dyDescent="0.25">
      <c r="DQ1924" s="99"/>
      <c r="DR1924" s="99"/>
      <c r="EW1924"/>
      <c r="EX1924"/>
      <c r="EY1924"/>
    </row>
    <row r="1925" spans="121:155" ht="15" customHeight="1" x14ac:dyDescent="0.25">
      <c r="DQ1925" s="99"/>
      <c r="DR1925" s="99"/>
      <c r="EW1925"/>
      <c r="EX1925"/>
      <c r="EY1925"/>
    </row>
    <row r="1926" spans="121:155" ht="15" customHeight="1" x14ac:dyDescent="0.25">
      <c r="DQ1926" s="99"/>
      <c r="DR1926" s="99"/>
      <c r="EW1926"/>
      <c r="EX1926"/>
      <c r="EY1926"/>
    </row>
    <row r="1927" spans="121:155" ht="15" customHeight="1" x14ac:dyDescent="0.25">
      <c r="DQ1927" s="99"/>
      <c r="DR1927" s="99"/>
      <c r="EW1927"/>
      <c r="EX1927"/>
      <c r="EY1927"/>
    </row>
    <row r="1928" spans="121:155" ht="15" customHeight="1" x14ac:dyDescent="0.25">
      <c r="DQ1928" s="99"/>
      <c r="DR1928" s="99"/>
      <c r="EW1928"/>
      <c r="EX1928"/>
      <c r="EY1928"/>
    </row>
    <row r="1929" spans="121:155" ht="15" customHeight="1" x14ac:dyDescent="0.25">
      <c r="DQ1929" s="99"/>
      <c r="DR1929" s="99"/>
      <c r="EW1929"/>
      <c r="EX1929"/>
      <c r="EY1929"/>
    </row>
    <row r="1930" spans="121:155" ht="15" customHeight="1" x14ac:dyDescent="0.25">
      <c r="DQ1930" s="99"/>
      <c r="DR1930" s="99"/>
      <c r="EW1930"/>
      <c r="EX1930"/>
      <c r="EY1930"/>
    </row>
    <row r="1931" spans="121:155" ht="15" customHeight="1" x14ac:dyDescent="0.25">
      <c r="DQ1931" s="99"/>
      <c r="DR1931" s="99"/>
      <c r="EW1931"/>
      <c r="EX1931"/>
      <c r="EY1931"/>
    </row>
    <row r="1932" spans="121:155" ht="15" customHeight="1" x14ac:dyDescent="0.25">
      <c r="DQ1932" s="99"/>
      <c r="DR1932" s="99"/>
      <c r="EW1932"/>
      <c r="EX1932"/>
      <c r="EY1932"/>
    </row>
    <row r="1933" spans="121:155" ht="15" customHeight="1" x14ac:dyDescent="0.25">
      <c r="DQ1933" s="99"/>
      <c r="DR1933" s="99"/>
      <c r="EW1933"/>
      <c r="EX1933"/>
      <c r="EY1933"/>
    </row>
    <row r="1934" spans="121:155" ht="15" customHeight="1" x14ac:dyDescent="0.25">
      <c r="DQ1934" s="99"/>
      <c r="DR1934" s="99"/>
      <c r="EW1934"/>
      <c r="EX1934"/>
      <c r="EY1934"/>
    </row>
    <row r="1935" spans="121:155" ht="15" customHeight="1" x14ac:dyDescent="0.25">
      <c r="DQ1935" s="99"/>
      <c r="DR1935" s="99"/>
      <c r="EW1935"/>
      <c r="EX1935"/>
      <c r="EY1935"/>
    </row>
    <row r="1936" spans="121:155" ht="15" customHeight="1" x14ac:dyDescent="0.25">
      <c r="DQ1936" s="99"/>
      <c r="DR1936" s="99"/>
      <c r="EW1936"/>
      <c r="EX1936"/>
      <c r="EY1936"/>
    </row>
    <row r="1937" spans="121:155" ht="15" customHeight="1" x14ac:dyDescent="0.25">
      <c r="DQ1937" s="99"/>
      <c r="DR1937" s="99"/>
      <c r="EW1937"/>
      <c r="EX1937"/>
      <c r="EY1937"/>
    </row>
    <row r="1938" spans="121:155" ht="15" customHeight="1" x14ac:dyDescent="0.25">
      <c r="DQ1938" s="99"/>
      <c r="DR1938" s="99"/>
      <c r="EW1938"/>
      <c r="EX1938"/>
      <c r="EY1938"/>
    </row>
    <row r="1939" spans="121:155" ht="15" customHeight="1" x14ac:dyDescent="0.25">
      <c r="DQ1939" s="99"/>
      <c r="DR1939" s="99"/>
      <c r="EW1939"/>
      <c r="EX1939"/>
      <c r="EY1939"/>
    </row>
    <row r="1940" spans="121:155" ht="15" customHeight="1" x14ac:dyDescent="0.25">
      <c r="DQ1940" s="99"/>
      <c r="DR1940" s="99"/>
      <c r="EW1940"/>
      <c r="EX1940"/>
      <c r="EY1940"/>
    </row>
    <row r="1941" spans="121:155" ht="15" customHeight="1" x14ac:dyDescent="0.25">
      <c r="DQ1941" s="99"/>
      <c r="DR1941" s="99"/>
      <c r="EW1941"/>
      <c r="EX1941"/>
      <c r="EY1941"/>
    </row>
    <row r="1942" spans="121:155" ht="15" customHeight="1" x14ac:dyDescent="0.25">
      <c r="DQ1942" s="99"/>
      <c r="DR1942" s="99"/>
      <c r="EW1942"/>
      <c r="EX1942"/>
      <c r="EY1942"/>
    </row>
    <row r="1943" spans="121:155" ht="15" customHeight="1" x14ac:dyDescent="0.25">
      <c r="DQ1943" s="99"/>
      <c r="DR1943" s="99"/>
      <c r="EW1943"/>
      <c r="EX1943"/>
      <c r="EY1943"/>
    </row>
    <row r="1944" spans="121:155" ht="15" customHeight="1" x14ac:dyDescent="0.25">
      <c r="DQ1944" s="99"/>
      <c r="DR1944" s="99"/>
      <c r="EW1944"/>
      <c r="EX1944"/>
      <c r="EY1944"/>
    </row>
    <row r="1945" spans="121:155" ht="15" customHeight="1" x14ac:dyDescent="0.25">
      <c r="DQ1945" s="99"/>
      <c r="DR1945" s="99"/>
      <c r="EW1945"/>
      <c r="EX1945"/>
      <c r="EY1945"/>
    </row>
    <row r="1946" spans="121:155" ht="15" customHeight="1" x14ac:dyDescent="0.25">
      <c r="DQ1946" s="99"/>
      <c r="DR1946" s="99"/>
      <c r="EW1946"/>
      <c r="EX1946"/>
      <c r="EY1946"/>
    </row>
    <row r="1947" spans="121:155" ht="15" customHeight="1" x14ac:dyDescent="0.25">
      <c r="DQ1947" s="99"/>
      <c r="DR1947" s="99"/>
      <c r="EW1947"/>
      <c r="EX1947"/>
      <c r="EY1947"/>
    </row>
    <row r="1948" spans="121:155" ht="15" customHeight="1" x14ac:dyDescent="0.25">
      <c r="DQ1948" s="99"/>
      <c r="DR1948" s="99"/>
      <c r="EW1948"/>
      <c r="EX1948"/>
      <c r="EY1948"/>
    </row>
    <row r="1949" spans="121:155" ht="15" customHeight="1" x14ac:dyDescent="0.25">
      <c r="DQ1949" s="99"/>
      <c r="DR1949" s="99"/>
      <c r="EW1949"/>
      <c r="EX1949"/>
      <c r="EY1949"/>
    </row>
    <row r="1950" spans="121:155" ht="15" customHeight="1" x14ac:dyDescent="0.25">
      <c r="DQ1950" s="99"/>
      <c r="DR1950" s="99"/>
      <c r="EW1950"/>
      <c r="EX1950"/>
      <c r="EY1950"/>
    </row>
    <row r="1951" spans="121:155" ht="15" customHeight="1" x14ac:dyDescent="0.25">
      <c r="DQ1951" s="99"/>
      <c r="DR1951" s="99"/>
      <c r="EW1951"/>
      <c r="EX1951"/>
      <c r="EY1951"/>
    </row>
    <row r="1952" spans="121:155" ht="15" customHeight="1" x14ac:dyDescent="0.25">
      <c r="DQ1952" s="99"/>
      <c r="DR1952" s="99"/>
      <c r="EW1952"/>
      <c r="EX1952"/>
      <c r="EY1952"/>
    </row>
    <row r="1953" spans="121:155" ht="15" customHeight="1" x14ac:dyDescent="0.25">
      <c r="DQ1953" s="99"/>
      <c r="DR1953" s="99"/>
      <c r="EW1953"/>
      <c r="EX1953"/>
      <c r="EY1953"/>
    </row>
    <row r="1954" spans="121:155" ht="15" customHeight="1" x14ac:dyDescent="0.25">
      <c r="DQ1954" s="99"/>
      <c r="DR1954" s="99"/>
      <c r="EW1954"/>
      <c r="EX1954"/>
      <c r="EY1954"/>
    </row>
    <row r="1955" spans="121:155" ht="15" customHeight="1" x14ac:dyDescent="0.25">
      <c r="DQ1955" s="99"/>
      <c r="DR1955" s="99"/>
      <c r="EW1955"/>
      <c r="EX1955"/>
      <c r="EY1955"/>
    </row>
    <row r="1956" spans="121:155" ht="15" customHeight="1" x14ac:dyDescent="0.25">
      <c r="DQ1956" s="99"/>
      <c r="DR1956" s="99"/>
      <c r="EW1956"/>
      <c r="EX1956"/>
      <c r="EY1956"/>
    </row>
    <row r="1957" spans="121:155" ht="15" customHeight="1" x14ac:dyDescent="0.25">
      <c r="DQ1957" s="99"/>
      <c r="DR1957" s="99"/>
      <c r="EW1957"/>
      <c r="EX1957"/>
      <c r="EY1957"/>
    </row>
    <row r="1958" spans="121:155" ht="15" customHeight="1" x14ac:dyDescent="0.25">
      <c r="DQ1958" s="99"/>
      <c r="DR1958" s="99"/>
      <c r="EW1958"/>
      <c r="EX1958"/>
      <c r="EY1958"/>
    </row>
    <row r="1959" spans="121:155" ht="15" customHeight="1" x14ac:dyDescent="0.25">
      <c r="DQ1959" s="99"/>
      <c r="DR1959" s="99"/>
      <c r="EW1959"/>
      <c r="EX1959"/>
      <c r="EY1959"/>
    </row>
    <row r="1960" spans="121:155" ht="15" customHeight="1" x14ac:dyDescent="0.25">
      <c r="DQ1960" s="99"/>
      <c r="DR1960" s="99"/>
      <c r="EW1960"/>
      <c r="EX1960"/>
      <c r="EY1960"/>
    </row>
    <row r="1961" spans="121:155" ht="15" customHeight="1" x14ac:dyDescent="0.25">
      <c r="DQ1961" s="99"/>
      <c r="DR1961" s="99"/>
      <c r="EW1961"/>
      <c r="EX1961"/>
      <c r="EY1961"/>
    </row>
    <row r="1962" spans="121:155" ht="15" customHeight="1" x14ac:dyDescent="0.25">
      <c r="DQ1962" s="99"/>
      <c r="DR1962" s="99"/>
      <c r="EW1962"/>
      <c r="EX1962"/>
      <c r="EY1962"/>
    </row>
    <row r="1963" spans="121:155" ht="15" customHeight="1" x14ac:dyDescent="0.25">
      <c r="DQ1963" s="99"/>
      <c r="DR1963" s="99"/>
      <c r="EW1963"/>
      <c r="EX1963"/>
      <c r="EY1963"/>
    </row>
    <row r="1964" spans="121:155" ht="15" customHeight="1" x14ac:dyDescent="0.25">
      <c r="DQ1964" s="99"/>
      <c r="DR1964" s="99"/>
      <c r="EW1964"/>
      <c r="EX1964"/>
      <c r="EY1964"/>
    </row>
    <row r="1965" spans="121:155" ht="15" customHeight="1" x14ac:dyDescent="0.25">
      <c r="DQ1965" s="99"/>
      <c r="DR1965" s="99"/>
      <c r="EW1965"/>
      <c r="EX1965"/>
      <c r="EY1965"/>
    </row>
    <row r="1966" spans="121:155" ht="15" customHeight="1" x14ac:dyDescent="0.25">
      <c r="DQ1966" s="99"/>
      <c r="DR1966" s="99"/>
      <c r="EW1966"/>
      <c r="EX1966"/>
      <c r="EY1966"/>
    </row>
    <row r="1967" spans="121:155" ht="15" customHeight="1" x14ac:dyDescent="0.25">
      <c r="DQ1967" s="99"/>
      <c r="DR1967" s="99"/>
      <c r="EW1967"/>
      <c r="EX1967"/>
      <c r="EY1967"/>
    </row>
    <row r="1968" spans="121:155" ht="15" customHeight="1" x14ac:dyDescent="0.25">
      <c r="DQ1968" s="99"/>
      <c r="DR1968" s="99"/>
      <c r="EW1968"/>
      <c r="EX1968"/>
      <c r="EY1968"/>
    </row>
    <row r="1969" spans="121:155" ht="15" customHeight="1" x14ac:dyDescent="0.25">
      <c r="DQ1969" s="99"/>
      <c r="DR1969" s="99"/>
      <c r="EW1969"/>
      <c r="EX1969"/>
      <c r="EY1969"/>
    </row>
    <row r="1970" spans="121:155" ht="15" customHeight="1" x14ac:dyDescent="0.25">
      <c r="DQ1970" s="99"/>
      <c r="DR1970" s="99"/>
      <c r="EW1970"/>
      <c r="EX1970"/>
      <c r="EY1970"/>
    </row>
    <row r="1971" spans="121:155" ht="15" customHeight="1" x14ac:dyDescent="0.25">
      <c r="DQ1971" s="99"/>
      <c r="DR1971" s="99"/>
      <c r="EW1971"/>
      <c r="EX1971"/>
      <c r="EY1971"/>
    </row>
    <row r="1972" spans="121:155" ht="15" customHeight="1" x14ac:dyDescent="0.25">
      <c r="DQ1972" s="99"/>
      <c r="DR1972" s="99"/>
      <c r="EW1972"/>
      <c r="EX1972"/>
      <c r="EY1972"/>
    </row>
    <row r="1973" spans="121:155" ht="15" customHeight="1" x14ac:dyDescent="0.25">
      <c r="DQ1973" s="99"/>
      <c r="DR1973" s="99"/>
      <c r="EW1973"/>
      <c r="EX1973"/>
      <c r="EY1973"/>
    </row>
    <row r="1974" spans="121:155" ht="15" customHeight="1" x14ac:dyDescent="0.25">
      <c r="DQ1974" s="99"/>
      <c r="DR1974" s="99"/>
      <c r="EW1974"/>
      <c r="EX1974"/>
      <c r="EY1974"/>
    </row>
    <row r="1975" spans="121:155" ht="15" customHeight="1" x14ac:dyDescent="0.25">
      <c r="DQ1975" s="99"/>
      <c r="DR1975" s="99"/>
      <c r="EW1975"/>
      <c r="EX1975"/>
      <c r="EY1975"/>
    </row>
    <row r="1976" spans="121:155" ht="15" customHeight="1" x14ac:dyDescent="0.25">
      <c r="DQ1976" s="99"/>
      <c r="DR1976" s="99"/>
      <c r="EW1976"/>
      <c r="EX1976"/>
      <c r="EY1976"/>
    </row>
    <row r="1977" spans="121:155" ht="15" customHeight="1" x14ac:dyDescent="0.25">
      <c r="DQ1977" s="99"/>
      <c r="DR1977" s="99"/>
      <c r="EW1977"/>
      <c r="EX1977"/>
      <c r="EY1977"/>
    </row>
    <row r="1978" spans="121:155" ht="15" customHeight="1" x14ac:dyDescent="0.25">
      <c r="DQ1978" s="99"/>
      <c r="DR1978" s="99"/>
      <c r="EW1978"/>
      <c r="EX1978"/>
      <c r="EY1978"/>
    </row>
    <row r="1979" spans="121:155" ht="15" customHeight="1" x14ac:dyDescent="0.25">
      <c r="DQ1979" s="99"/>
      <c r="DR1979" s="99"/>
      <c r="EW1979"/>
      <c r="EX1979"/>
      <c r="EY1979"/>
    </row>
    <row r="1980" spans="121:155" ht="15" customHeight="1" x14ac:dyDescent="0.25">
      <c r="DQ1980" s="99"/>
      <c r="DR1980" s="99"/>
      <c r="EW1980"/>
      <c r="EX1980"/>
      <c r="EY1980"/>
    </row>
    <row r="1981" spans="121:155" ht="15" customHeight="1" x14ac:dyDescent="0.25">
      <c r="DQ1981" s="99"/>
      <c r="DR1981" s="99"/>
      <c r="EW1981"/>
      <c r="EX1981"/>
      <c r="EY1981"/>
    </row>
    <row r="1982" spans="121:155" ht="15" customHeight="1" x14ac:dyDescent="0.25">
      <c r="DQ1982" s="99"/>
      <c r="DR1982" s="99"/>
      <c r="EW1982"/>
      <c r="EX1982"/>
      <c r="EY1982"/>
    </row>
    <row r="1983" spans="121:155" ht="15" customHeight="1" x14ac:dyDescent="0.25">
      <c r="DQ1983" s="99"/>
      <c r="DR1983" s="99"/>
      <c r="EW1983"/>
      <c r="EX1983"/>
      <c r="EY1983"/>
    </row>
    <row r="1984" spans="121:155" ht="15" customHeight="1" x14ac:dyDescent="0.25">
      <c r="DQ1984" s="99"/>
      <c r="DR1984" s="99"/>
      <c r="EW1984"/>
      <c r="EX1984"/>
      <c r="EY1984"/>
    </row>
    <row r="1985" spans="121:155" ht="15" customHeight="1" x14ac:dyDescent="0.25">
      <c r="DQ1985" s="99"/>
      <c r="DR1985" s="99"/>
      <c r="EW1985"/>
      <c r="EX1985"/>
      <c r="EY1985"/>
    </row>
    <row r="1986" spans="121:155" ht="15" customHeight="1" x14ac:dyDescent="0.25">
      <c r="DQ1986" s="99"/>
      <c r="DR1986" s="99"/>
      <c r="EW1986"/>
      <c r="EX1986"/>
      <c r="EY1986"/>
    </row>
    <row r="1987" spans="121:155" ht="15" customHeight="1" x14ac:dyDescent="0.25">
      <c r="DQ1987" s="99"/>
      <c r="DR1987" s="99"/>
      <c r="EW1987"/>
      <c r="EX1987"/>
      <c r="EY1987"/>
    </row>
    <row r="1988" spans="121:155" ht="15" customHeight="1" x14ac:dyDescent="0.25">
      <c r="DQ1988" s="99"/>
      <c r="DR1988" s="99"/>
      <c r="EW1988"/>
      <c r="EX1988"/>
      <c r="EY1988"/>
    </row>
    <row r="1989" spans="121:155" ht="15" customHeight="1" x14ac:dyDescent="0.25">
      <c r="DQ1989" s="99"/>
      <c r="DR1989" s="99"/>
      <c r="EW1989"/>
      <c r="EX1989"/>
      <c r="EY1989"/>
    </row>
    <row r="1990" spans="121:155" ht="15" customHeight="1" x14ac:dyDescent="0.25">
      <c r="DQ1990" s="99"/>
      <c r="DR1990" s="99"/>
      <c r="EW1990"/>
      <c r="EX1990"/>
      <c r="EY1990"/>
    </row>
    <row r="1991" spans="121:155" ht="15" customHeight="1" x14ac:dyDescent="0.25">
      <c r="DQ1991" s="99"/>
      <c r="DR1991" s="99"/>
      <c r="EW1991"/>
      <c r="EX1991"/>
      <c r="EY1991"/>
    </row>
    <row r="1992" spans="121:155" ht="15" customHeight="1" x14ac:dyDescent="0.25">
      <c r="DQ1992" s="99"/>
      <c r="DR1992" s="99"/>
      <c r="EW1992"/>
      <c r="EX1992"/>
      <c r="EY1992"/>
    </row>
    <row r="1993" spans="121:155" ht="15" customHeight="1" x14ac:dyDescent="0.25">
      <c r="DQ1993" s="99"/>
      <c r="DR1993" s="99"/>
      <c r="EW1993"/>
      <c r="EX1993"/>
      <c r="EY1993"/>
    </row>
    <row r="1994" spans="121:155" ht="15" customHeight="1" x14ac:dyDescent="0.25">
      <c r="DQ1994" s="99"/>
      <c r="DR1994" s="99"/>
      <c r="EW1994"/>
      <c r="EX1994"/>
      <c r="EY1994"/>
    </row>
    <row r="1995" spans="121:155" ht="15" customHeight="1" x14ac:dyDescent="0.25">
      <c r="DQ1995" s="99"/>
      <c r="DR1995" s="99"/>
      <c r="EW1995"/>
      <c r="EX1995"/>
      <c r="EY1995"/>
    </row>
    <row r="1996" spans="121:155" ht="15" customHeight="1" x14ac:dyDescent="0.25">
      <c r="DQ1996" s="99"/>
      <c r="DR1996" s="99"/>
      <c r="EW1996"/>
      <c r="EX1996"/>
      <c r="EY1996"/>
    </row>
    <row r="1997" spans="121:155" ht="15" customHeight="1" x14ac:dyDescent="0.25">
      <c r="DQ1997" s="99"/>
      <c r="DR1997" s="99"/>
      <c r="EW1997"/>
      <c r="EX1997"/>
      <c r="EY1997"/>
    </row>
    <row r="1998" spans="121:155" ht="15" customHeight="1" x14ac:dyDescent="0.25">
      <c r="DQ1998" s="99"/>
      <c r="DR1998" s="99"/>
      <c r="EW1998"/>
      <c r="EX1998"/>
      <c r="EY1998"/>
    </row>
    <row r="1999" spans="121:155" ht="15" customHeight="1" x14ac:dyDescent="0.25">
      <c r="DQ1999" s="99"/>
      <c r="DR1999" s="99"/>
      <c r="EW1999"/>
      <c r="EX1999"/>
      <c r="EY1999"/>
    </row>
    <row r="2000" spans="121:155" ht="15" customHeight="1" x14ac:dyDescent="0.25">
      <c r="DQ2000" s="99"/>
      <c r="DR2000" s="99"/>
      <c r="EW2000"/>
      <c r="EX2000"/>
      <c r="EY2000"/>
    </row>
    <row r="2001" spans="121:155" ht="15" customHeight="1" x14ac:dyDescent="0.25">
      <c r="DQ2001" s="99"/>
      <c r="DR2001" s="99"/>
      <c r="EW2001"/>
      <c r="EX2001"/>
      <c r="EY2001"/>
    </row>
    <row r="2002" spans="121:155" ht="15" customHeight="1" x14ac:dyDescent="0.25">
      <c r="DQ2002" s="99"/>
      <c r="DR2002" s="99"/>
      <c r="EW2002"/>
      <c r="EX2002"/>
      <c r="EY2002"/>
    </row>
    <row r="2003" spans="121:155" ht="15" customHeight="1" x14ac:dyDescent="0.25">
      <c r="DQ2003" s="99"/>
      <c r="DR2003" s="99"/>
      <c r="EW2003"/>
      <c r="EX2003"/>
      <c r="EY2003"/>
    </row>
    <row r="2004" spans="121:155" ht="15" customHeight="1" x14ac:dyDescent="0.25">
      <c r="DQ2004" s="99"/>
      <c r="DR2004" s="99"/>
      <c r="EW2004"/>
      <c r="EX2004"/>
      <c r="EY2004"/>
    </row>
    <row r="2005" spans="121:155" ht="15" customHeight="1" x14ac:dyDescent="0.25">
      <c r="DQ2005" s="99"/>
      <c r="DR2005" s="99"/>
      <c r="EW2005"/>
      <c r="EX2005"/>
      <c r="EY2005"/>
    </row>
    <row r="2006" spans="121:155" ht="15" customHeight="1" x14ac:dyDescent="0.25">
      <c r="DQ2006" s="99"/>
      <c r="DR2006" s="99"/>
      <c r="EW2006"/>
      <c r="EX2006"/>
      <c r="EY2006"/>
    </row>
    <row r="2007" spans="121:155" ht="15" customHeight="1" x14ac:dyDescent="0.25">
      <c r="DQ2007" s="99"/>
      <c r="DR2007" s="99"/>
      <c r="EW2007"/>
      <c r="EX2007"/>
      <c r="EY2007"/>
    </row>
    <row r="2008" spans="121:155" ht="15" customHeight="1" x14ac:dyDescent="0.25">
      <c r="DQ2008" s="99"/>
      <c r="DR2008" s="99"/>
      <c r="EW2008"/>
      <c r="EX2008"/>
      <c r="EY2008"/>
    </row>
    <row r="2009" spans="121:155" ht="15" customHeight="1" x14ac:dyDescent="0.25">
      <c r="DQ2009" s="99"/>
      <c r="DR2009" s="99"/>
      <c r="EW2009"/>
      <c r="EX2009"/>
      <c r="EY2009"/>
    </row>
    <row r="2010" spans="121:155" ht="15" customHeight="1" x14ac:dyDescent="0.25">
      <c r="DQ2010" s="99"/>
      <c r="DR2010" s="99"/>
      <c r="EW2010"/>
      <c r="EX2010"/>
      <c r="EY2010"/>
    </row>
    <row r="2011" spans="121:155" ht="15" customHeight="1" x14ac:dyDescent="0.25">
      <c r="DQ2011" s="99"/>
      <c r="DR2011" s="99"/>
      <c r="EW2011"/>
      <c r="EX2011"/>
      <c r="EY2011"/>
    </row>
    <row r="2012" spans="121:155" ht="15" customHeight="1" x14ac:dyDescent="0.25">
      <c r="DQ2012" s="99"/>
      <c r="DR2012" s="99"/>
      <c r="EW2012"/>
      <c r="EX2012"/>
      <c r="EY2012"/>
    </row>
    <row r="2013" spans="121:155" ht="15" customHeight="1" x14ac:dyDescent="0.25">
      <c r="DQ2013" s="99"/>
      <c r="DR2013" s="99"/>
      <c r="EW2013"/>
      <c r="EX2013"/>
      <c r="EY2013"/>
    </row>
    <row r="2014" spans="121:155" ht="15" customHeight="1" x14ac:dyDescent="0.25">
      <c r="DQ2014" s="99"/>
      <c r="DR2014" s="99"/>
      <c r="EW2014"/>
      <c r="EX2014"/>
      <c r="EY2014"/>
    </row>
    <row r="2015" spans="121:155" ht="15" customHeight="1" x14ac:dyDescent="0.25">
      <c r="DQ2015" s="99"/>
      <c r="DR2015" s="99"/>
      <c r="EW2015"/>
      <c r="EX2015"/>
      <c r="EY2015"/>
    </row>
    <row r="2016" spans="121:155" ht="15" customHeight="1" x14ac:dyDescent="0.25">
      <c r="DQ2016" s="99"/>
      <c r="DR2016" s="99"/>
      <c r="EW2016"/>
      <c r="EX2016"/>
      <c r="EY2016"/>
    </row>
    <row r="2017" spans="121:155" ht="15" customHeight="1" x14ac:dyDescent="0.25">
      <c r="DQ2017" s="99"/>
      <c r="DR2017" s="99"/>
      <c r="EW2017"/>
      <c r="EX2017"/>
      <c r="EY2017"/>
    </row>
    <row r="2018" spans="121:155" ht="15" customHeight="1" x14ac:dyDescent="0.25">
      <c r="DQ2018" s="99"/>
      <c r="DR2018" s="99"/>
      <c r="EW2018"/>
      <c r="EX2018"/>
      <c r="EY2018"/>
    </row>
    <row r="2019" spans="121:155" ht="15" customHeight="1" x14ac:dyDescent="0.25">
      <c r="DQ2019" s="99"/>
      <c r="DR2019" s="99"/>
      <c r="EW2019"/>
      <c r="EX2019"/>
      <c r="EY2019"/>
    </row>
    <row r="2020" spans="121:155" ht="15" customHeight="1" x14ac:dyDescent="0.25">
      <c r="DQ2020" s="99"/>
      <c r="DR2020" s="99"/>
      <c r="EW2020"/>
      <c r="EX2020"/>
      <c r="EY2020"/>
    </row>
    <row r="2021" spans="121:155" ht="15" customHeight="1" x14ac:dyDescent="0.25">
      <c r="DQ2021" s="99"/>
      <c r="DR2021" s="99"/>
      <c r="EW2021"/>
      <c r="EX2021"/>
      <c r="EY2021"/>
    </row>
    <row r="2022" spans="121:155" ht="15" customHeight="1" x14ac:dyDescent="0.25">
      <c r="DQ2022" s="99"/>
      <c r="DR2022" s="99"/>
      <c r="EW2022"/>
      <c r="EX2022"/>
      <c r="EY2022"/>
    </row>
    <row r="2023" spans="121:155" ht="15" customHeight="1" x14ac:dyDescent="0.25">
      <c r="DQ2023" s="99"/>
      <c r="DR2023" s="99"/>
      <c r="EW2023"/>
      <c r="EX2023"/>
      <c r="EY2023"/>
    </row>
    <row r="2024" spans="121:155" ht="15" customHeight="1" x14ac:dyDescent="0.25">
      <c r="DQ2024" s="99"/>
      <c r="DR2024" s="99"/>
      <c r="EW2024"/>
      <c r="EX2024"/>
      <c r="EY2024"/>
    </row>
    <row r="2025" spans="121:155" ht="15" customHeight="1" x14ac:dyDescent="0.25">
      <c r="DQ2025" s="99"/>
      <c r="DR2025" s="99"/>
      <c r="EW2025"/>
      <c r="EX2025"/>
      <c r="EY2025"/>
    </row>
    <row r="2026" spans="121:155" ht="15" customHeight="1" x14ac:dyDescent="0.25">
      <c r="DQ2026" s="99"/>
      <c r="DR2026" s="99"/>
      <c r="EW2026"/>
      <c r="EX2026"/>
      <c r="EY2026"/>
    </row>
    <row r="2027" spans="121:155" ht="15" customHeight="1" x14ac:dyDescent="0.25">
      <c r="DQ2027" s="99"/>
      <c r="DR2027" s="99"/>
      <c r="EW2027"/>
      <c r="EX2027"/>
      <c r="EY2027"/>
    </row>
    <row r="2028" spans="121:155" ht="15" customHeight="1" x14ac:dyDescent="0.25">
      <c r="DQ2028" s="99"/>
      <c r="DR2028" s="99"/>
      <c r="EW2028"/>
      <c r="EX2028"/>
      <c r="EY2028"/>
    </row>
    <row r="2029" spans="121:155" ht="15" customHeight="1" x14ac:dyDescent="0.25">
      <c r="DQ2029" s="99"/>
      <c r="DR2029" s="99"/>
      <c r="EW2029"/>
      <c r="EX2029"/>
      <c r="EY2029"/>
    </row>
    <row r="2030" spans="121:155" ht="15" customHeight="1" x14ac:dyDescent="0.25">
      <c r="DQ2030" s="99"/>
      <c r="DR2030" s="99"/>
      <c r="EW2030"/>
      <c r="EX2030"/>
      <c r="EY2030"/>
    </row>
    <row r="2031" spans="121:155" ht="15" customHeight="1" x14ac:dyDescent="0.25">
      <c r="DQ2031" s="99"/>
      <c r="DR2031" s="99"/>
      <c r="EW2031"/>
      <c r="EX2031"/>
      <c r="EY2031"/>
    </row>
    <row r="2032" spans="121:155" ht="15" customHeight="1" x14ac:dyDescent="0.25">
      <c r="DQ2032" s="99"/>
      <c r="DR2032" s="99"/>
      <c r="EW2032"/>
      <c r="EX2032"/>
      <c r="EY2032"/>
    </row>
    <row r="2033" spans="121:155" ht="15" customHeight="1" x14ac:dyDescent="0.25">
      <c r="DQ2033" s="99"/>
      <c r="DR2033" s="99"/>
      <c r="EW2033"/>
      <c r="EX2033"/>
      <c r="EY2033"/>
    </row>
    <row r="2034" spans="121:155" ht="15" customHeight="1" x14ac:dyDescent="0.25">
      <c r="DQ2034" s="99"/>
      <c r="DR2034" s="99"/>
      <c r="EW2034"/>
      <c r="EX2034"/>
      <c r="EY2034"/>
    </row>
    <row r="2035" spans="121:155" ht="15" customHeight="1" x14ac:dyDescent="0.25">
      <c r="DQ2035" s="99"/>
      <c r="DR2035" s="99"/>
      <c r="EW2035"/>
      <c r="EX2035"/>
      <c r="EY2035"/>
    </row>
    <row r="2036" spans="121:155" ht="15" customHeight="1" x14ac:dyDescent="0.25">
      <c r="DQ2036" s="99"/>
      <c r="DR2036" s="99"/>
      <c r="EW2036"/>
      <c r="EX2036"/>
      <c r="EY2036"/>
    </row>
    <row r="2037" spans="121:155" ht="15" customHeight="1" x14ac:dyDescent="0.25">
      <c r="DQ2037" s="99"/>
      <c r="DR2037" s="99"/>
      <c r="EW2037"/>
      <c r="EX2037"/>
      <c r="EY2037"/>
    </row>
    <row r="2038" spans="121:155" ht="15" customHeight="1" x14ac:dyDescent="0.25">
      <c r="DQ2038" s="99"/>
      <c r="DR2038" s="99"/>
      <c r="EW2038"/>
      <c r="EX2038"/>
      <c r="EY2038"/>
    </row>
    <row r="2039" spans="121:155" ht="15" customHeight="1" x14ac:dyDescent="0.25">
      <c r="DQ2039" s="99"/>
      <c r="DR2039" s="99"/>
      <c r="EW2039"/>
      <c r="EX2039"/>
      <c r="EY2039"/>
    </row>
    <row r="2040" spans="121:155" ht="15" customHeight="1" x14ac:dyDescent="0.25">
      <c r="DQ2040" s="99"/>
      <c r="DR2040" s="99"/>
      <c r="EW2040"/>
      <c r="EX2040"/>
      <c r="EY2040"/>
    </row>
    <row r="2041" spans="121:155" ht="15" customHeight="1" x14ac:dyDescent="0.25">
      <c r="DQ2041" s="99"/>
      <c r="DR2041" s="99"/>
      <c r="EW2041"/>
      <c r="EX2041"/>
      <c r="EY2041"/>
    </row>
    <row r="2042" spans="121:155" ht="15" customHeight="1" x14ac:dyDescent="0.25">
      <c r="DQ2042" s="99"/>
      <c r="DR2042" s="99"/>
      <c r="EW2042"/>
      <c r="EX2042"/>
      <c r="EY2042"/>
    </row>
    <row r="2043" spans="121:155" ht="15" customHeight="1" x14ac:dyDescent="0.25">
      <c r="DQ2043" s="99"/>
      <c r="DR2043" s="99"/>
      <c r="EW2043"/>
      <c r="EX2043"/>
      <c r="EY2043"/>
    </row>
    <row r="2044" spans="121:155" ht="15" customHeight="1" x14ac:dyDescent="0.25">
      <c r="DQ2044" s="99"/>
      <c r="DR2044" s="99"/>
      <c r="EW2044"/>
      <c r="EX2044"/>
      <c r="EY2044"/>
    </row>
    <row r="2045" spans="121:155" ht="15" customHeight="1" x14ac:dyDescent="0.25">
      <c r="DQ2045" s="99"/>
      <c r="DR2045" s="99"/>
      <c r="EW2045"/>
      <c r="EX2045"/>
      <c r="EY2045"/>
    </row>
    <row r="2046" spans="121:155" ht="15" customHeight="1" x14ac:dyDescent="0.25">
      <c r="DQ2046" s="99"/>
      <c r="DR2046" s="99"/>
      <c r="EW2046"/>
      <c r="EX2046"/>
      <c r="EY2046"/>
    </row>
    <row r="2047" spans="121:155" ht="15" customHeight="1" x14ac:dyDescent="0.25">
      <c r="DQ2047" s="99"/>
      <c r="DR2047" s="99"/>
      <c r="EW2047"/>
      <c r="EX2047"/>
      <c r="EY2047"/>
    </row>
    <row r="2048" spans="121:155" ht="15" customHeight="1" x14ac:dyDescent="0.25">
      <c r="DQ2048" s="99"/>
      <c r="DR2048" s="99"/>
      <c r="EW2048"/>
      <c r="EX2048"/>
      <c r="EY2048"/>
    </row>
    <row r="2049" spans="121:155" ht="15" customHeight="1" x14ac:dyDescent="0.25">
      <c r="DQ2049" s="99"/>
      <c r="DR2049" s="99"/>
      <c r="EW2049"/>
      <c r="EX2049"/>
      <c r="EY2049"/>
    </row>
    <row r="2050" spans="121:155" ht="15" customHeight="1" x14ac:dyDescent="0.25">
      <c r="DQ2050" s="99"/>
      <c r="DR2050" s="99"/>
      <c r="EW2050"/>
      <c r="EX2050"/>
      <c r="EY2050"/>
    </row>
    <row r="2051" spans="121:155" ht="15" customHeight="1" x14ac:dyDescent="0.25">
      <c r="DQ2051" s="99"/>
      <c r="DR2051" s="99"/>
      <c r="EW2051"/>
      <c r="EX2051"/>
      <c r="EY2051"/>
    </row>
    <row r="2052" spans="121:155" ht="15" customHeight="1" x14ac:dyDescent="0.25">
      <c r="DQ2052" s="99"/>
      <c r="DR2052" s="99"/>
      <c r="EW2052"/>
      <c r="EX2052"/>
      <c r="EY2052"/>
    </row>
    <row r="2053" spans="121:155" ht="15" customHeight="1" x14ac:dyDescent="0.25">
      <c r="DQ2053" s="99"/>
      <c r="DR2053" s="99"/>
      <c r="EW2053"/>
      <c r="EX2053"/>
      <c r="EY2053"/>
    </row>
    <row r="2054" spans="121:155" ht="15" customHeight="1" x14ac:dyDescent="0.25">
      <c r="DQ2054" s="99"/>
      <c r="DR2054" s="99"/>
      <c r="EW2054"/>
      <c r="EX2054"/>
      <c r="EY2054"/>
    </row>
    <row r="2055" spans="121:155" ht="15" customHeight="1" x14ac:dyDescent="0.25">
      <c r="DQ2055" s="99"/>
      <c r="DR2055" s="99"/>
      <c r="EW2055"/>
      <c r="EX2055"/>
      <c r="EY2055"/>
    </row>
    <row r="2056" spans="121:155" ht="15" customHeight="1" x14ac:dyDescent="0.25">
      <c r="DQ2056" s="99"/>
      <c r="DR2056" s="99"/>
      <c r="EW2056"/>
      <c r="EX2056"/>
      <c r="EY2056"/>
    </row>
    <row r="2057" spans="121:155" ht="15" customHeight="1" x14ac:dyDescent="0.25">
      <c r="DQ2057" s="99"/>
      <c r="DR2057" s="99"/>
      <c r="EW2057"/>
      <c r="EX2057"/>
      <c r="EY2057"/>
    </row>
    <row r="2058" spans="121:155" ht="15" customHeight="1" x14ac:dyDescent="0.25">
      <c r="DQ2058" s="99"/>
      <c r="DR2058" s="99"/>
      <c r="EW2058"/>
      <c r="EX2058"/>
      <c r="EY2058"/>
    </row>
    <row r="2059" spans="121:155" ht="15" customHeight="1" x14ac:dyDescent="0.25">
      <c r="DQ2059" s="99"/>
      <c r="DR2059" s="99"/>
      <c r="EW2059"/>
      <c r="EX2059"/>
      <c r="EY2059"/>
    </row>
    <row r="2060" spans="121:155" ht="15" customHeight="1" x14ac:dyDescent="0.25">
      <c r="DQ2060" s="99"/>
      <c r="DR2060" s="99"/>
      <c r="EW2060"/>
      <c r="EX2060"/>
      <c r="EY2060"/>
    </row>
    <row r="2061" spans="121:155" ht="15" customHeight="1" x14ac:dyDescent="0.25">
      <c r="DQ2061" s="99"/>
      <c r="DR2061" s="99"/>
      <c r="EW2061"/>
      <c r="EX2061"/>
      <c r="EY2061"/>
    </row>
    <row r="2062" spans="121:155" ht="15" customHeight="1" x14ac:dyDescent="0.25">
      <c r="DQ2062" s="99"/>
      <c r="DR2062" s="99"/>
      <c r="EW2062"/>
      <c r="EX2062"/>
      <c r="EY2062"/>
    </row>
    <row r="2063" spans="121:155" ht="15" customHeight="1" x14ac:dyDescent="0.25">
      <c r="DQ2063" s="99"/>
      <c r="DR2063" s="99"/>
      <c r="EW2063"/>
      <c r="EX2063"/>
      <c r="EY2063"/>
    </row>
    <row r="2064" spans="121:155" ht="15" customHeight="1" x14ac:dyDescent="0.25">
      <c r="DQ2064" s="99"/>
      <c r="DR2064" s="99"/>
      <c r="EW2064"/>
      <c r="EX2064"/>
      <c r="EY2064"/>
    </row>
    <row r="2065" spans="121:155" ht="15" customHeight="1" x14ac:dyDescent="0.25">
      <c r="DQ2065" s="99"/>
      <c r="DR2065" s="99"/>
      <c r="EW2065"/>
      <c r="EX2065"/>
      <c r="EY2065"/>
    </row>
    <row r="2066" spans="121:155" ht="15" customHeight="1" x14ac:dyDescent="0.25">
      <c r="DQ2066" s="99"/>
      <c r="DR2066" s="99"/>
      <c r="EW2066"/>
      <c r="EX2066"/>
      <c r="EY2066"/>
    </row>
    <row r="2067" spans="121:155" ht="15" customHeight="1" x14ac:dyDescent="0.25">
      <c r="DQ2067" s="99"/>
      <c r="DR2067" s="99"/>
      <c r="EW2067"/>
      <c r="EX2067"/>
      <c r="EY2067"/>
    </row>
    <row r="2068" spans="121:155" ht="15" customHeight="1" x14ac:dyDescent="0.25">
      <c r="DQ2068" s="99"/>
      <c r="DR2068" s="99"/>
      <c r="EW2068"/>
      <c r="EX2068"/>
      <c r="EY2068"/>
    </row>
    <row r="2069" spans="121:155" ht="15" customHeight="1" x14ac:dyDescent="0.25">
      <c r="DQ2069" s="99"/>
      <c r="DR2069" s="99"/>
      <c r="EW2069"/>
      <c r="EX2069"/>
      <c r="EY2069"/>
    </row>
    <row r="2070" spans="121:155" ht="15" customHeight="1" x14ac:dyDescent="0.25">
      <c r="DQ2070" s="99"/>
      <c r="DR2070" s="99"/>
      <c r="EW2070"/>
      <c r="EX2070"/>
      <c r="EY2070"/>
    </row>
    <row r="2071" spans="121:155" ht="15" customHeight="1" x14ac:dyDescent="0.25">
      <c r="DQ2071" s="99"/>
      <c r="DR2071" s="99"/>
      <c r="EW2071"/>
      <c r="EX2071"/>
      <c r="EY2071"/>
    </row>
    <row r="2072" spans="121:155" ht="15" customHeight="1" x14ac:dyDescent="0.25">
      <c r="DQ2072" s="99"/>
      <c r="DR2072" s="99"/>
      <c r="EW2072"/>
      <c r="EX2072"/>
      <c r="EY2072"/>
    </row>
    <row r="2073" spans="121:155" ht="15" customHeight="1" x14ac:dyDescent="0.25">
      <c r="DQ2073" s="99"/>
      <c r="DR2073" s="99"/>
      <c r="EW2073"/>
      <c r="EX2073"/>
      <c r="EY2073"/>
    </row>
    <row r="2074" spans="121:155" ht="15" customHeight="1" x14ac:dyDescent="0.25">
      <c r="DQ2074" s="99"/>
      <c r="DR2074" s="99"/>
      <c r="EW2074"/>
      <c r="EX2074"/>
      <c r="EY2074"/>
    </row>
    <row r="2075" spans="121:155" ht="15" customHeight="1" x14ac:dyDescent="0.25">
      <c r="DQ2075" s="99"/>
      <c r="DR2075" s="99"/>
      <c r="EW2075"/>
      <c r="EX2075"/>
      <c r="EY2075"/>
    </row>
    <row r="2076" spans="121:155" ht="15" customHeight="1" x14ac:dyDescent="0.25">
      <c r="DQ2076" s="99"/>
      <c r="DR2076" s="99"/>
      <c r="EW2076"/>
      <c r="EX2076"/>
      <c r="EY2076"/>
    </row>
    <row r="2077" spans="121:155" ht="15" customHeight="1" x14ac:dyDescent="0.25">
      <c r="DQ2077" s="99"/>
      <c r="DR2077" s="99"/>
      <c r="EW2077"/>
      <c r="EX2077"/>
      <c r="EY2077"/>
    </row>
    <row r="2078" spans="121:155" ht="15" customHeight="1" x14ac:dyDescent="0.25">
      <c r="DQ2078" s="99"/>
      <c r="DR2078" s="99"/>
      <c r="EW2078"/>
      <c r="EX2078"/>
      <c r="EY2078"/>
    </row>
    <row r="2079" spans="121:155" ht="15" customHeight="1" x14ac:dyDescent="0.25">
      <c r="DQ2079" s="99"/>
      <c r="DR2079" s="99"/>
      <c r="EW2079"/>
      <c r="EX2079"/>
      <c r="EY2079"/>
    </row>
    <row r="2080" spans="121:155" ht="15" customHeight="1" x14ac:dyDescent="0.25">
      <c r="DQ2080" s="99"/>
      <c r="DR2080" s="99"/>
      <c r="EW2080"/>
      <c r="EX2080"/>
      <c r="EY2080"/>
    </row>
    <row r="2081" spans="121:155" ht="15" customHeight="1" x14ac:dyDescent="0.25">
      <c r="DQ2081" s="99"/>
      <c r="DR2081" s="99"/>
      <c r="EW2081"/>
      <c r="EX2081"/>
      <c r="EY2081"/>
    </row>
    <row r="2082" spans="121:155" ht="15" customHeight="1" x14ac:dyDescent="0.25">
      <c r="DQ2082" s="99"/>
      <c r="DR2082" s="99"/>
      <c r="EW2082"/>
      <c r="EX2082"/>
      <c r="EY2082"/>
    </row>
    <row r="2083" spans="121:155" ht="15" customHeight="1" x14ac:dyDescent="0.25">
      <c r="DQ2083" s="99"/>
      <c r="DR2083" s="99"/>
      <c r="EW2083"/>
      <c r="EX2083"/>
      <c r="EY2083"/>
    </row>
    <row r="2084" spans="121:155" ht="15" customHeight="1" x14ac:dyDescent="0.25">
      <c r="DQ2084" s="99"/>
      <c r="DR2084" s="99"/>
      <c r="EW2084"/>
      <c r="EX2084"/>
      <c r="EY2084"/>
    </row>
    <row r="2085" spans="121:155" ht="15" customHeight="1" x14ac:dyDescent="0.25">
      <c r="DQ2085" s="99"/>
      <c r="DR2085" s="99"/>
      <c r="EW2085"/>
      <c r="EX2085"/>
      <c r="EY2085"/>
    </row>
    <row r="2086" spans="121:155" ht="15" customHeight="1" x14ac:dyDescent="0.25">
      <c r="DQ2086" s="99"/>
      <c r="DR2086" s="99"/>
      <c r="EW2086"/>
      <c r="EX2086"/>
      <c r="EY2086"/>
    </row>
    <row r="2087" spans="121:155" ht="15" customHeight="1" x14ac:dyDescent="0.25">
      <c r="DQ2087" s="99"/>
      <c r="DR2087" s="99"/>
      <c r="EW2087"/>
      <c r="EX2087"/>
      <c r="EY2087"/>
    </row>
    <row r="2088" spans="121:155" ht="15" customHeight="1" x14ac:dyDescent="0.25">
      <c r="DQ2088" s="99"/>
      <c r="DR2088" s="99"/>
      <c r="EW2088"/>
      <c r="EX2088"/>
      <c r="EY2088"/>
    </row>
    <row r="2089" spans="121:155" ht="15" customHeight="1" x14ac:dyDescent="0.25">
      <c r="DQ2089" s="99"/>
      <c r="DR2089" s="99"/>
      <c r="EW2089"/>
      <c r="EX2089"/>
      <c r="EY2089"/>
    </row>
    <row r="2090" spans="121:155" ht="15" customHeight="1" x14ac:dyDescent="0.25">
      <c r="DQ2090" s="99"/>
      <c r="DR2090" s="99"/>
      <c r="EW2090"/>
      <c r="EX2090"/>
      <c r="EY2090"/>
    </row>
    <row r="2091" spans="121:155" ht="15" customHeight="1" x14ac:dyDescent="0.25">
      <c r="DQ2091" s="99"/>
      <c r="DR2091" s="99"/>
      <c r="EW2091"/>
      <c r="EX2091"/>
      <c r="EY2091"/>
    </row>
    <row r="2092" spans="121:155" ht="15" customHeight="1" x14ac:dyDescent="0.25">
      <c r="DQ2092" s="99"/>
      <c r="DR2092" s="99"/>
      <c r="EW2092"/>
      <c r="EX2092"/>
      <c r="EY2092"/>
    </row>
    <row r="2093" spans="121:155" ht="15" customHeight="1" x14ac:dyDescent="0.25">
      <c r="DQ2093" s="99"/>
      <c r="DR2093" s="99"/>
      <c r="EW2093"/>
      <c r="EX2093"/>
      <c r="EY2093"/>
    </row>
    <row r="2094" spans="121:155" ht="15" customHeight="1" x14ac:dyDescent="0.25">
      <c r="DQ2094" s="99"/>
      <c r="DR2094" s="99"/>
      <c r="EW2094"/>
      <c r="EX2094"/>
      <c r="EY2094"/>
    </row>
    <row r="2095" spans="121:155" ht="15" customHeight="1" x14ac:dyDescent="0.25">
      <c r="DQ2095" s="99"/>
      <c r="DR2095" s="99"/>
      <c r="EW2095"/>
      <c r="EX2095"/>
      <c r="EY2095"/>
    </row>
    <row r="2096" spans="121:155" ht="15" customHeight="1" x14ac:dyDescent="0.25">
      <c r="DQ2096" s="99"/>
      <c r="DR2096" s="99"/>
      <c r="EW2096"/>
      <c r="EX2096"/>
      <c r="EY2096"/>
    </row>
    <row r="2097" spans="121:155" ht="15" customHeight="1" x14ac:dyDescent="0.25">
      <c r="DQ2097" s="99"/>
      <c r="DR2097" s="99"/>
      <c r="EW2097"/>
      <c r="EX2097"/>
      <c r="EY2097"/>
    </row>
    <row r="2098" spans="121:155" ht="15" customHeight="1" x14ac:dyDescent="0.25">
      <c r="DQ2098" s="99"/>
      <c r="DR2098" s="99"/>
      <c r="EW2098"/>
      <c r="EX2098"/>
      <c r="EY2098"/>
    </row>
    <row r="2099" spans="121:155" ht="15" customHeight="1" x14ac:dyDescent="0.25">
      <c r="DQ2099" s="99"/>
      <c r="DR2099" s="99"/>
      <c r="EW2099"/>
      <c r="EX2099"/>
      <c r="EY2099"/>
    </row>
    <row r="2100" spans="121:155" ht="15" customHeight="1" x14ac:dyDescent="0.25">
      <c r="DQ2100" s="99"/>
      <c r="DR2100" s="99"/>
      <c r="EW2100"/>
      <c r="EX2100"/>
      <c r="EY2100"/>
    </row>
    <row r="2101" spans="121:155" ht="15" customHeight="1" x14ac:dyDescent="0.25">
      <c r="DQ2101" s="99"/>
      <c r="DR2101" s="99"/>
      <c r="EW2101"/>
      <c r="EX2101"/>
      <c r="EY2101"/>
    </row>
    <row r="2102" spans="121:155" ht="15" customHeight="1" x14ac:dyDescent="0.25">
      <c r="DQ2102" s="99"/>
      <c r="DR2102" s="99"/>
      <c r="EW2102"/>
      <c r="EX2102"/>
      <c r="EY2102"/>
    </row>
    <row r="2103" spans="121:155" ht="15" customHeight="1" x14ac:dyDescent="0.25">
      <c r="DQ2103" s="99"/>
      <c r="DR2103" s="99"/>
      <c r="EW2103"/>
      <c r="EX2103"/>
      <c r="EY2103"/>
    </row>
    <row r="2104" spans="121:155" ht="15" customHeight="1" x14ac:dyDescent="0.25">
      <c r="DQ2104" s="99"/>
      <c r="DR2104" s="99"/>
      <c r="EW2104"/>
      <c r="EX2104"/>
      <c r="EY2104"/>
    </row>
    <row r="2105" spans="121:155" ht="15" customHeight="1" x14ac:dyDescent="0.25">
      <c r="DQ2105" s="99"/>
      <c r="DR2105" s="99"/>
      <c r="EW2105"/>
      <c r="EX2105"/>
      <c r="EY2105"/>
    </row>
    <row r="2106" spans="121:155" ht="15" customHeight="1" x14ac:dyDescent="0.25">
      <c r="DQ2106" s="99"/>
      <c r="DR2106" s="99"/>
      <c r="EW2106"/>
      <c r="EX2106"/>
      <c r="EY2106"/>
    </row>
    <row r="2107" spans="121:155" ht="15" customHeight="1" x14ac:dyDescent="0.25">
      <c r="DQ2107" s="99"/>
      <c r="DR2107" s="99"/>
      <c r="EW2107"/>
      <c r="EX2107"/>
      <c r="EY2107"/>
    </row>
    <row r="2108" spans="121:155" ht="15" customHeight="1" x14ac:dyDescent="0.25">
      <c r="DQ2108" s="99"/>
      <c r="DR2108" s="99"/>
      <c r="EW2108"/>
      <c r="EX2108"/>
      <c r="EY2108"/>
    </row>
    <row r="2109" spans="121:155" ht="15" customHeight="1" x14ac:dyDescent="0.25">
      <c r="DQ2109" s="99"/>
      <c r="DR2109" s="99"/>
      <c r="EW2109"/>
      <c r="EX2109"/>
      <c r="EY2109"/>
    </row>
    <row r="2110" spans="121:155" ht="15" customHeight="1" x14ac:dyDescent="0.25">
      <c r="DQ2110" s="99"/>
      <c r="DR2110" s="99"/>
      <c r="EW2110"/>
      <c r="EX2110"/>
      <c r="EY2110"/>
    </row>
    <row r="2111" spans="121:155" ht="15" customHeight="1" x14ac:dyDescent="0.25">
      <c r="DQ2111" s="99"/>
      <c r="DR2111" s="99"/>
      <c r="EW2111"/>
      <c r="EX2111"/>
      <c r="EY2111"/>
    </row>
    <row r="2112" spans="121:155" ht="15" customHeight="1" x14ac:dyDescent="0.25">
      <c r="DQ2112" s="99"/>
      <c r="DR2112" s="99"/>
      <c r="EW2112"/>
      <c r="EX2112"/>
      <c r="EY2112"/>
    </row>
    <row r="2113" spans="121:155" ht="15" customHeight="1" x14ac:dyDescent="0.25">
      <c r="DQ2113" s="99"/>
      <c r="DR2113" s="99"/>
      <c r="EW2113"/>
      <c r="EX2113"/>
      <c r="EY2113"/>
    </row>
    <row r="2114" spans="121:155" ht="15" customHeight="1" x14ac:dyDescent="0.25">
      <c r="DQ2114" s="99"/>
      <c r="DR2114" s="99"/>
      <c r="EW2114"/>
      <c r="EX2114"/>
      <c r="EY2114"/>
    </row>
    <row r="2115" spans="121:155" ht="15" customHeight="1" x14ac:dyDescent="0.25">
      <c r="DQ2115" s="99"/>
      <c r="DR2115" s="99"/>
      <c r="EW2115"/>
      <c r="EX2115"/>
      <c r="EY2115"/>
    </row>
    <row r="2116" spans="121:155" ht="15" customHeight="1" x14ac:dyDescent="0.25">
      <c r="DQ2116" s="99"/>
      <c r="DR2116" s="99"/>
      <c r="EW2116"/>
      <c r="EX2116"/>
      <c r="EY2116"/>
    </row>
    <row r="2117" spans="121:155" ht="15" customHeight="1" x14ac:dyDescent="0.25">
      <c r="DQ2117" s="99"/>
      <c r="DR2117" s="99"/>
      <c r="EW2117"/>
      <c r="EX2117"/>
      <c r="EY2117"/>
    </row>
    <row r="2118" spans="121:155" ht="15" customHeight="1" x14ac:dyDescent="0.25">
      <c r="DQ2118" s="99"/>
      <c r="DR2118" s="99"/>
      <c r="EW2118"/>
      <c r="EX2118"/>
      <c r="EY2118"/>
    </row>
    <row r="2119" spans="121:155" ht="15" customHeight="1" x14ac:dyDescent="0.25">
      <c r="DQ2119" s="99"/>
      <c r="DR2119" s="99"/>
      <c r="EW2119"/>
      <c r="EX2119"/>
      <c r="EY2119"/>
    </row>
    <row r="2120" spans="121:155" ht="15" customHeight="1" x14ac:dyDescent="0.25">
      <c r="DQ2120" s="99"/>
      <c r="DR2120" s="99"/>
      <c r="EW2120"/>
      <c r="EX2120"/>
      <c r="EY2120"/>
    </row>
    <row r="2121" spans="121:155" ht="15" customHeight="1" x14ac:dyDescent="0.25">
      <c r="DQ2121" s="99"/>
      <c r="DR2121" s="99"/>
      <c r="EW2121"/>
      <c r="EX2121"/>
      <c r="EY2121"/>
    </row>
    <row r="2122" spans="121:155" ht="15" customHeight="1" x14ac:dyDescent="0.25">
      <c r="DQ2122" s="99"/>
      <c r="DR2122" s="99"/>
      <c r="EW2122"/>
      <c r="EX2122"/>
      <c r="EY2122"/>
    </row>
    <row r="2123" spans="121:155" ht="15" customHeight="1" x14ac:dyDescent="0.25">
      <c r="DQ2123" s="99"/>
      <c r="DR2123" s="99"/>
      <c r="EW2123"/>
      <c r="EX2123"/>
      <c r="EY2123"/>
    </row>
    <row r="2124" spans="121:155" ht="15" customHeight="1" x14ac:dyDescent="0.25">
      <c r="DQ2124" s="99"/>
      <c r="DR2124" s="99"/>
      <c r="EW2124"/>
      <c r="EX2124"/>
      <c r="EY2124"/>
    </row>
    <row r="2125" spans="121:155" ht="15" customHeight="1" x14ac:dyDescent="0.25">
      <c r="DQ2125" s="99"/>
      <c r="DR2125" s="99"/>
      <c r="EW2125"/>
      <c r="EX2125"/>
      <c r="EY2125"/>
    </row>
    <row r="2126" spans="121:155" ht="15" customHeight="1" x14ac:dyDescent="0.25">
      <c r="DQ2126" s="99"/>
      <c r="DR2126" s="99"/>
      <c r="EW2126"/>
      <c r="EX2126"/>
      <c r="EY2126"/>
    </row>
    <row r="2127" spans="121:155" ht="15" customHeight="1" x14ac:dyDescent="0.25">
      <c r="DQ2127" s="99"/>
      <c r="DR2127" s="99"/>
      <c r="EW2127"/>
      <c r="EX2127"/>
      <c r="EY2127"/>
    </row>
    <row r="2128" spans="121:155" ht="15" customHeight="1" x14ac:dyDescent="0.25">
      <c r="DQ2128" s="99"/>
      <c r="DR2128" s="99"/>
      <c r="EW2128"/>
      <c r="EX2128"/>
      <c r="EY2128"/>
    </row>
    <row r="2129" spans="121:155" ht="15" customHeight="1" x14ac:dyDescent="0.25">
      <c r="DQ2129" s="99"/>
      <c r="DR2129" s="99"/>
      <c r="EW2129"/>
      <c r="EX2129"/>
      <c r="EY2129"/>
    </row>
    <row r="2130" spans="121:155" ht="15" customHeight="1" x14ac:dyDescent="0.25">
      <c r="DQ2130" s="99"/>
      <c r="DR2130" s="99"/>
      <c r="EW2130"/>
      <c r="EX2130"/>
      <c r="EY2130"/>
    </row>
    <row r="2131" spans="121:155" ht="15" customHeight="1" x14ac:dyDescent="0.25">
      <c r="DQ2131" s="99"/>
      <c r="DR2131" s="99"/>
      <c r="EW2131"/>
      <c r="EX2131"/>
      <c r="EY2131"/>
    </row>
    <row r="2132" spans="121:155" ht="15" customHeight="1" x14ac:dyDescent="0.25">
      <c r="DQ2132" s="99"/>
      <c r="DR2132" s="99"/>
      <c r="EW2132"/>
      <c r="EX2132"/>
      <c r="EY2132"/>
    </row>
    <row r="2133" spans="121:155" ht="15" customHeight="1" x14ac:dyDescent="0.25">
      <c r="DQ2133" s="99"/>
      <c r="DR2133" s="99"/>
      <c r="EW2133"/>
      <c r="EX2133"/>
      <c r="EY2133"/>
    </row>
    <row r="2134" spans="121:155" ht="15" customHeight="1" x14ac:dyDescent="0.25">
      <c r="DQ2134" s="99"/>
      <c r="DR2134" s="99"/>
      <c r="EW2134"/>
      <c r="EX2134"/>
      <c r="EY2134"/>
    </row>
    <row r="2135" spans="121:155" ht="15" customHeight="1" x14ac:dyDescent="0.25">
      <c r="DQ2135" s="99"/>
      <c r="DR2135" s="99"/>
      <c r="EW2135"/>
      <c r="EX2135"/>
      <c r="EY2135"/>
    </row>
    <row r="2136" spans="121:155" ht="15" customHeight="1" x14ac:dyDescent="0.25">
      <c r="DQ2136" s="99"/>
      <c r="DR2136" s="99"/>
      <c r="EW2136"/>
      <c r="EX2136"/>
      <c r="EY2136"/>
    </row>
    <row r="2137" spans="121:155" ht="15" customHeight="1" x14ac:dyDescent="0.25">
      <c r="DQ2137" s="99"/>
      <c r="DR2137" s="99"/>
      <c r="EW2137"/>
      <c r="EX2137"/>
      <c r="EY2137"/>
    </row>
    <row r="2138" spans="121:155" ht="15" customHeight="1" x14ac:dyDescent="0.25">
      <c r="DQ2138" s="99"/>
      <c r="DR2138" s="99"/>
      <c r="EW2138"/>
      <c r="EX2138"/>
      <c r="EY2138"/>
    </row>
    <row r="2139" spans="121:155" ht="15" customHeight="1" x14ac:dyDescent="0.25">
      <c r="DQ2139" s="99"/>
      <c r="DR2139" s="99"/>
      <c r="EW2139"/>
      <c r="EX2139"/>
      <c r="EY2139"/>
    </row>
    <row r="2140" spans="121:155" ht="15" customHeight="1" x14ac:dyDescent="0.25">
      <c r="DQ2140" s="99"/>
      <c r="DR2140" s="99"/>
      <c r="EW2140"/>
      <c r="EX2140"/>
      <c r="EY2140"/>
    </row>
    <row r="2141" spans="121:155" ht="15" customHeight="1" x14ac:dyDescent="0.25">
      <c r="DQ2141" s="99"/>
      <c r="DR2141" s="99"/>
      <c r="EW2141"/>
      <c r="EX2141"/>
      <c r="EY2141"/>
    </row>
    <row r="2142" spans="121:155" ht="15" customHeight="1" x14ac:dyDescent="0.25">
      <c r="DQ2142" s="99"/>
      <c r="DR2142" s="99"/>
      <c r="EW2142"/>
      <c r="EX2142"/>
      <c r="EY2142"/>
    </row>
    <row r="2143" spans="121:155" ht="15" customHeight="1" x14ac:dyDescent="0.25">
      <c r="DQ2143" s="99"/>
      <c r="DR2143" s="99"/>
      <c r="EW2143"/>
      <c r="EX2143"/>
      <c r="EY2143"/>
    </row>
    <row r="2144" spans="121:155" ht="15" customHeight="1" x14ac:dyDescent="0.25">
      <c r="DQ2144" s="99"/>
      <c r="DR2144" s="99"/>
      <c r="EW2144"/>
      <c r="EX2144"/>
      <c r="EY2144"/>
    </row>
    <row r="2145" spans="121:155" ht="15" customHeight="1" x14ac:dyDescent="0.25">
      <c r="DQ2145" s="99"/>
      <c r="DR2145" s="99"/>
      <c r="EW2145"/>
      <c r="EX2145"/>
      <c r="EY2145"/>
    </row>
    <row r="2146" spans="121:155" ht="15" customHeight="1" x14ac:dyDescent="0.25">
      <c r="DQ2146" s="99"/>
      <c r="DR2146" s="99"/>
      <c r="EW2146"/>
      <c r="EX2146"/>
      <c r="EY2146"/>
    </row>
    <row r="2147" spans="121:155" ht="15" customHeight="1" x14ac:dyDescent="0.25">
      <c r="DQ2147" s="99"/>
      <c r="DR2147" s="99"/>
      <c r="EW2147"/>
      <c r="EX2147"/>
      <c r="EY2147"/>
    </row>
    <row r="2148" spans="121:155" ht="15" customHeight="1" x14ac:dyDescent="0.25">
      <c r="DQ2148" s="99"/>
      <c r="DR2148" s="99"/>
      <c r="EW2148"/>
      <c r="EX2148"/>
      <c r="EY2148"/>
    </row>
    <row r="2149" spans="121:155" ht="15" customHeight="1" x14ac:dyDescent="0.25">
      <c r="DQ2149" s="99"/>
      <c r="DR2149" s="99"/>
      <c r="EW2149"/>
      <c r="EX2149"/>
      <c r="EY2149"/>
    </row>
    <row r="2150" spans="121:155" ht="15" customHeight="1" x14ac:dyDescent="0.25">
      <c r="DQ2150" s="99"/>
      <c r="DR2150" s="99"/>
      <c r="EW2150"/>
      <c r="EX2150"/>
      <c r="EY2150"/>
    </row>
    <row r="2151" spans="121:155" ht="15" customHeight="1" x14ac:dyDescent="0.25">
      <c r="DQ2151" s="99"/>
      <c r="DR2151" s="99"/>
      <c r="EW2151"/>
      <c r="EX2151"/>
      <c r="EY2151"/>
    </row>
    <row r="2152" spans="121:155" ht="15" customHeight="1" x14ac:dyDescent="0.25">
      <c r="DQ2152" s="99"/>
      <c r="DR2152" s="99"/>
      <c r="EW2152"/>
      <c r="EX2152"/>
      <c r="EY2152"/>
    </row>
    <row r="2153" spans="121:155" ht="15" customHeight="1" x14ac:dyDescent="0.25">
      <c r="DQ2153" s="99"/>
      <c r="DR2153" s="99"/>
      <c r="EW2153"/>
      <c r="EX2153"/>
      <c r="EY2153"/>
    </row>
    <row r="2154" spans="121:155" ht="15" customHeight="1" x14ac:dyDescent="0.25">
      <c r="DQ2154" s="99"/>
      <c r="DR2154" s="99"/>
      <c r="EW2154"/>
      <c r="EX2154"/>
      <c r="EY2154"/>
    </row>
    <row r="2155" spans="121:155" ht="15" customHeight="1" x14ac:dyDescent="0.25">
      <c r="DQ2155" s="99"/>
      <c r="DR2155" s="99"/>
      <c r="EW2155"/>
      <c r="EX2155"/>
      <c r="EY2155"/>
    </row>
    <row r="2156" spans="121:155" ht="15" customHeight="1" x14ac:dyDescent="0.25">
      <c r="DQ2156" s="99"/>
      <c r="DR2156" s="99"/>
      <c r="EW2156"/>
      <c r="EX2156"/>
      <c r="EY2156"/>
    </row>
    <row r="2157" spans="121:155" ht="15" customHeight="1" x14ac:dyDescent="0.25">
      <c r="DQ2157" s="99"/>
      <c r="DR2157" s="99"/>
      <c r="EW2157"/>
      <c r="EX2157"/>
      <c r="EY2157"/>
    </row>
    <row r="2158" spans="121:155" ht="15" customHeight="1" x14ac:dyDescent="0.25">
      <c r="DQ2158" s="99"/>
      <c r="DR2158" s="99"/>
      <c r="EW2158"/>
      <c r="EX2158"/>
      <c r="EY2158"/>
    </row>
    <row r="2159" spans="121:155" ht="15" customHeight="1" x14ac:dyDescent="0.25">
      <c r="DQ2159" s="99"/>
      <c r="DR2159" s="99"/>
      <c r="EW2159"/>
      <c r="EX2159"/>
      <c r="EY2159"/>
    </row>
    <row r="2160" spans="121:155" ht="15" customHeight="1" x14ac:dyDescent="0.25">
      <c r="DQ2160" s="99"/>
      <c r="DR2160" s="99"/>
      <c r="EW2160"/>
      <c r="EX2160"/>
      <c r="EY2160"/>
    </row>
    <row r="2161" spans="121:155" ht="15" customHeight="1" x14ac:dyDescent="0.25">
      <c r="DQ2161" s="99"/>
      <c r="DR2161" s="99"/>
      <c r="EW2161"/>
      <c r="EX2161"/>
      <c r="EY2161"/>
    </row>
    <row r="2162" spans="121:155" ht="15" customHeight="1" x14ac:dyDescent="0.25">
      <c r="DQ2162" s="99"/>
      <c r="DR2162" s="99"/>
      <c r="EW2162"/>
      <c r="EX2162"/>
      <c r="EY2162"/>
    </row>
    <row r="2163" spans="121:155" ht="15" customHeight="1" x14ac:dyDescent="0.25">
      <c r="DQ2163" s="99"/>
      <c r="DR2163" s="99"/>
      <c r="EW2163"/>
      <c r="EX2163"/>
      <c r="EY2163"/>
    </row>
    <row r="2164" spans="121:155" ht="15" customHeight="1" x14ac:dyDescent="0.25">
      <c r="DQ2164" s="99"/>
      <c r="DR2164" s="99"/>
      <c r="EW2164"/>
      <c r="EX2164"/>
      <c r="EY2164"/>
    </row>
    <row r="2165" spans="121:155" ht="15" customHeight="1" x14ac:dyDescent="0.25">
      <c r="DQ2165" s="99"/>
      <c r="DR2165" s="99"/>
      <c r="EW2165"/>
      <c r="EX2165"/>
      <c r="EY2165"/>
    </row>
    <row r="2166" spans="121:155" ht="15" customHeight="1" x14ac:dyDescent="0.25">
      <c r="DQ2166" s="99"/>
      <c r="DR2166" s="99"/>
      <c r="EW2166"/>
      <c r="EX2166"/>
      <c r="EY2166"/>
    </row>
    <row r="2167" spans="121:155" ht="15" customHeight="1" x14ac:dyDescent="0.25">
      <c r="DQ2167" s="99"/>
      <c r="DR2167" s="99"/>
      <c r="EW2167"/>
      <c r="EX2167"/>
      <c r="EY2167"/>
    </row>
    <row r="2168" spans="121:155" ht="15" customHeight="1" x14ac:dyDescent="0.25">
      <c r="DQ2168" s="99"/>
      <c r="DR2168" s="99"/>
      <c r="EW2168"/>
      <c r="EX2168"/>
      <c r="EY2168"/>
    </row>
    <row r="2169" spans="121:155" ht="15" customHeight="1" x14ac:dyDescent="0.25">
      <c r="DQ2169" s="99"/>
      <c r="DR2169" s="99"/>
      <c r="EW2169"/>
      <c r="EX2169"/>
      <c r="EY2169"/>
    </row>
    <row r="2170" spans="121:155" ht="15" customHeight="1" x14ac:dyDescent="0.25">
      <c r="DQ2170" s="99"/>
      <c r="DR2170" s="99"/>
      <c r="EW2170"/>
      <c r="EX2170"/>
      <c r="EY2170"/>
    </row>
    <row r="2171" spans="121:155" ht="15" customHeight="1" x14ac:dyDescent="0.25">
      <c r="DQ2171" s="99"/>
      <c r="DR2171" s="99"/>
      <c r="EW2171"/>
      <c r="EX2171"/>
      <c r="EY2171"/>
    </row>
    <row r="2172" spans="121:155" ht="15" customHeight="1" x14ac:dyDescent="0.25">
      <c r="DQ2172" s="99"/>
      <c r="DR2172" s="99"/>
      <c r="EW2172"/>
      <c r="EX2172"/>
      <c r="EY2172"/>
    </row>
    <row r="2173" spans="121:155" ht="15" customHeight="1" x14ac:dyDescent="0.25">
      <c r="DQ2173" s="99"/>
      <c r="DR2173" s="99"/>
      <c r="EW2173"/>
      <c r="EX2173"/>
      <c r="EY2173"/>
    </row>
    <row r="2174" spans="121:155" ht="15" customHeight="1" x14ac:dyDescent="0.25">
      <c r="DQ2174" s="99"/>
      <c r="DR2174" s="99"/>
      <c r="EW2174"/>
      <c r="EX2174"/>
      <c r="EY2174"/>
    </row>
    <row r="2175" spans="121:155" ht="15" customHeight="1" x14ac:dyDescent="0.25">
      <c r="DQ2175" s="99"/>
      <c r="DR2175" s="99"/>
      <c r="EW2175"/>
      <c r="EX2175"/>
      <c r="EY2175"/>
    </row>
    <row r="2176" spans="121:155" ht="15" customHeight="1" x14ac:dyDescent="0.25">
      <c r="DQ2176" s="99"/>
      <c r="DR2176" s="99"/>
      <c r="EW2176"/>
      <c r="EX2176"/>
      <c r="EY2176"/>
    </row>
    <row r="2177" spans="121:155" ht="15" customHeight="1" x14ac:dyDescent="0.25">
      <c r="DQ2177" s="99"/>
      <c r="DR2177" s="99"/>
      <c r="EW2177"/>
      <c r="EX2177"/>
      <c r="EY2177"/>
    </row>
    <row r="2178" spans="121:155" ht="15" customHeight="1" x14ac:dyDescent="0.25">
      <c r="DQ2178" s="99"/>
      <c r="DR2178" s="99"/>
      <c r="EW2178"/>
      <c r="EX2178"/>
      <c r="EY2178"/>
    </row>
    <row r="2179" spans="121:155" ht="15" customHeight="1" x14ac:dyDescent="0.25">
      <c r="DQ2179" s="99"/>
      <c r="DR2179" s="99"/>
      <c r="EW2179"/>
      <c r="EX2179"/>
      <c r="EY2179"/>
    </row>
    <row r="2180" spans="121:155" ht="15" customHeight="1" x14ac:dyDescent="0.25">
      <c r="DQ2180" s="99"/>
      <c r="DR2180" s="99"/>
      <c r="EW2180"/>
      <c r="EX2180"/>
      <c r="EY2180"/>
    </row>
    <row r="2181" spans="121:155" ht="15" customHeight="1" x14ac:dyDescent="0.25">
      <c r="DQ2181" s="99"/>
      <c r="DR2181" s="99"/>
      <c r="EW2181"/>
      <c r="EX2181"/>
      <c r="EY2181"/>
    </row>
    <row r="2182" spans="121:155" ht="15" customHeight="1" x14ac:dyDescent="0.25">
      <c r="DQ2182" s="99"/>
      <c r="DR2182" s="99"/>
      <c r="EW2182"/>
      <c r="EX2182"/>
      <c r="EY2182"/>
    </row>
    <row r="2183" spans="121:155" ht="15" customHeight="1" x14ac:dyDescent="0.25">
      <c r="DQ2183" s="99"/>
      <c r="DR2183" s="99"/>
      <c r="EW2183"/>
      <c r="EX2183"/>
      <c r="EY2183"/>
    </row>
    <row r="2184" spans="121:155" ht="15" customHeight="1" x14ac:dyDescent="0.25">
      <c r="DQ2184" s="99"/>
      <c r="DR2184" s="99"/>
      <c r="EW2184"/>
      <c r="EX2184"/>
      <c r="EY2184"/>
    </row>
    <row r="2185" spans="121:155" ht="15" customHeight="1" x14ac:dyDescent="0.25">
      <c r="DQ2185" s="99"/>
      <c r="DR2185" s="99"/>
      <c r="EW2185"/>
      <c r="EX2185"/>
      <c r="EY2185"/>
    </row>
    <row r="2186" spans="121:155" ht="15" customHeight="1" x14ac:dyDescent="0.25">
      <c r="DQ2186" s="99"/>
      <c r="DR2186" s="99"/>
      <c r="EW2186"/>
      <c r="EX2186"/>
      <c r="EY2186"/>
    </row>
    <row r="2187" spans="121:155" ht="15" customHeight="1" x14ac:dyDescent="0.25">
      <c r="DQ2187" s="99"/>
      <c r="DR2187" s="99"/>
      <c r="EW2187"/>
      <c r="EX2187"/>
      <c r="EY2187"/>
    </row>
    <row r="2188" spans="121:155" ht="15" customHeight="1" x14ac:dyDescent="0.25">
      <c r="DQ2188" s="99"/>
      <c r="DR2188" s="99"/>
      <c r="EW2188"/>
      <c r="EX2188"/>
      <c r="EY2188"/>
    </row>
    <row r="2189" spans="121:155" ht="15" customHeight="1" x14ac:dyDescent="0.25">
      <c r="DQ2189" s="99"/>
      <c r="DR2189" s="99"/>
      <c r="EW2189"/>
      <c r="EX2189"/>
      <c r="EY2189"/>
    </row>
    <row r="2190" spans="121:155" ht="15" customHeight="1" x14ac:dyDescent="0.25">
      <c r="DQ2190" s="99"/>
      <c r="DR2190" s="99"/>
      <c r="EW2190"/>
      <c r="EX2190"/>
      <c r="EY2190"/>
    </row>
    <row r="2191" spans="121:155" ht="15" customHeight="1" x14ac:dyDescent="0.25">
      <c r="DQ2191" s="99"/>
      <c r="DR2191" s="99"/>
      <c r="EW2191"/>
      <c r="EX2191"/>
      <c r="EY2191"/>
    </row>
    <row r="2192" spans="121:155" ht="15" customHeight="1" x14ac:dyDescent="0.25">
      <c r="DQ2192" s="99"/>
      <c r="DR2192" s="99"/>
      <c r="EW2192"/>
      <c r="EX2192"/>
      <c r="EY2192"/>
    </row>
    <row r="2193" spans="121:155" ht="15" customHeight="1" x14ac:dyDescent="0.25">
      <c r="DQ2193" s="99"/>
      <c r="DR2193" s="99"/>
      <c r="EW2193"/>
      <c r="EX2193"/>
      <c r="EY2193"/>
    </row>
    <row r="2194" spans="121:155" ht="15" customHeight="1" x14ac:dyDescent="0.25">
      <c r="DQ2194" s="99"/>
      <c r="DR2194" s="99"/>
      <c r="EW2194"/>
      <c r="EX2194"/>
      <c r="EY2194"/>
    </row>
    <row r="2195" spans="121:155" ht="15" customHeight="1" x14ac:dyDescent="0.25">
      <c r="DQ2195" s="99"/>
      <c r="DR2195" s="99"/>
      <c r="EW2195"/>
      <c r="EX2195"/>
      <c r="EY2195"/>
    </row>
    <row r="2196" spans="121:155" ht="15" customHeight="1" x14ac:dyDescent="0.25">
      <c r="DQ2196" s="99"/>
      <c r="DR2196" s="99"/>
      <c r="EW2196"/>
      <c r="EX2196"/>
      <c r="EY2196"/>
    </row>
    <row r="2197" spans="121:155" ht="15" customHeight="1" x14ac:dyDescent="0.25">
      <c r="DQ2197" s="99"/>
      <c r="DR2197" s="99"/>
      <c r="EW2197"/>
      <c r="EX2197"/>
      <c r="EY2197"/>
    </row>
    <row r="2198" spans="121:155" ht="15" customHeight="1" x14ac:dyDescent="0.25">
      <c r="DQ2198" s="99"/>
      <c r="DR2198" s="99"/>
      <c r="EW2198"/>
      <c r="EX2198"/>
      <c r="EY2198"/>
    </row>
    <row r="2199" spans="121:155" ht="15" customHeight="1" x14ac:dyDescent="0.25">
      <c r="DQ2199" s="99"/>
      <c r="DR2199" s="99"/>
      <c r="EW2199"/>
      <c r="EX2199"/>
      <c r="EY2199"/>
    </row>
    <row r="2200" spans="121:155" ht="15" customHeight="1" x14ac:dyDescent="0.25">
      <c r="DQ2200" s="99"/>
      <c r="DR2200" s="99"/>
      <c r="EW2200"/>
      <c r="EX2200"/>
      <c r="EY2200"/>
    </row>
    <row r="2201" spans="121:155" ht="15" customHeight="1" x14ac:dyDescent="0.25">
      <c r="DQ2201" s="99"/>
      <c r="DR2201" s="99"/>
      <c r="EW2201"/>
      <c r="EX2201"/>
      <c r="EY2201"/>
    </row>
    <row r="2202" spans="121:155" ht="15" customHeight="1" x14ac:dyDescent="0.25">
      <c r="DQ2202" s="99"/>
      <c r="DR2202" s="99"/>
      <c r="EW2202"/>
      <c r="EX2202"/>
      <c r="EY2202"/>
    </row>
    <row r="2203" spans="121:155" ht="15" customHeight="1" x14ac:dyDescent="0.25">
      <c r="DQ2203" s="99"/>
      <c r="DR2203" s="99"/>
      <c r="EW2203"/>
      <c r="EX2203"/>
      <c r="EY2203"/>
    </row>
    <row r="2204" spans="121:155" ht="15" customHeight="1" x14ac:dyDescent="0.25">
      <c r="DQ2204" s="99"/>
      <c r="DR2204" s="99"/>
      <c r="EW2204"/>
      <c r="EX2204"/>
      <c r="EY2204"/>
    </row>
    <row r="2205" spans="121:155" ht="15" customHeight="1" x14ac:dyDescent="0.25">
      <c r="DQ2205" s="99"/>
      <c r="DR2205" s="99"/>
      <c r="EW2205"/>
      <c r="EX2205"/>
      <c r="EY2205"/>
    </row>
    <row r="2206" spans="121:155" ht="15" customHeight="1" x14ac:dyDescent="0.25">
      <c r="DQ2206" s="99"/>
      <c r="DR2206" s="99"/>
      <c r="EW2206"/>
      <c r="EX2206"/>
      <c r="EY2206"/>
    </row>
    <row r="2207" spans="121:155" ht="15" customHeight="1" x14ac:dyDescent="0.25">
      <c r="DQ2207" s="99"/>
      <c r="DR2207" s="99"/>
      <c r="EW2207"/>
      <c r="EX2207"/>
      <c r="EY2207"/>
    </row>
    <row r="2208" spans="121:155" ht="15" customHeight="1" x14ac:dyDescent="0.25">
      <c r="DQ2208" s="99"/>
      <c r="DR2208" s="99"/>
      <c r="EW2208"/>
      <c r="EX2208"/>
      <c r="EY2208"/>
    </row>
    <row r="2209" spans="121:155" ht="15" customHeight="1" x14ac:dyDescent="0.25">
      <c r="DQ2209" s="99"/>
      <c r="DR2209" s="99"/>
      <c r="EW2209"/>
      <c r="EX2209"/>
      <c r="EY2209"/>
    </row>
    <row r="2210" spans="121:155" ht="15" customHeight="1" x14ac:dyDescent="0.25">
      <c r="DQ2210" s="99"/>
      <c r="DR2210" s="99"/>
      <c r="EW2210"/>
      <c r="EX2210"/>
      <c r="EY2210"/>
    </row>
    <row r="2211" spans="121:155" ht="15" customHeight="1" x14ac:dyDescent="0.25">
      <c r="DQ2211" s="99"/>
      <c r="DR2211" s="99"/>
      <c r="EW2211"/>
      <c r="EX2211"/>
      <c r="EY2211"/>
    </row>
    <row r="2212" spans="121:155" ht="15" customHeight="1" x14ac:dyDescent="0.25">
      <c r="DQ2212" s="99"/>
      <c r="DR2212" s="99"/>
      <c r="EW2212"/>
      <c r="EX2212"/>
      <c r="EY2212"/>
    </row>
    <row r="2213" spans="121:155" ht="15" customHeight="1" x14ac:dyDescent="0.25">
      <c r="DQ2213" s="99"/>
      <c r="DR2213" s="99"/>
      <c r="EW2213"/>
      <c r="EX2213"/>
      <c r="EY2213"/>
    </row>
    <row r="2214" spans="121:155" ht="15" customHeight="1" x14ac:dyDescent="0.25">
      <c r="DQ2214" s="99"/>
      <c r="DR2214" s="99"/>
      <c r="EW2214"/>
      <c r="EX2214"/>
      <c r="EY2214"/>
    </row>
    <row r="2215" spans="121:155" ht="15" customHeight="1" x14ac:dyDescent="0.25">
      <c r="DQ2215" s="99"/>
      <c r="DR2215" s="99"/>
      <c r="EW2215"/>
      <c r="EX2215"/>
      <c r="EY2215"/>
    </row>
    <row r="2216" spans="121:155" ht="15" customHeight="1" x14ac:dyDescent="0.25">
      <c r="DQ2216" s="99"/>
      <c r="DR2216" s="99"/>
      <c r="EW2216"/>
      <c r="EX2216"/>
      <c r="EY2216"/>
    </row>
    <row r="2217" spans="121:155" ht="15" customHeight="1" x14ac:dyDescent="0.25">
      <c r="DQ2217" s="99"/>
      <c r="DR2217" s="99"/>
      <c r="EW2217"/>
      <c r="EX2217"/>
      <c r="EY2217"/>
    </row>
    <row r="2218" spans="121:155" ht="15" customHeight="1" x14ac:dyDescent="0.25">
      <c r="DQ2218" s="99"/>
      <c r="DR2218" s="99"/>
      <c r="EW2218"/>
      <c r="EX2218"/>
      <c r="EY2218"/>
    </row>
    <row r="2219" spans="121:155" ht="15" customHeight="1" x14ac:dyDescent="0.25">
      <c r="DQ2219" s="99"/>
      <c r="DR2219" s="99"/>
      <c r="EW2219"/>
      <c r="EX2219"/>
      <c r="EY2219"/>
    </row>
    <row r="2220" spans="121:155" ht="15" customHeight="1" x14ac:dyDescent="0.25">
      <c r="DQ2220" s="99"/>
      <c r="DR2220" s="99"/>
      <c r="EW2220"/>
      <c r="EX2220"/>
      <c r="EY2220"/>
    </row>
    <row r="2221" spans="121:155" ht="15" customHeight="1" x14ac:dyDescent="0.25">
      <c r="DQ2221" s="99"/>
      <c r="DR2221" s="99"/>
      <c r="EW2221"/>
      <c r="EX2221"/>
      <c r="EY2221"/>
    </row>
    <row r="2222" spans="121:155" ht="15" customHeight="1" x14ac:dyDescent="0.25">
      <c r="DQ2222" s="99"/>
      <c r="DR2222" s="99"/>
      <c r="EW2222"/>
      <c r="EX2222"/>
      <c r="EY2222"/>
    </row>
    <row r="2223" spans="121:155" ht="15" customHeight="1" x14ac:dyDescent="0.25">
      <c r="DQ2223" s="99"/>
      <c r="DR2223" s="99"/>
      <c r="EW2223"/>
      <c r="EX2223"/>
      <c r="EY2223"/>
    </row>
    <row r="2224" spans="121:155" ht="15" customHeight="1" x14ac:dyDescent="0.25">
      <c r="DQ2224" s="99"/>
      <c r="DR2224" s="99"/>
      <c r="EW2224"/>
      <c r="EX2224"/>
      <c r="EY2224"/>
    </row>
    <row r="2225" spans="121:155" ht="15" customHeight="1" x14ac:dyDescent="0.25">
      <c r="DQ2225" s="99"/>
      <c r="DR2225" s="99"/>
      <c r="EW2225"/>
      <c r="EX2225"/>
      <c r="EY2225"/>
    </row>
    <row r="2226" spans="121:155" ht="15" customHeight="1" x14ac:dyDescent="0.25">
      <c r="DQ2226" s="99"/>
      <c r="DR2226" s="99"/>
      <c r="EW2226"/>
      <c r="EX2226"/>
      <c r="EY2226"/>
    </row>
    <row r="2227" spans="121:155" ht="15" customHeight="1" x14ac:dyDescent="0.25">
      <c r="DQ2227" s="99"/>
      <c r="DR2227" s="99"/>
      <c r="EW2227"/>
      <c r="EX2227"/>
      <c r="EY2227"/>
    </row>
    <row r="2228" spans="121:155" ht="15" customHeight="1" x14ac:dyDescent="0.25">
      <c r="DQ2228" s="99"/>
      <c r="DR2228" s="99"/>
      <c r="EW2228"/>
      <c r="EX2228"/>
      <c r="EY2228"/>
    </row>
    <row r="2229" spans="121:155" ht="15" customHeight="1" x14ac:dyDescent="0.25">
      <c r="DQ2229" s="99"/>
      <c r="DR2229" s="99"/>
      <c r="EW2229"/>
      <c r="EX2229"/>
      <c r="EY2229"/>
    </row>
    <row r="2230" spans="121:155" ht="15" customHeight="1" x14ac:dyDescent="0.25">
      <c r="DQ2230" s="99"/>
      <c r="DR2230" s="99"/>
      <c r="EW2230"/>
      <c r="EX2230"/>
      <c r="EY2230"/>
    </row>
    <row r="2231" spans="121:155" ht="15" customHeight="1" x14ac:dyDescent="0.25">
      <c r="DQ2231" s="99"/>
      <c r="DR2231" s="99"/>
      <c r="EW2231"/>
      <c r="EX2231"/>
      <c r="EY2231"/>
    </row>
    <row r="2232" spans="121:155" ht="15" customHeight="1" x14ac:dyDescent="0.25">
      <c r="DQ2232" s="99"/>
      <c r="DR2232" s="99"/>
      <c r="EW2232"/>
      <c r="EX2232"/>
      <c r="EY2232"/>
    </row>
    <row r="2233" spans="121:155" ht="15" customHeight="1" x14ac:dyDescent="0.25">
      <c r="DQ2233" s="99"/>
      <c r="DR2233" s="99"/>
      <c r="EW2233"/>
      <c r="EX2233"/>
      <c r="EY2233"/>
    </row>
    <row r="2234" spans="121:155" ht="15" customHeight="1" x14ac:dyDescent="0.25">
      <c r="DQ2234" s="99"/>
      <c r="DR2234" s="99"/>
      <c r="EW2234"/>
      <c r="EX2234"/>
      <c r="EY2234"/>
    </row>
    <row r="2235" spans="121:155" ht="15" customHeight="1" x14ac:dyDescent="0.25">
      <c r="DQ2235" s="99"/>
      <c r="DR2235" s="99"/>
      <c r="EW2235"/>
      <c r="EX2235"/>
      <c r="EY2235"/>
    </row>
    <row r="2236" spans="121:155" ht="15" customHeight="1" x14ac:dyDescent="0.25">
      <c r="DQ2236" s="99"/>
      <c r="DR2236" s="99"/>
      <c r="EW2236"/>
      <c r="EX2236"/>
      <c r="EY2236"/>
    </row>
    <row r="2237" spans="121:155" ht="15" customHeight="1" x14ac:dyDescent="0.25">
      <c r="DQ2237" s="99"/>
      <c r="DR2237" s="99"/>
      <c r="EW2237"/>
      <c r="EX2237"/>
      <c r="EY2237"/>
    </row>
    <row r="2238" spans="121:155" ht="15" customHeight="1" x14ac:dyDescent="0.25">
      <c r="DQ2238" s="99"/>
      <c r="DR2238" s="99"/>
      <c r="EW2238"/>
      <c r="EX2238"/>
      <c r="EY2238"/>
    </row>
    <row r="2239" spans="121:155" ht="15" customHeight="1" x14ac:dyDescent="0.25">
      <c r="DQ2239" s="99"/>
      <c r="DR2239" s="99"/>
      <c r="EW2239"/>
      <c r="EX2239"/>
      <c r="EY2239"/>
    </row>
    <row r="2240" spans="121:155" ht="15" customHeight="1" x14ac:dyDescent="0.25">
      <c r="DQ2240" s="99"/>
      <c r="DR2240" s="99"/>
      <c r="EW2240"/>
      <c r="EX2240"/>
      <c r="EY2240"/>
    </row>
    <row r="2241" spans="121:155" ht="15" customHeight="1" x14ac:dyDescent="0.25">
      <c r="DQ2241" s="99"/>
      <c r="DR2241" s="99"/>
      <c r="EW2241"/>
      <c r="EX2241"/>
      <c r="EY2241"/>
    </row>
    <row r="2242" spans="121:155" ht="15" customHeight="1" x14ac:dyDescent="0.25">
      <c r="DQ2242" s="99"/>
      <c r="DR2242" s="99"/>
      <c r="EW2242"/>
      <c r="EX2242"/>
      <c r="EY2242"/>
    </row>
    <row r="2243" spans="121:155" ht="15" customHeight="1" x14ac:dyDescent="0.25">
      <c r="DQ2243" s="99"/>
      <c r="DR2243" s="99"/>
      <c r="EW2243"/>
      <c r="EX2243"/>
      <c r="EY2243"/>
    </row>
    <row r="2244" spans="121:155" ht="15" customHeight="1" x14ac:dyDescent="0.25">
      <c r="DQ2244" s="99"/>
      <c r="DR2244" s="99"/>
      <c r="EW2244"/>
      <c r="EX2244"/>
      <c r="EY2244"/>
    </row>
    <row r="2245" spans="121:155" ht="15" customHeight="1" x14ac:dyDescent="0.25">
      <c r="DQ2245" s="99"/>
      <c r="DR2245" s="99"/>
      <c r="EW2245"/>
      <c r="EX2245"/>
      <c r="EY2245"/>
    </row>
    <row r="2246" spans="121:155" ht="15" customHeight="1" x14ac:dyDescent="0.25">
      <c r="DQ2246" s="99"/>
      <c r="DR2246" s="99"/>
      <c r="EW2246"/>
      <c r="EX2246"/>
      <c r="EY2246"/>
    </row>
    <row r="2247" spans="121:155" ht="15" customHeight="1" x14ac:dyDescent="0.25">
      <c r="DQ2247" s="99"/>
      <c r="DR2247" s="99"/>
      <c r="EW2247"/>
      <c r="EX2247"/>
      <c r="EY2247"/>
    </row>
    <row r="2248" spans="121:155" ht="15" customHeight="1" x14ac:dyDescent="0.25">
      <c r="DQ2248" s="99"/>
      <c r="DR2248" s="99"/>
      <c r="EW2248"/>
      <c r="EX2248"/>
      <c r="EY2248"/>
    </row>
    <row r="2249" spans="121:155" ht="15" customHeight="1" x14ac:dyDescent="0.25">
      <c r="DQ2249" s="99"/>
      <c r="DR2249" s="99"/>
      <c r="EW2249"/>
      <c r="EX2249"/>
      <c r="EY2249"/>
    </row>
    <row r="2250" spans="121:155" ht="15" customHeight="1" x14ac:dyDescent="0.25">
      <c r="DQ2250" s="99"/>
      <c r="DR2250" s="99"/>
      <c r="EW2250"/>
      <c r="EX2250"/>
      <c r="EY2250"/>
    </row>
    <row r="2251" spans="121:155" ht="15" customHeight="1" x14ac:dyDescent="0.25">
      <c r="DQ2251" s="99"/>
      <c r="DR2251" s="99"/>
      <c r="EW2251"/>
      <c r="EX2251"/>
      <c r="EY2251"/>
    </row>
    <row r="2252" spans="121:155" ht="15" customHeight="1" x14ac:dyDescent="0.25">
      <c r="DQ2252" s="99"/>
      <c r="DR2252" s="99"/>
      <c r="EW2252"/>
      <c r="EX2252"/>
      <c r="EY2252"/>
    </row>
    <row r="2253" spans="121:155" ht="15" customHeight="1" x14ac:dyDescent="0.25">
      <c r="DQ2253" s="99"/>
      <c r="DR2253" s="99"/>
      <c r="EW2253"/>
      <c r="EX2253"/>
      <c r="EY2253"/>
    </row>
    <row r="2254" spans="121:155" ht="15" customHeight="1" x14ac:dyDescent="0.25">
      <c r="DQ2254" s="99"/>
      <c r="DR2254" s="99"/>
      <c r="EW2254"/>
      <c r="EX2254"/>
      <c r="EY2254"/>
    </row>
    <row r="2255" spans="121:155" ht="15" customHeight="1" x14ac:dyDescent="0.25">
      <c r="DQ2255" s="99"/>
      <c r="DR2255" s="99"/>
      <c r="EW2255"/>
      <c r="EX2255"/>
      <c r="EY2255"/>
    </row>
    <row r="2256" spans="121:155" ht="15" customHeight="1" x14ac:dyDescent="0.25">
      <c r="DQ2256" s="99"/>
      <c r="DR2256" s="99"/>
      <c r="EW2256"/>
      <c r="EX2256"/>
      <c r="EY2256"/>
    </row>
    <row r="2257" spans="121:155" ht="15" customHeight="1" x14ac:dyDescent="0.25">
      <c r="DQ2257" s="99"/>
      <c r="DR2257" s="99"/>
      <c r="EW2257"/>
      <c r="EX2257"/>
      <c r="EY2257"/>
    </row>
    <row r="2258" spans="121:155" ht="15" customHeight="1" x14ac:dyDescent="0.25">
      <c r="DQ2258" s="99"/>
      <c r="DR2258" s="99"/>
      <c r="EW2258"/>
      <c r="EX2258"/>
      <c r="EY2258"/>
    </row>
    <row r="2259" spans="121:155" ht="15" customHeight="1" x14ac:dyDescent="0.25">
      <c r="DQ2259" s="99"/>
      <c r="DR2259" s="99"/>
      <c r="EW2259"/>
      <c r="EX2259"/>
      <c r="EY2259"/>
    </row>
    <row r="2260" spans="121:155" ht="15" customHeight="1" x14ac:dyDescent="0.25">
      <c r="DQ2260" s="99"/>
      <c r="DR2260" s="99"/>
      <c r="EW2260"/>
      <c r="EX2260"/>
      <c r="EY2260"/>
    </row>
    <row r="2261" spans="121:155" ht="15" customHeight="1" x14ac:dyDescent="0.25">
      <c r="DQ2261" s="99"/>
      <c r="DR2261" s="99"/>
      <c r="EW2261"/>
      <c r="EX2261"/>
      <c r="EY2261"/>
    </row>
    <row r="2262" spans="121:155" ht="15" customHeight="1" x14ac:dyDescent="0.25">
      <c r="DQ2262" s="99"/>
      <c r="DR2262" s="99"/>
      <c r="EW2262"/>
      <c r="EX2262"/>
      <c r="EY2262"/>
    </row>
    <row r="2263" spans="121:155" ht="15" customHeight="1" x14ac:dyDescent="0.25">
      <c r="DQ2263" s="99"/>
      <c r="DR2263" s="99"/>
      <c r="EW2263"/>
      <c r="EX2263"/>
      <c r="EY2263"/>
    </row>
    <row r="2264" spans="121:155" ht="15" customHeight="1" x14ac:dyDescent="0.25">
      <c r="DQ2264" s="99"/>
      <c r="DR2264" s="99"/>
      <c r="EW2264"/>
      <c r="EX2264"/>
      <c r="EY2264"/>
    </row>
    <row r="2265" spans="121:155" ht="15" customHeight="1" x14ac:dyDescent="0.25">
      <c r="DQ2265" s="99"/>
      <c r="DR2265" s="99"/>
      <c r="EW2265"/>
      <c r="EX2265"/>
      <c r="EY2265"/>
    </row>
    <row r="2266" spans="121:155" ht="15" customHeight="1" x14ac:dyDescent="0.25">
      <c r="DQ2266" s="99"/>
      <c r="DR2266" s="99"/>
      <c r="EW2266"/>
      <c r="EX2266"/>
      <c r="EY2266"/>
    </row>
    <row r="2267" spans="121:155" ht="15" customHeight="1" x14ac:dyDescent="0.25">
      <c r="DQ2267" s="99"/>
      <c r="DR2267" s="99"/>
      <c r="EW2267"/>
      <c r="EX2267"/>
      <c r="EY2267"/>
    </row>
    <row r="2268" spans="121:155" ht="15" customHeight="1" x14ac:dyDescent="0.25">
      <c r="DQ2268" s="99"/>
      <c r="DR2268" s="99"/>
      <c r="EW2268"/>
      <c r="EX2268"/>
      <c r="EY2268"/>
    </row>
    <row r="2269" spans="121:155" ht="15" customHeight="1" x14ac:dyDescent="0.25">
      <c r="DQ2269" s="99"/>
      <c r="DR2269" s="99"/>
      <c r="EW2269"/>
      <c r="EX2269"/>
      <c r="EY2269"/>
    </row>
    <row r="2270" spans="121:155" ht="15" customHeight="1" x14ac:dyDescent="0.25">
      <c r="DQ2270" s="99"/>
      <c r="DR2270" s="99"/>
      <c r="EW2270"/>
      <c r="EX2270"/>
      <c r="EY2270"/>
    </row>
    <row r="2271" spans="121:155" ht="15" customHeight="1" x14ac:dyDescent="0.25">
      <c r="DQ2271" s="99"/>
      <c r="DR2271" s="99"/>
      <c r="EW2271"/>
      <c r="EX2271"/>
      <c r="EY2271"/>
    </row>
    <row r="2272" spans="121:155" ht="15" customHeight="1" x14ac:dyDescent="0.25">
      <c r="DQ2272" s="99"/>
      <c r="DR2272" s="99"/>
      <c r="EW2272"/>
      <c r="EX2272"/>
      <c r="EY2272"/>
    </row>
    <row r="2273" spans="121:155" ht="15" customHeight="1" x14ac:dyDescent="0.25">
      <c r="DQ2273" s="99"/>
      <c r="DR2273" s="99"/>
      <c r="EW2273"/>
      <c r="EX2273"/>
      <c r="EY2273"/>
    </row>
    <row r="2274" spans="121:155" ht="15" customHeight="1" x14ac:dyDescent="0.25">
      <c r="DQ2274" s="99"/>
      <c r="DR2274" s="99"/>
      <c r="EW2274"/>
      <c r="EX2274"/>
      <c r="EY2274"/>
    </row>
    <row r="2275" spans="121:155" ht="15" customHeight="1" x14ac:dyDescent="0.25">
      <c r="DQ2275" s="99"/>
      <c r="DR2275" s="99"/>
      <c r="EW2275"/>
      <c r="EX2275"/>
      <c r="EY2275"/>
    </row>
    <row r="2276" spans="121:155" ht="15" customHeight="1" x14ac:dyDescent="0.25">
      <c r="DQ2276" s="99"/>
      <c r="DR2276" s="99"/>
      <c r="EW2276"/>
      <c r="EX2276"/>
      <c r="EY2276"/>
    </row>
    <row r="2277" spans="121:155" ht="15" customHeight="1" x14ac:dyDescent="0.25">
      <c r="DQ2277" s="99"/>
      <c r="DR2277" s="99"/>
      <c r="EW2277"/>
      <c r="EX2277"/>
      <c r="EY2277"/>
    </row>
    <row r="2278" spans="121:155" ht="15" customHeight="1" x14ac:dyDescent="0.25">
      <c r="DQ2278" s="99"/>
      <c r="DR2278" s="99"/>
      <c r="EW2278"/>
      <c r="EX2278"/>
      <c r="EY2278"/>
    </row>
    <row r="2279" spans="121:155" ht="15" customHeight="1" x14ac:dyDescent="0.25">
      <c r="DQ2279" s="99"/>
      <c r="DR2279" s="99"/>
      <c r="EW2279"/>
      <c r="EX2279"/>
      <c r="EY2279"/>
    </row>
    <row r="2280" spans="121:155" ht="15" customHeight="1" x14ac:dyDescent="0.25">
      <c r="DQ2280" s="99"/>
      <c r="DR2280" s="99"/>
      <c r="EW2280"/>
      <c r="EX2280"/>
      <c r="EY2280"/>
    </row>
    <row r="2281" spans="121:155" ht="15" customHeight="1" x14ac:dyDescent="0.25">
      <c r="DQ2281" s="99"/>
      <c r="DR2281" s="99"/>
      <c r="EW2281"/>
      <c r="EX2281"/>
      <c r="EY2281"/>
    </row>
    <row r="2282" spans="121:155" ht="15" customHeight="1" x14ac:dyDescent="0.25">
      <c r="DQ2282" s="99"/>
      <c r="DR2282" s="99"/>
      <c r="EW2282"/>
      <c r="EX2282"/>
      <c r="EY2282"/>
    </row>
    <row r="2283" spans="121:155" ht="15" customHeight="1" x14ac:dyDescent="0.25">
      <c r="DQ2283" s="99"/>
      <c r="DR2283" s="99"/>
      <c r="EW2283"/>
      <c r="EX2283"/>
      <c r="EY2283"/>
    </row>
    <row r="2284" spans="121:155" ht="15" customHeight="1" x14ac:dyDescent="0.25">
      <c r="DQ2284" s="99"/>
      <c r="DR2284" s="99"/>
      <c r="EW2284"/>
      <c r="EX2284"/>
      <c r="EY2284"/>
    </row>
    <row r="2285" spans="121:155" ht="15" customHeight="1" x14ac:dyDescent="0.25">
      <c r="DQ2285" s="99"/>
      <c r="DR2285" s="99"/>
      <c r="EW2285"/>
      <c r="EX2285"/>
      <c r="EY2285"/>
    </row>
    <row r="2286" spans="121:155" ht="15" customHeight="1" x14ac:dyDescent="0.25">
      <c r="DQ2286" s="99"/>
      <c r="DR2286" s="99"/>
      <c r="EW2286"/>
      <c r="EX2286"/>
      <c r="EY2286"/>
    </row>
    <row r="2287" spans="121:155" ht="15" customHeight="1" x14ac:dyDescent="0.25">
      <c r="DQ2287" s="99"/>
      <c r="DR2287" s="99"/>
      <c r="EW2287"/>
      <c r="EX2287"/>
      <c r="EY2287"/>
    </row>
    <row r="2288" spans="121:155" ht="15" customHeight="1" x14ac:dyDescent="0.25">
      <c r="DQ2288" s="99"/>
      <c r="DR2288" s="99"/>
      <c r="EW2288"/>
      <c r="EX2288"/>
      <c r="EY2288"/>
    </row>
    <row r="2289" spans="121:155" ht="15" customHeight="1" x14ac:dyDescent="0.25">
      <c r="DQ2289" s="99"/>
      <c r="DR2289" s="99"/>
      <c r="EW2289"/>
      <c r="EX2289"/>
      <c r="EY2289"/>
    </row>
    <row r="2290" spans="121:155" ht="15" customHeight="1" x14ac:dyDescent="0.25">
      <c r="DQ2290" s="99"/>
      <c r="DR2290" s="99"/>
      <c r="EW2290"/>
      <c r="EX2290"/>
      <c r="EY2290"/>
    </row>
    <row r="2291" spans="121:155" ht="15" customHeight="1" x14ac:dyDescent="0.25">
      <c r="DQ2291" s="99"/>
      <c r="DR2291" s="99"/>
      <c r="EW2291"/>
      <c r="EX2291"/>
      <c r="EY2291"/>
    </row>
    <row r="2292" spans="121:155" ht="15" customHeight="1" x14ac:dyDescent="0.25">
      <c r="DQ2292" s="99"/>
      <c r="DR2292" s="99"/>
      <c r="EW2292"/>
      <c r="EX2292"/>
      <c r="EY2292"/>
    </row>
    <row r="2293" spans="121:155" ht="15" customHeight="1" x14ac:dyDescent="0.25">
      <c r="DQ2293" s="99"/>
      <c r="DR2293" s="99"/>
      <c r="EW2293"/>
      <c r="EX2293"/>
      <c r="EY2293"/>
    </row>
    <row r="2294" spans="121:155" ht="15" customHeight="1" x14ac:dyDescent="0.25">
      <c r="DQ2294" s="99"/>
      <c r="DR2294" s="99"/>
      <c r="EW2294"/>
      <c r="EX2294"/>
      <c r="EY2294"/>
    </row>
    <row r="2295" spans="121:155" ht="15" customHeight="1" x14ac:dyDescent="0.25">
      <c r="DQ2295" s="99"/>
      <c r="DR2295" s="99"/>
      <c r="EW2295"/>
      <c r="EX2295"/>
      <c r="EY2295"/>
    </row>
    <row r="2296" spans="121:155" ht="15" customHeight="1" x14ac:dyDescent="0.25">
      <c r="DQ2296" s="99"/>
      <c r="DR2296" s="99"/>
      <c r="EW2296"/>
      <c r="EX2296"/>
      <c r="EY2296"/>
    </row>
    <row r="2297" spans="121:155" ht="15" customHeight="1" x14ac:dyDescent="0.25">
      <c r="DQ2297" s="99"/>
      <c r="DR2297" s="99"/>
      <c r="EW2297"/>
      <c r="EX2297"/>
      <c r="EY2297"/>
    </row>
    <row r="2298" spans="121:155" ht="15" customHeight="1" x14ac:dyDescent="0.25">
      <c r="DQ2298" s="99"/>
      <c r="DR2298" s="99"/>
      <c r="EW2298"/>
      <c r="EX2298"/>
      <c r="EY2298"/>
    </row>
    <row r="2299" spans="121:155" ht="15" customHeight="1" x14ac:dyDescent="0.25">
      <c r="DQ2299" s="99"/>
      <c r="DR2299" s="99"/>
      <c r="EW2299"/>
      <c r="EX2299"/>
      <c r="EY2299"/>
    </row>
    <row r="2300" spans="121:155" ht="15" customHeight="1" x14ac:dyDescent="0.25">
      <c r="DQ2300" s="99"/>
      <c r="DR2300" s="99"/>
      <c r="EW2300"/>
      <c r="EX2300"/>
      <c r="EY2300"/>
    </row>
    <row r="2301" spans="121:155" ht="15" customHeight="1" x14ac:dyDescent="0.25">
      <c r="DQ2301" s="99"/>
      <c r="DR2301" s="99"/>
      <c r="EW2301"/>
      <c r="EX2301"/>
      <c r="EY2301"/>
    </row>
    <row r="2302" spans="121:155" ht="15" customHeight="1" x14ac:dyDescent="0.25">
      <c r="DQ2302" s="99"/>
      <c r="DR2302" s="99"/>
      <c r="EW2302"/>
      <c r="EX2302"/>
      <c r="EY2302"/>
    </row>
    <row r="2303" spans="121:155" ht="15" customHeight="1" x14ac:dyDescent="0.25">
      <c r="DQ2303" s="99"/>
      <c r="DR2303" s="99"/>
      <c r="EW2303"/>
      <c r="EX2303"/>
      <c r="EY2303"/>
    </row>
    <row r="2304" spans="121:155" ht="15" customHeight="1" x14ac:dyDescent="0.25">
      <c r="DQ2304" s="99"/>
      <c r="DR2304" s="99"/>
      <c r="EW2304"/>
      <c r="EX2304"/>
      <c r="EY2304"/>
    </row>
    <row r="2305" spans="121:155" ht="15" customHeight="1" x14ac:dyDescent="0.25">
      <c r="DQ2305" s="99"/>
      <c r="DR2305" s="99"/>
      <c r="EW2305"/>
      <c r="EX2305"/>
      <c r="EY2305"/>
    </row>
    <row r="2306" spans="121:155" ht="15" customHeight="1" x14ac:dyDescent="0.25">
      <c r="DQ2306" s="99"/>
      <c r="DR2306" s="99"/>
      <c r="EW2306"/>
      <c r="EX2306"/>
      <c r="EY2306"/>
    </row>
    <row r="2307" spans="121:155" ht="15" customHeight="1" x14ac:dyDescent="0.25">
      <c r="DQ2307" s="99"/>
      <c r="DR2307" s="99"/>
      <c r="EW2307"/>
      <c r="EX2307"/>
      <c r="EY2307"/>
    </row>
    <row r="2308" spans="121:155" ht="15" customHeight="1" x14ac:dyDescent="0.25">
      <c r="DQ2308" s="99"/>
      <c r="DR2308" s="99"/>
      <c r="EW2308"/>
      <c r="EX2308"/>
      <c r="EY2308"/>
    </row>
    <row r="2309" spans="121:155" ht="15" customHeight="1" x14ac:dyDescent="0.25">
      <c r="DQ2309" s="99"/>
      <c r="DR2309" s="99"/>
      <c r="EW2309"/>
      <c r="EX2309"/>
      <c r="EY2309"/>
    </row>
    <row r="2310" spans="121:155" ht="15" customHeight="1" x14ac:dyDescent="0.25">
      <c r="DQ2310" s="99"/>
      <c r="DR2310" s="99"/>
      <c r="EW2310"/>
      <c r="EX2310"/>
      <c r="EY2310"/>
    </row>
    <row r="2311" spans="121:155" ht="15" customHeight="1" x14ac:dyDescent="0.25">
      <c r="DQ2311" s="99"/>
      <c r="DR2311" s="99"/>
      <c r="EW2311"/>
      <c r="EX2311"/>
      <c r="EY2311"/>
    </row>
    <row r="2312" spans="121:155" ht="15" customHeight="1" x14ac:dyDescent="0.25">
      <c r="DQ2312" s="99"/>
      <c r="DR2312" s="99"/>
      <c r="EW2312"/>
      <c r="EX2312"/>
      <c r="EY2312"/>
    </row>
    <row r="2313" spans="121:155" ht="15" customHeight="1" x14ac:dyDescent="0.25">
      <c r="DQ2313" s="99"/>
      <c r="DR2313" s="99"/>
      <c r="EW2313"/>
      <c r="EX2313"/>
      <c r="EY2313"/>
    </row>
    <row r="2314" spans="121:155" ht="15" customHeight="1" x14ac:dyDescent="0.25">
      <c r="DQ2314" s="99"/>
      <c r="DR2314" s="99"/>
      <c r="EW2314"/>
      <c r="EX2314"/>
      <c r="EY2314"/>
    </row>
    <row r="2315" spans="121:155" ht="15" customHeight="1" x14ac:dyDescent="0.25">
      <c r="DQ2315" s="99"/>
      <c r="DR2315" s="99"/>
      <c r="EW2315"/>
      <c r="EX2315"/>
      <c r="EY2315"/>
    </row>
    <row r="2316" spans="121:155" ht="15" customHeight="1" x14ac:dyDescent="0.25">
      <c r="DQ2316" s="99"/>
      <c r="DR2316" s="99"/>
      <c r="EW2316"/>
      <c r="EX2316"/>
      <c r="EY2316"/>
    </row>
    <row r="2317" spans="121:155" ht="15" customHeight="1" x14ac:dyDescent="0.25">
      <c r="DQ2317" s="99"/>
      <c r="DR2317" s="99"/>
      <c r="EW2317"/>
      <c r="EX2317"/>
      <c r="EY2317"/>
    </row>
    <row r="2318" spans="121:155" ht="15" customHeight="1" x14ac:dyDescent="0.25">
      <c r="DQ2318" s="99"/>
      <c r="DR2318" s="99"/>
      <c r="EW2318"/>
      <c r="EX2318"/>
      <c r="EY2318"/>
    </row>
    <row r="2319" spans="121:155" ht="15" customHeight="1" x14ac:dyDescent="0.25">
      <c r="DQ2319" s="99"/>
      <c r="DR2319" s="99"/>
      <c r="EW2319"/>
      <c r="EX2319"/>
      <c r="EY2319"/>
    </row>
    <row r="2320" spans="121:155" ht="15" customHeight="1" x14ac:dyDescent="0.25">
      <c r="DQ2320" s="99"/>
      <c r="DR2320" s="99"/>
      <c r="EW2320"/>
      <c r="EX2320"/>
      <c r="EY2320"/>
    </row>
    <row r="2321" spans="121:155" ht="15" customHeight="1" x14ac:dyDescent="0.25">
      <c r="DQ2321" s="99"/>
      <c r="DR2321" s="99"/>
      <c r="EW2321"/>
      <c r="EX2321"/>
      <c r="EY2321"/>
    </row>
    <row r="2322" spans="121:155" ht="15" customHeight="1" x14ac:dyDescent="0.25">
      <c r="DQ2322" s="99"/>
      <c r="DR2322" s="99"/>
      <c r="EW2322"/>
      <c r="EX2322"/>
      <c r="EY2322"/>
    </row>
    <row r="2323" spans="121:155" ht="15" customHeight="1" x14ac:dyDescent="0.25">
      <c r="DQ2323" s="99"/>
      <c r="DR2323" s="99"/>
      <c r="EW2323"/>
      <c r="EX2323"/>
      <c r="EY2323"/>
    </row>
    <row r="2324" spans="121:155" ht="15" customHeight="1" x14ac:dyDescent="0.25">
      <c r="DQ2324" s="99"/>
      <c r="DR2324" s="99"/>
      <c r="EW2324"/>
      <c r="EX2324"/>
      <c r="EY2324"/>
    </row>
    <row r="2325" spans="121:155" ht="15" customHeight="1" x14ac:dyDescent="0.25">
      <c r="DQ2325" s="99"/>
      <c r="DR2325" s="99"/>
      <c r="EW2325"/>
      <c r="EX2325"/>
      <c r="EY2325"/>
    </row>
    <row r="2326" spans="121:155" ht="15" customHeight="1" x14ac:dyDescent="0.25">
      <c r="DQ2326" s="99"/>
      <c r="DR2326" s="99"/>
      <c r="EW2326"/>
      <c r="EX2326"/>
      <c r="EY2326"/>
    </row>
    <row r="2327" spans="121:155" ht="15" customHeight="1" x14ac:dyDescent="0.25">
      <c r="DQ2327" s="99"/>
      <c r="DR2327" s="99"/>
      <c r="EW2327"/>
      <c r="EX2327"/>
      <c r="EY2327"/>
    </row>
    <row r="2328" spans="121:155" ht="15" customHeight="1" x14ac:dyDescent="0.25">
      <c r="DQ2328" s="99"/>
      <c r="DR2328" s="99"/>
      <c r="EW2328"/>
      <c r="EX2328"/>
      <c r="EY2328"/>
    </row>
    <row r="2329" spans="121:155" ht="15" customHeight="1" x14ac:dyDescent="0.25">
      <c r="DQ2329" s="99"/>
      <c r="DR2329" s="99"/>
      <c r="EW2329"/>
      <c r="EX2329"/>
      <c r="EY2329"/>
    </row>
    <row r="2330" spans="121:155" ht="15" customHeight="1" x14ac:dyDescent="0.25">
      <c r="DQ2330" s="99"/>
      <c r="DR2330" s="99"/>
      <c r="EW2330"/>
      <c r="EX2330"/>
      <c r="EY2330"/>
    </row>
    <row r="2331" spans="121:155" ht="15" customHeight="1" x14ac:dyDescent="0.25">
      <c r="DQ2331" s="99"/>
      <c r="DR2331" s="99"/>
      <c r="EW2331"/>
      <c r="EX2331"/>
      <c r="EY2331"/>
    </row>
    <row r="2332" spans="121:155" ht="15" customHeight="1" x14ac:dyDescent="0.25">
      <c r="DQ2332" s="99"/>
      <c r="DR2332" s="99"/>
      <c r="EW2332"/>
      <c r="EX2332"/>
      <c r="EY2332"/>
    </row>
    <row r="2333" spans="121:155" ht="15" customHeight="1" x14ac:dyDescent="0.25">
      <c r="DQ2333" s="99"/>
      <c r="DR2333" s="99"/>
      <c r="EW2333"/>
      <c r="EX2333"/>
      <c r="EY2333"/>
    </row>
    <row r="2334" spans="121:155" ht="15" customHeight="1" x14ac:dyDescent="0.25">
      <c r="DQ2334" s="99"/>
      <c r="DR2334" s="99"/>
      <c r="EW2334"/>
      <c r="EX2334"/>
      <c r="EY2334"/>
    </row>
    <row r="2335" spans="121:155" ht="15" customHeight="1" x14ac:dyDescent="0.25">
      <c r="DQ2335" s="99"/>
      <c r="DR2335" s="99"/>
      <c r="EW2335"/>
      <c r="EX2335"/>
      <c r="EY2335"/>
    </row>
    <row r="2336" spans="121:155" ht="15" customHeight="1" x14ac:dyDescent="0.25">
      <c r="DQ2336" s="99"/>
      <c r="DR2336" s="99"/>
      <c r="EW2336"/>
      <c r="EX2336"/>
      <c r="EY2336"/>
    </row>
    <row r="2337" spans="121:155" ht="15" customHeight="1" x14ac:dyDescent="0.25">
      <c r="DQ2337" s="99"/>
      <c r="DR2337" s="99"/>
      <c r="EW2337"/>
      <c r="EX2337"/>
      <c r="EY2337"/>
    </row>
    <row r="2338" spans="121:155" ht="15" customHeight="1" x14ac:dyDescent="0.25">
      <c r="DQ2338" s="99"/>
      <c r="DR2338" s="99"/>
      <c r="EW2338"/>
      <c r="EX2338"/>
      <c r="EY2338"/>
    </row>
    <row r="2339" spans="121:155" ht="15" customHeight="1" x14ac:dyDescent="0.25">
      <c r="DQ2339" s="99"/>
      <c r="DR2339" s="99"/>
      <c r="EW2339"/>
      <c r="EX2339"/>
      <c r="EY2339"/>
    </row>
    <row r="2340" spans="121:155" ht="15" customHeight="1" x14ac:dyDescent="0.25">
      <c r="DQ2340" s="99"/>
      <c r="DR2340" s="99"/>
      <c r="EW2340"/>
      <c r="EX2340"/>
      <c r="EY2340"/>
    </row>
    <row r="2341" spans="121:155" ht="15" customHeight="1" x14ac:dyDescent="0.25">
      <c r="DQ2341" s="99"/>
      <c r="DR2341" s="99"/>
      <c r="EW2341"/>
      <c r="EX2341"/>
      <c r="EY2341"/>
    </row>
    <row r="2342" spans="121:155" ht="15" customHeight="1" x14ac:dyDescent="0.25">
      <c r="DQ2342" s="99"/>
      <c r="DR2342" s="99"/>
      <c r="EW2342"/>
      <c r="EX2342"/>
      <c r="EY2342"/>
    </row>
    <row r="2343" spans="121:155" ht="15" customHeight="1" x14ac:dyDescent="0.25">
      <c r="DQ2343" s="99"/>
      <c r="DR2343" s="99"/>
      <c r="EW2343"/>
      <c r="EX2343"/>
      <c r="EY2343"/>
    </row>
    <row r="2344" spans="121:155" ht="15" customHeight="1" x14ac:dyDescent="0.25">
      <c r="DQ2344" s="99"/>
      <c r="DR2344" s="99"/>
      <c r="EW2344"/>
      <c r="EX2344"/>
      <c r="EY2344"/>
    </row>
    <row r="2345" spans="121:155" ht="15" customHeight="1" x14ac:dyDescent="0.25">
      <c r="DQ2345" s="99"/>
      <c r="DR2345" s="99"/>
      <c r="EW2345"/>
      <c r="EX2345"/>
      <c r="EY2345"/>
    </row>
    <row r="2346" spans="121:155" ht="15" customHeight="1" x14ac:dyDescent="0.25">
      <c r="DQ2346" s="99"/>
      <c r="DR2346" s="99"/>
      <c r="EW2346"/>
      <c r="EX2346"/>
      <c r="EY2346"/>
    </row>
    <row r="2347" spans="121:155" ht="15" customHeight="1" x14ac:dyDescent="0.25">
      <c r="DQ2347" s="99"/>
      <c r="DR2347" s="99"/>
      <c r="EW2347"/>
      <c r="EX2347"/>
      <c r="EY2347"/>
    </row>
    <row r="2348" spans="121:155" ht="15" customHeight="1" x14ac:dyDescent="0.25">
      <c r="DQ2348" s="99"/>
      <c r="DR2348" s="99"/>
      <c r="EW2348"/>
      <c r="EX2348"/>
      <c r="EY2348"/>
    </row>
    <row r="2349" spans="121:155" ht="15" customHeight="1" x14ac:dyDescent="0.25">
      <c r="DQ2349" s="99"/>
      <c r="DR2349" s="99"/>
      <c r="EW2349"/>
      <c r="EX2349"/>
      <c r="EY2349"/>
    </row>
    <row r="2350" spans="121:155" ht="15" customHeight="1" x14ac:dyDescent="0.25">
      <c r="DQ2350" s="99"/>
      <c r="DR2350" s="99"/>
      <c r="EW2350"/>
      <c r="EX2350"/>
      <c r="EY2350"/>
    </row>
    <row r="2351" spans="121:155" ht="15" customHeight="1" x14ac:dyDescent="0.25">
      <c r="DQ2351" s="99"/>
      <c r="DR2351" s="99"/>
      <c r="EW2351"/>
      <c r="EX2351"/>
      <c r="EY2351"/>
    </row>
    <row r="2352" spans="121:155" ht="15" customHeight="1" x14ac:dyDescent="0.25">
      <c r="DQ2352" s="99"/>
      <c r="DR2352" s="99"/>
      <c r="EW2352"/>
      <c r="EX2352"/>
      <c r="EY2352"/>
    </row>
    <row r="2353" spans="121:155" ht="15" customHeight="1" x14ac:dyDescent="0.25">
      <c r="DQ2353" s="99"/>
      <c r="DR2353" s="99"/>
      <c r="EW2353"/>
      <c r="EX2353"/>
      <c r="EY2353"/>
    </row>
    <row r="2354" spans="121:155" ht="15" customHeight="1" x14ac:dyDescent="0.25">
      <c r="DQ2354" s="99"/>
      <c r="DR2354" s="99"/>
      <c r="EW2354"/>
      <c r="EX2354"/>
      <c r="EY2354"/>
    </row>
    <row r="2355" spans="121:155" ht="15" customHeight="1" x14ac:dyDescent="0.25">
      <c r="DQ2355" s="99"/>
      <c r="DR2355" s="99"/>
      <c r="EW2355"/>
      <c r="EX2355"/>
      <c r="EY2355"/>
    </row>
    <row r="2356" spans="121:155" ht="15" customHeight="1" x14ac:dyDescent="0.25">
      <c r="DQ2356" s="99"/>
      <c r="DR2356" s="99"/>
      <c r="EW2356"/>
      <c r="EX2356"/>
      <c r="EY2356"/>
    </row>
    <row r="2357" spans="121:155" ht="15" customHeight="1" x14ac:dyDescent="0.25">
      <c r="DQ2357" s="99"/>
      <c r="DR2357" s="99"/>
      <c r="EW2357"/>
      <c r="EX2357"/>
      <c r="EY2357"/>
    </row>
    <row r="2358" spans="121:155" ht="15" customHeight="1" x14ac:dyDescent="0.25">
      <c r="DQ2358" s="99"/>
      <c r="DR2358" s="99"/>
      <c r="EW2358"/>
      <c r="EX2358"/>
      <c r="EY2358"/>
    </row>
    <row r="2359" spans="121:155" ht="15" customHeight="1" x14ac:dyDescent="0.25">
      <c r="DQ2359" s="99"/>
      <c r="DR2359" s="99"/>
      <c r="EW2359"/>
      <c r="EX2359"/>
      <c r="EY2359"/>
    </row>
    <row r="2360" spans="121:155" ht="15" customHeight="1" x14ac:dyDescent="0.25">
      <c r="DQ2360" s="99"/>
      <c r="DR2360" s="99"/>
      <c r="EW2360"/>
      <c r="EX2360"/>
      <c r="EY2360"/>
    </row>
    <row r="2361" spans="121:155" ht="15" customHeight="1" x14ac:dyDescent="0.25">
      <c r="DQ2361" s="99"/>
      <c r="DR2361" s="99"/>
      <c r="EW2361"/>
      <c r="EX2361"/>
      <c r="EY2361"/>
    </row>
    <row r="2362" spans="121:155" ht="15" customHeight="1" x14ac:dyDescent="0.25">
      <c r="DQ2362" s="99"/>
      <c r="DR2362" s="99"/>
      <c r="EW2362"/>
      <c r="EX2362"/>
      <c r="EY2362"/>
    </row>
    <row r="2363" spans="121:155" ht="15" customHeight="1" x14ac:dyDescent="0.25">
      <c r="DQ2363" s="99"/>
      <c r="DR2363" s="99"/>
      <c r="EW2363"/>
      <c r="EX2363"/>
      <c r="EY2363"/>
    </row>
    <row r="2364" spans="121:155" ht="15" customHeight="1" x14ac:dyDescent="0.25">
      <c r="DQ2364" s="99"/>
      <c r="DR2364" s="99"/>
      <c r="EW2364"/>
      <c r="EX2364"/>
      <c r="EY2364"/>
    </row>
    <row r="2365" spans="121:155" ht="15" customHeight="1" x14ac:dyDescent="0.25">
      <c r="DQ2365" s="99"/>
      <c r="DR2365" s="99"/>
      <c r="EW2365"/>
      <c r="EX2365"/>
      <c r="EY2365"/>
    </row>
    <row r="2366" spans="121:155" ht="15" customHeight="1" x14ac:dyDescent="0.25">
      <c r="DQ2366" s="99"/>
      <c r="DR2366" s="99"/>
      <c r="EW2366"/>
      <c r="EX2366"/>
      <c r="EY2366"/>
    </row>
    <row r="2367" spans="121:155" ht="15" customHeight="1" x14ac:dyDescent="0.25">
      <c r="DQ2367" s="99"/>
      <c r="DR2367" s="99"/>
      <c r="EW2367"/>
      <c r="EX2367"/>
      <c r="EY2367"/>
    </row>
    <row r="2368" spans="121:155" ht="15" customHeight="1" x14ac:dyDescent="0.25">
      <c r="DQ2368" s="99"/>
      <c r="DR2368" s="99"/>
      <c r="EW2368"/>
      <c r="EX2368"/>
      <c r="EY2368"/>
    </row>
    <row r="2369" spans="121:155" ht="15" customHeight="1" x14ac:dyDescent="0.25">
      <c r="DQ2369" s="99"/>
      <c r="DR2369" s="99"/>
      <c r="EW2369"/>
      <c r="EX2369"/>
      <c r="EY2369"/>
    </row>
    <row r="2370" spans="121:155" ht="15" customHeight="1" x14ac:dyDescent="0.25">
      <c r="DQ2370" s="99"/>
      <c r="DR2370" s="99"/>
      <c r="EW2370"/>
      <c r="EX2370"/>
      <c r="EY2370"/>
    </row>
    <row r="2371" spans="121:155" ht="15" customHeight="1" x14ac:dyDescent="0.25">
      <c r="DQ2371" s="99"/>
      <c r="DR2371" s="99"/>
      <c r="EW2371"/>
      <c r="EX2371"/>
      <c r="EY2371"/>
    </row>
    <row r="2372" spans="121:155" ht="15" customHeight="1" x14ac:dyDescent="0.25">
      <c r="DQ2372" s="99"/>
      <c r="DR2372" s="99"/>
      <c r="EW2372"/>
      <c r="EX2372"/>
      <c r="EY2372"/>
    </row>
    <row r="2373" spans="121:155" ht="15" customHeight="1" x14ac:dyDescent="0.25">
      <c r="DQ2373" s="99"/>
      <c r="DR2373" s="99"/>
      <c r="EW2373"/>
      <c r="EX2373"/>
      <c r="EY2373"/>
    </row>
    <row r="2374" spans="121:155" ht="15" customHeight="1" x14ac:dyDescent="0.25">
      <c r="DQ2374" s="99"/>
      <c r="DR2374" s="99"/>
      <c r="EW2374"/>
      <c r="EX2374"/>
      <c r="EY2374"/>
    </row>
    <row r="2375" spans="121:155" ht="15" customHeight="1" x14ac:dyDescent="0.25">
      <c r="DQ2375" s="99"/>
      <c r="DR2375" s="99"/>
      <c r="EW2375"/>
      <c r="EX2375"/>
      <c r="EY2375"/>
    </row>
    <row r="2376" spans="121:155" ht="15" customHeight="1" x14ac:dyDescent="0.25">
      <c r="DQ2376" s="99"/>
      <c r="DR2376" s="99"/>
      <c r="EW2376"/>
      <c r="EX2376"/>
      <c r="EY2376"/>
    </row>
    <row r="2377" spans="121:155" ht="15" customHeight="1" x14ac:dyDescent="0.25">
      <c r="DQ2377" s="99"/>
      <c r="DR2377" s="99"/>
      <c r="EW2377"/>
      <c r="EX2377"/>
      <c r="EY2377"/>
    </row>
    <row r="2378" spans="121:155" ht="15" customHeight="1" x14ac:dyDescent="0.25">
      <c r="DQ2378" s="99"/>
      <c r="DR2378" s="99"/>
      <c r="EW2378"/>
      <c r="EX2378"/>
      <c r="EY2378"/>
    </row>
    <row r="2379" spans="121:155" ht="15" customHeight="1" x14ac:dyDescent="0.25">
      <c r="DQ2379" s="99"/>
      <c r="DR2379" s="99"/>
      <c r="EW2379"/>
      <c r="EX2379"/>
      <c r="EY2379"/>
    </row>
    <row r="2380" spans="121:155" ht="15" customHeight="1" x14ac:dyDescent="0.25">
      <c r="DQ2380" s="99"/>
      <c r="DR2380" s="99"/>
      <c r="EW2380"/>
      <c r="EX2380"/>
      <c r="EY2380"/>
    </row>
    <row r="2381" spans="121:155" ht="15" customHeight="1" x14ac:dyDescent="0.25">
      <c r="DQ2381" s="99"/>
      <c r="DR2381" s="99"/>
      <c r="EW2381"/>
      <c r="EX2381"/>
      <c r="EY2381"/>
    </row>
    <row r="2382" spans="121:155" ht="15" customHeight="1" x14ac:dyDescent="0.25">
      <c r="DQ2382" s="99"/>
      <c r="DR2382" s="99"/>
      <c r="EW2382"/>
      <c r="EX2382"/>
      <c r="EY2382"/>
    </row>
    <row r="2383" spans="121:155" ht="15" customHeight="1" x14ac:dyDescent="0.25">
      <c r="DQ2383" s="99"/>
      <c r="DR2383" s="99"/>
      <c r="EW2383"/>
      <c r="EX2383"/>
      <c r="EY2383"/>
    </row>
    <row r="2384" spans="121:155" ht="15" customHeight="1" x14ac:dyDescent="0.25">
      <c r="DQ2384" s="99"/>
      <c r="DR2384" s="99"/>
      <c r="EW2384"/>
      <c r="EX2384"/>
      <c r="EY2384"/>
    </row>
    <row r="2385" spans="121:155" ht="15" customHeight="1" x14ac:dyDescent="0.25">
      <c r="DQ2385" s="99"/>
      <c r="DR2385" s="99"/>
      <c r="EW2385"/>
      <c r="EX2385"/>
      <c r="EY2385"/>
    </row>
    <row r="2386" spans="121:155" ht="15" customHeight="1" x14ac:dyDescent="0.25">
      <c r="DQ2386" s="99"/>
      <c r="DR2386" s="99"/>
      <c r="EW2386"/>
      <c r="EX2386"/>
      <c r="EY2386"/>
    </row>
    <row r="2387" spans="121:155" ht="15" customHeight="1" x14ac:dyDescent="0.25">
      <c r="DQ2387" s="99"/>
      <c r="DR2387" s="99"/>
      <c r="EW2387"/>
      <c r="EX2387"/>
      <c r="EY2387"/>
    </row>
    <row r="2388" spans="121:155" ht="15" customHeight="1" x14ac:dyDescent="0.25">
      <c r="DQ2388" s="99"/>
      <c r="DR2388" s="99"/>
      <c r="EW2388"/>
      <c r="EX2388"/>
      <c r="EY2388"/>
    </row>
    <row r="2389" spans="121:155" ht="15" customHeight="1" x14ac:dyDescent="0.25">
      <c r="DQ2389" s="99"/>
      <c r="DR2389" s="99"/>
      <c r="EW2389"/>
      <c r="EX2389"/>
      <c r="EY2389"/>
    </row>
    <row r="2390" spans="121:155" ht="15" customHeight="1" x14ac:dyDescent="0.25">
      <c r="DQ2390" s="99"/>
      <c r="DR2390" s="99"/>
      <c r="EW2390"/>
      <c r="EX2390"/>
      <c r="EY2390"/>
    </row>
    <row r="2391" spans="121:155" ht="15" customHeight="1" x14ac:dyDescent="0.25">
      <c r="DQ2391" s="99"/>
      <c r="DR2391" s="99"/>
      <c r="EW2391"/>
      <c r="EX2391"/>
      <c r="EY2391"/>
    </row>
    <row r="2392" spans="121:155" ht="15" customHeight="1" x14ac:dyDescent="0.25">
      <c r="DQ2392" s="99"/>
      <c r="DR2392" s="99"/>
      <c r="EW2392"/>
      <c r="EX2392"/>
      <c r="EY2392"/>
    </row>
    <row r="2393" spans="121:155" ht="15" customHeight="1" x14ac:dyDescent="0.25">
      <c r="DQ2393" s="99"/>
      <c r="DR2393" s="99"/>
      <c r="EW2393"/>
      <c r="EX2393"/>
      <c r="EY2393"/>
    </row>
    <row r="2394" spans="121:155" ht="15" customHeight="1" x14ac:dyDescent="0.25">
      <c r="DQ2394" s="99"/>
      <c r="DR2394" s="99"/>
      <c r="EW2394"/>
      <c r="EX2394"/>
      <c r="EY2394"/>
    </row>
    <row r="2395" spans="121:155" ht="15" customHeight="1" x14ac:dyDescent="0.25">
      <c r="DQ2395" s="99"/>
      <c r="DR2395" s="99"/>
      <c r="EW2395"/>
      <c r="EX2395"/>
      <c r="EY2395"/>
    </row>
    <row r="2396" spans="121:155" ht="15" customHeight="1" x14ac:dyDescent="0.25">
      <c r="DQ2396" s="99"/>
      <c r="DR2396" s="99"/>
      <c r="EW2396"/>
      <c r="EX2396"/>
      <c r="EY2396"/>
    </row>
    <row r="2397" spans="121:155" ht="15" customHeight="1" x14ac:dyDescent="0.25">
      <c r="DQ2397" s="99"/>
      <c r="DR2397" s="99"/>
      <c r="EW2397"/>
      <c r="EX2397"/>
      <c r="EY2397"/>
    </row>
    <row r="2398" spans="121:155" ht="15" customHeight="1" x14ac:dyDescent="0.25">
      <c r="DQ2398" s="99"/>
      <c r="DR2398" s="99"/>
      <c r="EW2398"/>
      <c r="EX2398"/>
      <c r="EY2398"/>
    </row>
    <row r="2399" spans="121:155" ht="15" customHeight="1" x14ac:dyDescent="0.25">
      <c r="DQ2399" s="99"/>
      <c r="DR2399" s="99"/>
      <c r="EW2399"/>
      <c r="EX2399"/>
      <c r="EY2399"/>
    </row>
    <row r="2400" spans="121:155" ht="15" customHeight="1" x14ac:dyDescent="0.25">
      <c r="DQ2400" s="99"/>
      <c r="DR2400" s="99"/>
      <c r="EW2400"/>
      <c r="EX2400"/>
      <c r="EY2400"/>
    </row>
    <row r="2401" spans="121:155" ht="15" customHeight="1" x14ac:dyDescent="0.25">
      <c r="DQ2401" s="99"/>
      <c r="DR2401" s="99"/>
      <c r="EW2401"/>
      <c r="EX2401"/>
      <c r="EY2401"/>
    </row>
    <row r="2402" spans="121:155" ht="15" customHeight="1" x14ac:dyDescent="0.25">
      <c r="DQ2402" s="99"/>
      <c r="DR2402" s="99"/>
      <c r="EW2402"/>
      <c r="EX2402"/>
      <c r="EY2402"/>
    </row>
    <row r="2403" spans="121:155" ht="15" customHeight="1" x14ac:dyDescent="0.25">
      <c r="DQ2403" s="99"/>
      <c r="DR2403" s="99"/>
      <c r="EW2403"/>
      <c r="EX2403"/>
      <c r="EY2403"/>
    </row>
    <row r="2404" spans="121:155" ht="15" customHeight="1" x14ac:dyDescent="0.25">
      <c r="DQ2404" s="99"/>
      <c r="DR2404" s="99"/>
      <c r="EW2404"/>
      <c r="EX2404"/>
      <c r="EY2404"/>
    </row>
    <row r="2405" spans="121:155" ht="15" customHeight="1" x14ac:dyDescent="0.25">
      <c r="DQ2405" s="99"/>
      <c r="DR2405" s="99"/>
      <c r="EW2405"/>
      <c r="EX2405"/>
      <c r="EY2405"/>
    </row>
    <row r="2406" spans="121:155" ht="15" customHeight="1" x14ac:dyDescent="0.25">
      <c r="DQ2406" s="99"/>
      <c r="DR2406" s="99"/>
      <c r="EW2406"/>
      <c r="EX2406"/>
      <c r="EY2406"/>
    </row>
    <row r="2407" spans="121:155" ht="15" customHeight="1" x14ac:dyDescent="0.25">
      <c r="DQ2407" s="99"/>
      <c r="DR2407" s="99"/>
      <c r="EW2407"/>
      <c r="EX2407"/>
      <c r="EY2407"/>
    </row>
    <row r="2408" spans="121:155" ht="15" customHeight="1" x14ac:dyDescent="0.25">
      <c r="DQ2408" s="99"/>
      <c r="DR2408" s="99"/>
      <c r="EW2408"/>
      <c r="EX2408"/>
      <c r="EY2408"/>
    </row>
    <row r="2409" spans="121:155" ht="15" customHeight="1" x14ac:dyDescent="0.25">
      <c r="DQ2409" s="99"/>
      <c r="DR2409" s="99"/>
      <c r="EW2409"/>
      <c r="EX2409"/>
      <c r="EY2409"/>
    </row>
    <row r="2410" spans="121:155" ht="15" customHeight="1" x14ac:dyDescent="0.25">
      <c r="DQ2410" s="99"/>
      <c r="DR2410" s="99"/>
      <c r="EW2410"/>
      <c r="EX2410"/>
      <c r="EY2410"/>
    </row>
    <row r="2411" spans="121:155" ht="15" customHeight="1" x14ac:dyDescent="0.25">
      <c r="DQ2411" s="99"/>
      <c r="DR2411" s="99"/>
      <c r="EW2411"/>
      <c r="EX2411"/>
      <c r="EY2411"/>
    </row>
    <row r="2412" spans="121:155" ht="15" customHeight="1" x14ac:dyDescent="0.25">
      <c r="DQ2412" s="99"/>
      <c r="DR2412" s="99"/>
      <c r="EW2412"/>
      <c r="EX2412"/>
      <c r="EY2412"/>
    </row>
    <row r="2413" spans="121:155" ht="15" customHeight="1" x14ac:dyDescent="0.25">
      <c r="DQ2413" s="99"/>
      <c r="DR2413" s="99"/>
      <c r="EW2413"/>
      <c r="EX2413"/>
      <c r="EY2413"/>
    </row>
    <row r="2414" spans="121:155" ht="15" customHeight="1" x14ac:dyDescent="0.25">
      <c r="DQ2414" s="99"/>
      <c r="DR2414" s="99"/>
      <c r="EW2414"/>
      <c r="EX2414"/>
      <c r="EY2414"/>
    </row>
    <row r="2415" spans="121:155" ht="15" customHeight="1" x14ac:dyDescent="0.25">
      <c r="DQ2415" s="99"/>
      <c r="DR2415" s="99"/>
      <c r="EW2415"/>
      <c r="EX2415"/>
      <c r="EY2415"/>
    </row>
    <row r="2416" spans="121:155" ht="15" customHeight="1" x14ac:dyDescent="0.25">
      <c r="DQ2416" s="99"/>
      <c r="DR2416" s="99"/>
      <c r="EW2416"/>
      <c r="EX2416"/>
      <c r="EY2416"/>
    </row>
    <row r="2417" spans="121:155" ht="15" customHeight="1" x14ac:dyDescent="0.25">
      <c r="DQ2417" s="99"/>
      <c r="DR2417" s="99"/>
      <c r="EW2417"/>
      <c r="EX2417"/>
      <c r="EY2417"/>
    </row>
    <row r="2418" spans="121:155" ht="15" customHeight="1" x14ac:dyDescent="0.25">
      <c r="DQ2418" s="99"/>
      <c r="DR2418" s="99"/>
      <c r="EW2418"/>
      <c r="EX2418"/>
      <c r="EY2418"/>
    </row>
    <row r="2419" spans="121:155" ht="15" customHeight="1" x14ac:dyDescent="0.25">
      <c r="DQ2419" s="99"/>
      <c r="DR2419" s="99"/>
      <c r="EW2419"/>
      <c r="EX2419"/>
      <c r="EY2419"/>
    </row>
    <row r="2420" spans="121:155" ht="15" customHeight="1" x14ac:dyDescent="0.25">
      <c r="DQ2420" s="99"/>
      <c r="DR2420" s="99"/>
      <c r="EW2420"/>
      <c r="EX2420"/>
      <c r="EY2420"/>
    </row>
    <row r="2421" spans="121:155" ht="15" customHeight="1" x14ac:dyDescent="0.25">
      <c r="DQ2421" s="99"/>
      <c r="DR2421" s="99"/>
      <c r="EW2421"/>
      <c r="EX2421"/>
      <c r="EY2421"/>
    </row>
    <row r="2422" spans="121:155" ht="15" customHeight="1" x14ac:dyDescent="0.25">
      <c r="DQ2422" s="99"/>
      <c r="DR2422" s="99"/>
      <c r="EW2422"/>
      <c r="EX2422"/>
      <c r="EY2422"/>
    </row>
    <row r="2423" spans="121:155" ht="15" customHeight="1" x14ac:dyDescent="0.25">
      <c r="DQ2423" s="99"/>
      <c r="DR2423" s="99"/>
      <c r="EW2423"/>
      <c r="EX2423"/>
      <c r="EY2423"/>
    </row>
    <row r="2424" spans="121:155" ht="15" customHeight="1" x14ac:dyDescent="0.25">
      <c r="DQ2424" s="99"/>
      <c r="DR2424" s="99"/>
      <c r="EW2424"/>
      <c r="EX2424"/>
      <c r="EY2424"/>
    </row>
    <row r="2425" spans="121:155" ht="15" customHeight="1" x14ac:dyDescent="0.25">
      <c r="DQ2425" s="99"/>
      <c r="DR2425" s="99"/>
      <c r="EW2425"/>
      <c r="EX2425"/>
      <c r="EY2425"/>
    </row>
    <row r="2426" spans="121:155" ht="15" customHeight="1" x14ac:dyDescent="0.25">
      <c r="DQ2426" s="99"/>
      <c r="DR2426" s="99"/>
      <c r="EW2426"/>
      <c r="EX2426"/>
      <c r="EY2426"/>
    </row>
    <row r="2427" spans="121:155" ht="15" customHeight="1" x14ac:dyDescent="0.25">
      <c r="DQ2427" s="99"/>
      <c r="DR2427" s="99"/>
      <c r="EW2427"/>
      <c r="EX2427"/>
      <c r="EY2427"/>
    </row>
    <row r="2428" spans="121:155" ht="15" customHeight="1" x14ac:dyDescent="0.25">
      <c r="DQ2428" s="99"/>
      <c r="DR2428" s="99"/>
      <c r="EW2428"/>
      <c r="EX2428"/>
      <c r="EY2428"/>
    </row>
    <row r="2429" spans="121:155" ht="15" customHeight="1" x14ac:dyDescent="0.25">
      <c r="DQ2429" s="99"/>
      <c r="DR2429" s="99"/>
      <c r="EW2429"/>
      <c r="EX2429"/>
      <c r="EY2429"/>
    </row>
    <row r="2430" spans="121:155" ht="15" customHeight="1" x14ac:dyDescent="0.25">
      <c r="DQ2430" s="99"/>
      <c r="DR2430" s="99"/>
      <c r="EW2430"/>
      <c r="EX2430"/>
      <c r="EY2430"/>
    </row>
    <row r="2431" spans="121:155" ht="15" customHeight="1" x14ac:dyDescent="0.25">
      <c r="DQ2431" s="99"/>
      <c r="DR2431" s="99"/>
      <c r="EW2431"/>
      <c r="EX2431"/>
      <c r="EY2431"/>
    </row>
    <row r="2432" spans="121:155" ht="15" customHeight="1" x14ac:dyDescent="0.25">
      <c r="DQ2432" s="99"/>
      <c r="DR2432" s="99"/>
      <c r="EW2432"/>
      <c r="EX2432"/>
      <c r="EY2432"/>
    </row>
    <row r="2433" spans="121:155" ht="15" customHeight="1" x14ac:dyDescent="0.25">
      <c r="DQ2433" s="99"/>
      <c r="DR2433" s="99"/>
      <c r="EW2433"/>
      <c r="EX2433"/>
      <c r="EY2433"/>
    </row>
    <row r="2434" spans="121:155" ht="15" customHeight="1" x14ac:dyDescent="0.25">
      <c r="DQ2434" s="99"/>
      <c r="DR2434" s="99"/>
      <c r="EW2434"/>
      <c r="EX2434"/>
      <c r="EY2434"/>
    </row>
    <row r="2435" spans="121:155" ht="15" customHeight="1" x14ac:dyDescent="0.25">
      <c r="DQ2435" s="99"/>
      <c r="DR2435" s="99"/>
      <c r="EW2435"/>
      <c r="EX2435"/>
      <c r="EY2435"/>
    </row>
    <row r="2436" spans="121:155" ht="15" customHeight="1" x14ac:dyDescent="0.25">
      <c r="DQ2436" s="99"/>
      <c r="DR2436" s="99"/>
      <c r="EW2436"/>
      <c r="EX2436"/>
      <c r="EY2436"/>
    </row>
    <row r="2437" spans="121:155" ht="15" customHeight="1" x14ac:dyDescent="0.25">
      <c r="DQ2437" s="99"/>
      <c r="DR2437" s="99"/>
      <c r="EW2437"/>
      <c r="EX2437"/>
      <c r="EY2437"/>
    </row>
    <row r="2438" spans="121:155" ht="15" customHeight="1" x14ac:dyDescent="0.25">
      <c r="DQ2438" s="99"/>
      <c r="DR2438" s="99"/>
      <c r="EW2438"/>
      <c r="EX2438"/>
      <c r="EY2438"/>
    </row>
    <row r="2439" spans="121:155" ht="15" customHeight="1" x14ac:dyDescent="0.25">
      <c r="DQ2439" s="99"/>
      <c r="DR2439" s="99"/>
      <c r="EW2439"/>
      <c r="EX2439"/>
      <c r="EY2439"/>
    </row>
    <row r="2440" spans="121:155" ht="15" customHeight="1" x14ac:dyDescent="0.25">
      <c r="DQ2440" s="99"/>
      <c r="DR2440" s="99"/>
      <c r="EW2440"/>
      <c r="EX2440"/>
      <c r="EY2440"/>
    </row>
    <row r="2441" spans="121:155" ht="15" customHeight="1" x14ac:dyDescent="0.25">
      <c r="DQ2441" s="99"/>
      <c r="DR2441" s="99"/>
      <c r="EW2441"/>
      <c r="EX2441"/>
      <c r="EY2441"/>
    </row>
    <row r="2442" spans="121:155" ht="15" customHeight="1" x14ac:dyDescent="0.25">
      <c r="DQ2442" s="99"/>
      <c r="DR2442" s="99"/>
      <c r="EW2442"/>
      <c r="EX2442"/>
      <c r="EY2442"/>
    </row>
    <row r="2443" spans="121:155" ht="15" customHeight="1" x14ac:dyDescent="0.25">
      <c r="DQ2443" s="99"/>
      <c r="DR2443" s="99"/>
      <c r="EW2443"/>
      <c r="EX2443"/>
      <c r="EY2443"/>
    </row>
    <row r="2444" spans="121:155" ht="15" customHeight="1" x14ac:dyDescent="0.25">
      <c r="DQ2444" s="99"/>
      <c r="DR2444" s="99"/>
      <c r="EW2444"/>
      <c r="EX2444"/>
      <c r="EY2444"/>
    </row>
    <row r="2445" spans="121:155" ht="15" customHeight="1" x14ac:dyDescent="0.25">
      <c r="DQ2445" s="99"/>
      <c r="DR2445" s="99"/>
      <c r="EW2445"/>
      <c r="EX2445"/>
      <c r="EY2445"/>
    </row>
    <row r="2446" spans="121:155" ht="15" customHeight="1" x14ac:dyDescent="0.25">
      <c r="DQ2446" s="99"/>
      <c r="DR2446" s="99"/>
      <c r="EW2446"/>
      <c r="EX2446"/>
      <c r="EY2446"/>
    </row>
    <row r="2447" spans="121:155" ht="15" customHeight="1" x14ac:dyDescent="0.25">
      <c r="DQ2447" s="99"/>
      <c r="DR2447" s="99"/>
      <c r="EW2447"/>
      <c r="EX2447"/>
      <c r="EY2447"/>
    </row>
    <row r="2448" spans="121:155" ht="15" customHeight="1" x14ac:dyDescent="0.25">
      <c r="DQ2448" s="99"/>
      <c r="DR2448" s="99"/>
      <c r="EW2448"/>
      <c r="EX2448"/>
      <c r="EY2448"/>
    </row>
    <row r="2449" spans="121:155" ht="15" customHeight="1" x14ac:dyDescent="0.25">
      <c r="DQ2449" s="99"/>
      <c r="DR2449" s="99"/>
      <c r="EW2449"/>
      <c r="EX2449"/>
      <c r="EY2449"/>
    </row>
    <row r="2450" spans="121:155" ht="15" customHeight="1" x14ac:dyDescent="0.25">
      <c r="DQ2450" s="99"/>
      <c r="DR2450" s="99"/>
      <c r="EW2450"/>
      <c r="EX2450"/>
      <c r="EY2450"/>
    </row>
    <row r="2451" spans="121:155" ht="15" customHeight="1" x14ac:dyDescent="0.25">
      <c r="DQ2451" s="99"/>
      <c r="DR2451" s="99"/>
      <c r="EW2451"/>
      <c r="EX2451"/>
      <c r="EY2451"/>
    </row>
    <row r="2452" spans="121:155" ht="15" customHeight="1" x14ac:dyDescent="0.25">
      <c r="DQ2452" s="99"/>
      <c r="DR2452" s="99"/>
      <c r="EW2452"/>
      <c r="EX2452"/>
      <c r="EY2452"/>
    </row>
    <row r="2453" spans="121:155" ht="15" customHeight="1" x14ac:dyDescent="0.25">
      <c r="DQ2453" s="99"/>
      <c r="DR2453" s="99"/>
      <c r="EW2453"/>
      <c r="EX2453"/>
      <c r="EY2453"/>
    </row>
    <row r="2454" spans="121:155" ht="15" customHeight="1" x14ac:dyDescent="0.25">
      <c r="DQ2454" s="99"/>
      <c r="DR2454" s="99"/>
      <c r="EW2454"/>
      <c r="EX2454"/>
      <c r="EY2454"/>
    </row>
    <row r="2455" spans="121:155" ht="15" customHeight="1" x14ac:dyDescent="0.25">
      <c r="DQ2455" s="99"/>
      <c r="DR2455" s="99"/>
      <c r="EW2455"/>
      <c r="EX2455"/>
      <c r="EY2455"/>
    </row>
    <row r="2456" spans="121:155" ht="15" customHeight="1" x14ac:dyDescent="0.25">
      <c r="DQ2456" s="99"/>
      <c r="DR2456" s="99"/>
      <c r="EW2456"/>
      <c r="EX2456"/>
      <c r="EY2456"/>
    </row>
    <row r="2457" spans="121:155" ht="15" customHeight="1" x14ac:dyDescent="0.25">
      <c r="DQ2457" s="99"/>
      <c r="DR2457" s="99"/>
      <c r="EW2457"/>
      <c r="EX2457"/>
      <c r="EY2457"/>
    </row>
  </sheetData>
  <mergeCells count="144">
    <mergeCell ref="EW45:EW51"/>
    <mergeCell ref="EX45:EX51"/>
    <mergeCell ref="EY45:EY51"/>
    <mergeCell ref="EZ45:EZ51"/>
    <mergeCell ref="FA45:FA51"/>
    <mergeCell ref="FB45:FB51"/>
    <mergeCell ref="EX24:EX30"/>
    <mergeCell ref="EY24:EY30"/>
    <mergeCell ref="EW31:EW37"/>
    <mergeCell ref="EX31:EX37"/>
    <mergeCell ref="EY31:EY37"/>
    <mergeCell ref="EX38:EX44"/>
    <mergeCell ref="EY38:EY44"/>
    <mergeCell ref="EW10:EW16"/>
    <mergeCell ref="EX10:EX16"/>
    <mergeCell ref="EZ24:EZ30"/>
    <mergeCell ref="FA24:FA30"/>
    <mergeCell ref="EZ31:EZ37"/>
    <mergeCell ref="FA31:FA37"/>
    <mergeCell ref="FB31:FB37"/>
    <mergeCell ref="EZ38:EZ44"/>
    <mergeCell ref="FA38:FA44"/>
    <mergeCell ref="FB38:FB44"/>
    <mergeCell ref="EW17:EW23"/>
    <mergeCell ref="EX17:EX23"/>
    <mergeCell ref="EY17:EY23"/>
    <mergeCell ref="EZ17:EZ23"/>
    <mergeCell ref="FA17:FA23"/>
    <mergeCell ref="FB17:FB23"/>
    <mergeCell ref="EW24:EW30"/>
    <mergeCell ref="FB24:FB30"/>
    <mergeCell ref="EW38:EW44"/>
    <mergeCell ref="FA10:FA16"/>
    <mergeCell ref="FB10:FB16"/>
    <mergeCell ref="ER80:FA82"/>
    <mergeCell ref="EW52:EW58"/>
    <mergeCell ref="EX52:EX58"/>
    <mergeCell ref="EY52:EY58"/>
    <mergeCell ref="EZ52:EZ58"/>
    <mergeCell ref="FA52:FA58"/>
    <mergeCell ref="FB52:FB58"/>
    <mergeCell ref="EW59:EW65"/>
    <mergeCell ref="FB59:FB65"/>
    <mergeCell ref="EW66:EW72"/>
    <mergeCell ref="EW73:EW79"/>
    <mergeCell ref="EX73:EX79"/>
    <mergeCell ref="EY73:EY79"/>
    <mergeCell ref="EZ73:EZ79"/>
    <mergeCell ref="FA73:FA79"/>
    <mergeCell ref="FB73:FB79"/>
    <mergeCell ref="EX59:EX65"/>
    <mergeCell ref="EY59:EY65"/>
    <mergeCell ref="EX66:EX72"/>
    <mergeCell ref="EY66:EY72"/>
    <mergeCell ref="EZ66:EZ72"/>
    <mergeCell ref="FA66:FA72"/>
    <mergeCell ref="FB66:FB72"/>
    <mergeCell ref="EZ59:EZ65"/>
    <mergeCell ref="A10:A30"/>
    <mergeCell ref="B45:B51"/>
    <mergeCell ref="C45:C51"/>
    <mergeCell ref="D45:D51"/>
    <mergeCell ref="E45:E51"/>
    <mergeCell ref="B52:B58"/>
    <mergeCell ref="C52:C58"/>
    <mergeCell ref="D52:D58"/>
    <mergeCell ref="E52:E58"/>
    <mergeCell ref="A31:A65"/>
    <mergeCell ref="B31:B37"/>
    <mergeCell ref="C31:C37"/>
    <mergeCell ref="B38:B44"/>
    <mergeCell ref="C38:C44"/>
    <mergeCell ref="D31:D37"/>
    <mergeCell ref="D38:D44"/>
    <mergeCell ref="B10:B16"/>
    <mergeCell ref="C10:C16"/>
    <mergeCell ref="B59:B65"/>
    <mergeCell ref="C59:C65"/>
    <mergeCell ref="D59:D65"/>
    <mergeCell ref="E59:E65"/>
    <mergeCell ref="B24:B30"/>
    <mergeCell ref="C24:C30"/>
    <mergeCell ref="A80:E82"/>
    <mergeCell ref="M88:U88"/>
    <mergeCell ref="AP100:AQ100"/>
    <mergeCell ref="AR100:AS100"/>
    <mergeCell ref="AT100:AU100"/>
    <mergeCell ref="AV100:AW100"/>
    <mergeCell ref="D73:D79"/>
    <mergeCell ref="E73:E79"/>
    <mergeCell ref="G86:L86"/>
    <mergeCell ref="M86:U86"/>
    <mergeCell ref="G87:L87"/>
    <mergeCell ref="M87:U87"/>
    <mergeCell ref="G88:L88"/>
    <mergeCell ref="A66:A79"/>
    <mergeCell ref="B66:B72"/>
    <mergeCell ref="C66:C72"/>
    <mergeCell ref="D66:D72"/>
    <mergeCell ref="B17:B23"/>
    <mergeCell ref="C17:C23"/>
    <mergeCell ref="D17:D23"/>
    <mergeCell ref="E17:E23"/>
    <mergeCell ref="D24:D30"/>
    <mergeCell ref="E24:E30"/>
    <mergeCell ref="E31:E37"/>
    <mergeCell ref="E66:E72"/>
    <mergeCell ref="B73:B79"/>
    <mergeCell ref="C73:C79"/>
    <mergeCell ref="E38:E44"/>
    <mergeCell ref="FA59:FA65"/>
    <mergeCell ref="EY10:EY16"/>
    <mergeCell ref="EZ10:EZ16"/>
    <mergeCell ref="CJ8:DM8"/>
    <mergeCell ref="DN8:EQ8"/>
    <mergeCell ref="CW4:DO4"/>
    <mergeCell ref="DP4:EH4"/>
    <mergeCell ref="ER7:ER9"/>
    <mergeCell ref="ES7:ES9"/>
    <mergeCell ref="ET7:ET9"/>
    <mergeCell ref="EU7:EU9"/>
    <mergeCell ref="EV7:EV9"/>
    <mergeCell ref="F5:FA5"/>
    <mergeCell ref="H7:EQ7"/>
    <mergeCell ref="A7:G8"/>
    <mergeCell ref="H8:AA8"/>
    <mergeCell ref="AB8:BE8"/>
    <mergeCell ref="BF8:CI8"/>
    <mergeCell ref="EW7:EW9"/>
    <mergeCell ref="EX7:EX9"/>
    <mergeCell ref="D10:D16"/>
    <mergeCell ref="E10:E16"/>
    <mergeCell ref="EY7:EY9"/>
    <mergeCell ref="EZ7:EZ9"/>
    <mergeCell ref="FA7:FA9"/>
    <mergeCell ref="A1:E3"/>
    <mergeCell ref="F1:FA1"/>
    <mergeCell ref="F2:FA2"/>
    <mergeCell ref="F3:EQ3"/>
    <mergeCell ref="ER3:FA3"/>
    <mergeCell ref="EI4:FA4"/>
    <mergeCell ref="A4:E4"/>
    <mergeCell ref="A5:E5"/>
    <mergeCell ref="F4:CV4"/>
  </mergeCells>
  <dataValidations count="2">
    <dataValidation type="custom" allowBlank="1" showErrorMessage="1" sqref="EW17 EW38 EW31 EW59 EW24 EW73 EW10 EW45 EW52" xr:uid="{00000000-0002-0000-0100-000000000000}">
      <formula1>LTE(LEN(EW10),(2000))</formula1>
    </dataValidation>
    <dataValidation type="custom" allowBlank="1" showErrorMessage="1" sqref="EX17:FA17 EX10:FA10 EX73:FA73 EX31:FA31 EX38:FA38 EX45:FA45 EX24:FA24 EX59:FA59 EX52:FA52" xr:uid="{00000000-0002-0000-0100-000001000000}">
      <formula1>LTE(LEN(EX10),(500))</formula1>
    </dataValidation>
  </dataValidations>
  <printOptions horizontalCentered="1" verticalCentered="1"/>
  <pageMargins left="0" right="0" top="0.74803149606299213" bottom="0" header="0" footer="0"/>
  <pageSetup scale="2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1004"/>
  <sheetViews>
    <sheetView showGridLines="0" zoomScale="66" zoomScaleNormal="66" workbookViewId="0">
      <selection activeCell="C9" sqref="C9:C10"/>
    </sheetView>
  </sheetViews>
  <sheetFormatPr baseColWidth="10" defaultColWidth="14.42578125" defaultRowHeight="15" customHeight="1" x14ac:dyDescent="0.25"/>
  <cols>
    <col min="1" max="1" width="14.28515625" customWidth="1"/>
    <col min="2" max="2" width="25.28515625" style="569" customWidth="1"/>
    <col min="3" max="3" width="30" style="569" customWidth="1"/>
    <col min="4" max="4" width="7.140625" customWidth="1"/>
    <col min="5" max="5" width="8.42578125" customWidth="1"/>
    <col min="6" max="6" width="8.7109375" customWidth="1"/>
    <col min="7" max="7" width="7.7109375" customWidth="1"/>
    <col min="8" max="8" width="8.140625" style="626" customWidth="1"/>
    <col min="9" max="9" width="7.85546875" customWidth="1"/>
    <col min="10" max="10" width="8.28515625" customWidth="1"/>
    <col min="11" max="17" width="7.7109375" customWidth="1"/>
    <col min="18" max="18" width="7.42578125" customWidth="1"/>
    <col min="19" max="19" width="7.7109375" customWidth="1"/>
    <col min="20" max="20" width="10.140625" customWidth="1"/>
    <col min="21" max="21" width="18" customWidth="1"/>
    <col min="22" max="22" width="55.7109375" style="626" customWidth="1"/>
    <col min="23" max="41" width="10.7109375" customWidth="1"/>
  </cols>
  <sheetData>
    <row r="1" spans="1:41" ht="39.75" customHeight="1" x14ac:dyDescent="0.25">
      <c r="A1" s="735"/>
      <c r="B1" s="686"/>
      <c r="C1" s="686"/>
      <c r="D1" s="787" t="s">
        <v>0</v>
      </c>
      <c r="E1" s="695"/>
      <c r="F1" s="695"/>
      <c r="G1" s="695"/>
      <c r="H1" s="695"/>
      <c r="I1" s="695"/>
      <c r="J1" s="695"/>
      <c r="K1" s="695"/>
      <c r="L1" s="695"/>
      <c r="M1" s="695"/>
      <c r="N1" s="695"/>
      <c r="O1" s="695"/>
      <c r="P1" s="695"/>
      <c r="Q1" s="695"/>
      <c r="R1" s="695"/>
      <c r="S1" s="695"/>
      <c r="T1" s="695"/>
      <c r="U1" s="695"/>
      <c r="V1" s="736"/>
      <c r="W1" s="126"/>
      <c r="X1" s="126"/>
      <c r="Y1" s="126"/>
      <c r="Z1" s="126"/>
      <c r="AA1" s="126"/>
      <c r="AB1" s="126"/>
      <c r="AC1" s="126"/>
      <c r="AD1" s="126"/>
      <c r="AE1" s="126"/>
      <c r="AF1" s="126"/>
      <c r="AG1" s="126"/>
      <c r="AH1" s="126"/>
      <c r="AI1" s="126"/>
      <c r="AJ1" s="126"/>
      <c r="AK1" s="126"/>
      <c r="AL1" s="126"/>
      <c r="AM1" s="126"/>
      <c r="AN1" s="126"/>
      <c r="AO1" s="126"/>
    </row>
    <row r="2" spans="1:41" ht="33" customHeight="1" x14ac:dyDescent="0.25">
      <c r="A2" s="688"/>
      <c r="B2" s="689"/>
      <c r="C2" s="689"/>
      <c r="D2" s="788" t="s">
        <v>377</v>
      </c>
      <c r="E2" s="789"/>
      <c r="F2" s="789"/>
      <c r="G2" s="789"/>
      <c r="H2" s="789"/>
      <c r="I2" s="789"/>
      <c r="J2" s="789"/>
      <c r="K2" s="789"/>
      <c r="L2" s="789"/>
      <c r="M2" s="789"/>
      <c r="N2" s="789"/>
      <c r="O2" s="789"/>
      <c r="P2" s="789"/>
      <c r="Q2" s="789"/>
      <c r="R2" s="789"/>
      <c r="S2" s="789"/>
      <c r="T2" s="789"/>
      <c r="U2" s="789"/>
      <c r="V2" s="790"/>
      <c r="W2" s="126"/>
      <c r="X2" s="126"/>
      <c r="Y2" s="126"/>
      <c r="Z2" s="126"/>
      <c r="AA2" s="126"/>
      <c r="AB2" s="126"/>
      <c r="AC2" s="126"/>
      <c r="AD2" s="126"/>
      <c r="AE2" s="126"/>
      <c r="AF2" s="126"/>
      <c r="AG2" s="126"/>
      <c r="AH2" s="126"/>
      <c r="AI2" s="126"/>
      <c r="AJ2" s="126"/>
      <c r="AK2" s="126"/>
      <c r="AL2" s="126"/>
      <c r="AM2" s="126"/>
      <c r="AN2" s="126"/>
      <c r="AO2" s="126"/>
    </row>
    <row r="3" spans="1:41" ht="43.5" customHeight="1" x14ac:dyDescent="0.25">
      <c r="A3" s="691"/>
      <c r="B3" s="692"/>
      <c r="C3" s="692"/>
      <c r="D3" s="791" t="s">
        <v>378</v>
      </c>
      <c r="E3" s="698"/>
      <c r="F3" s="698"/>
      <c r="G3" s="698"/>
      <c r="H3" s="698"/>
      <c r="I3" s="698"/>
      <c r="J3" s="698"/>
      <c r="K3" s="698"/>
      <c r="L3" s="698"/>
      <c r="M3" s="698"/>
      <c r="N3" s="698"/>
      <c r="O3" s="698"/>
      <c r="P3" s="698"/>
      <c r="Q3" s="698"/>
      <c r="R3" s="698"/>
      <c r="S3" s="698"/>
      <c r="T3" s="698"/>
      <c r="U3" s="792"/>
      <c r="V3" s="668" t="s">
        <v>379</v>
      </c>
      <c r="W3" s="126"/>
      <c r="X3" s="126"/>
      <c r="Y3" s="126"/>
      <c r="Z3" s="126"/>
      <c r="AA3" s="126"/>
      <c r="AB3" s="126"/>
      <c r="AC3" s="126"/>
      <c r="AD3" s="126"/>
      <c r="AE3" s="126"/>
      <c r="AF3" s="126"/>
      <c r="AG3" s="126"/>
      <c r="AH3" s="126"/>
      <c r="AI3" s="126"/>
      <c r="AJ3" s="126"/>
      <c r="AK3" s="126"/>
      <c r="AL3" s="126"/>
      <c r="AM3" s="126"/>
      <c r="AN3" s="126"/>
      <c r="AO3" s="126"/>
    </row>
    <row r="4" spans="1:41" ht="43.5" customHeight="1" x14ac:dyDescent="0.25">
      <c r="A4" s="705" t="s">
        <v>4</v>
      </c>
      <c r="B4" s="695"/>
      <c r="C4" s="736"/>
      <c r="D4" s="742" t="s">
        <v>205</v>
      </c>
      <c r="E4" s="743"/>
      <c r="F4" s="743"/>
      <c r="G4" s="743"/>
      <c r="H4" s="743"/>
      <c r="I4" s="743"/>
      <c r="J4" s="743"/>
      <c r="K4" s="743"/>
      <c r="L4" s="743"/>
      <c r="M4" s="743"/>
      <c r="N4" s="743"/>
      <c r="O4" s="743"/>
      <c r="P4" s="743"/>
      <c r="Q4" s="743"/>
      <c r="R4" s="743"/>
      <c r="S4" s="743"/>
      <c r="T4" s="743"/>
      <c r="U4" s="743"/>
      <c r="V4" s="744"/>
      <c r="W4" s="126"/>
      <c r="X4" s="126"/>
      <c r="Y4" s="126"/>
      <c r="Z4" s="126"/>
      <c r="AA4" s="126"/>
      <c r="AB4" s="126"/>
      <c r="AC4" s="126"/>
      <c r="AD4" s="126"/>
      <c r="AE4" s="126"/>
      <c r="AF4" s="126"/>
      <c r="AG4" s="126"/>
      <c r="AH4" s="126"/>
      <c r="AI4" s="126"/>
      <c r="AJ4" s="126"/>
      <c r="AK4" s="126"/>
      <c r="AL4" s="126"/>
      <c r="AM4" s="126"/>
      <c r="AN4" s="126"/>
      <c r="AO4" s="126"/>
    </row>
    <row r="5" spans="1:41" ht="43.5" customHeight="1" thickBot="1" x14ac:dyDescent="0.3">
      <c r="A5" s="793" t="s">
        <v>5</v>
      </c>
      <c r="B5" s="698"/>
      <c r="C5" s="794"/>
      <c r="D5" s="746" t="s">
        <v>380</v>
      </c>
      <c r="E5" s="701"/>
      <c r="F5" s="701"/>
      <c r="G5" s="701"/>
      <c r="H5" s="701"/>
      <c r="I5" s="701"/>
      <c r="J5" s="701"/>
      <c r="K5" s="701"/>
      <c r="L5" s="701"/>
      <c r="M5" s="701"/>
      <c r="N5" s="701"/>
      <c r="O5" s="701"/>
      <c r="P5" s="701"/>
      <c r="Q5" s="701"/>
      <c r="R5" s="701"/>
      <c r="S5" s="701"/>
      <c r="T5" s="701"/>
      <c r="U5" s="701"/>
      <c r="V5" s="704"/>
      <c r="W5" s="126"/>
      <c r="X5" s="126"/>
      <c r="Y5" s="126"/>
      <c r="Z5" s="126"/>
      <c r="AA5" s="126"/>
      <c r="AB5" s="126"/>
      <c r="AC5" s="126"/>
      <c r="AD5" s="126"/>
      <c r="AE5" s="126"/>
      <c r="AF5" s="126"/>
      <c r="AG5" s="126"/>
      <c r="AH5" s="126"/>
      <c r="AI5" s="126"/>
      <c r="AJ5" s="126"/>
      <c r="AK5" s="126"/>
      <c r="AL5" s="126"/>
      <c r="AM5" s="126"/>
      <c r="AN5" s="126"/>
      <c r="AO5" s="126"/>
    </row>
    <row r="6" spans="1:41" ht="18.75" customHeight="1" thickBot="1" x14ac:dyDescent="0.3">
      <c r="A6" s="801"/>
      <c r="B6" s="802"/>
      <c r="C6" s="802"/>
      <c r="D6" s="802"/>
      <c r="E6" s="802"/>
      <c r="F6" s="802"/>
      <c r="G6" s="802"/>
      <c r="H6" s="802"/>
      <c r="I6" s="802"/>
      <c r="J6" s="802"/>
      <c r="K6" s="802"/>
      <c r="L6" s="802"/>
      <c r="M6" s="802"/>
      <c r="N6" s="802"/>
      <c r="O6" s="802"/>
      <c r="P6" s="802"/>
      <c r="Q6" s="802"/>
      <c r="R6" s="802"/>
      <c r="S6" s="802"/>
      <c r="T6" s="802"/>
      <c r="U6" s="802"/>
      <c r="V6" s="744"/>
      <c r="W6" s="126"/>
      <c r="X6" s="126"/>
      <c r="Y6" s="126"/>
      <c r="Z6" s="126"/>
      <c r="AA6" s="126"/>
      <c r="AB6" s="126"/>
      <c r="AC6" s="126"/>
      <c r="AD6" s="126"/>
      <c r="AE6" s="126"/>
      <c r="AF6" s="126"/>
      <c r="AG6" s="126"/>
      <c r="AH6" s="126"/>
      <c r="AI6" s="126"/>
      <c r="AJ6" s="126"/>
      <c r="AK6" s="126"/>
      <c r="AL6" s="126"/>
      <c r="AM6" s="126"/>
      <c r="AN6" s="126"/>
      <c r="AO6" s="126"/>
    </row>
    <row r="7" spans="1:41" ht="47.25" customHeight="1" x14ac:dyDescent="0.25">
      <c r="A7" s="803" t="s">
        <v>381</v>
      </c>
      <c r="B7" s="799" t="s">
        <v>382</v>
      </c>
      <c r="C7" s="799" t="s">
        <v>383</v>
      </c>
      <c r="D7" s="805" t="s">
        <v>384</v>
      </c>
      <c r="E7" s="796"/>
      <c r="F7" s="806" t="s">
        <v>1510</v>
      </c>
      <c r="G7" s="807"/>
      <c r="H7" s="807"/>
      <c r="I7" s="807"/>
      <c r="J7" s="807"/>
      <c r="K7" s="807"/>
      <c r="L7" s="807"/>
      <c r="M7" s="807"/>
      <c r="N7" s="807"/>
      <c r="O7" s="807"/>
      <c r="P7" s="807"/>
      <c r="Q7" s="807"/>
      <c r="R7" s="807"/>
      <c r="S7" s="796"/>
      <c r="T7" s="795" t="s">
        <v>385</v>
      </c>
      <c r="U7" s="796"/>
      <c r="V7" s="797" t="s">
        <v>1589</v>
      </c>
      <c r="W7" s="127"/>
      <c r="X7" s="127"/>
      <c r="Y7" s="127"/>
      <c r="Z7" s="127"/>
      <c r="AA7" s="127"/>
      <c r="AB7" s="127"/>
      <c r="AC7" s="127"/>
      <c r="AD7" s="127"/>
      <c r="AE7" s="127"/>
      <c r="AF7" s="127"/>
      <c r="AG7" s="127"/>
      <c r="AH7" s="127"/>
      <c r="AI7" s="127"/>
      <c r="AJ7" s="127"/>
      <c r="AK7" s="127"/>
      <c r="AL7" s="127"/>
      <c r="AM7" s="127"/>
      <c r="AN7" s="127"/>
      <c r="AO7" s="127"/>
    </row>
    <row r="8" spans="1:41" ht="36.75" customHeight="1" thickBot="1" x14ac:dyDescent="0.3">
      <c r="A8" s="804"/>
      <c r="B8" s="800"/>
      <c r="C8" s="800"/>
      <c r="D8" s="677" t="s">
        <v>386</v>
      </c>
      <c r="E8" s="677" t="s">
        <v>387</v>
      </c>
      <c r="F8" s="677" t="s">
        <v>388</v>
      </c>
      <c r="G8" s="678" t="s">
        <v>389</v>
      </c>
      <c r="H8" s="678" t="s">
        <v>390</v>
      </c>
      <c r="I8" s="678" t="s">
        <v>391</v>
      </c>
      <c r="J8" s="678" t="s">
        <v>392</v>
      </c>
      <c r="K8" s="678" t="s">
        <v>393</v>
      </c>
      <c r="L8" s="678" t="s">
        <v>394</v>
      </c>
      <c r="M8" s="678" t="s">
        <v>395</v>
      </c>
      <c r="N8" s="678" t="s">
        <v>396</v>
      </c>
      <c r="O8" s="678" t="s">
        <v>397</v>
      </c>
      <c r="P8" s="678" t="s">
        <v>398</v>
      </c>
      <c r="Q8" s="678" t="s">
        <v>399</v>
      </c>
      <c r="R8" s="678" t="s">
        <v>400</v>
      </c>
      <c r="S8" s="678" t="s">
        <v>401</v>
      </c>
      <c r="T8" s="678" t="s">
        <v>402</v>
      </c>
      <c r="U8" s="678" t="s">
        <v>403</v>
      </c>
      <c r="V8" s="798"/>
      <c r="W8" s="127"/>
      <c r="X8" s="127"/>
      <c r="Y8" s="127"/>
      <c r="Z8" s="127"/>
      <c r="AA8" s="127"/>
      <c r="AB8" s="127"/>
      <c r="AC8" s="127"/>
      <c r="AD8" s="127"/>
      <c r="AE8" s="127"/>
      <c r="AF8" s="127"/>
      <c r="AG8" s="127"/>
      <c r="AH8" s="127"/>
      <c r="AI8" s="127"/>
      <c r="AJ8" s="127"/>
      <c r="AK8" s="127"/>
      <c r="AL8" s="127"/>
      <c r="AM8" s="127"/>
      <c r="AN8" s="127"/>
      <c r="AO8" s="127"/>
    </row>
    <row r="9" spans="1:41" ht="46.15" customHeight="1" x14ac:dyDescent="0.25">
      <c r="A9" s="1147" t="s">
        <v>338</v>
      </c>
      <c r="B9" s="1148" t="s">
        <v>339</v>
      </c>
      <c r="C9" s="1149" t="s">
        <v>404</v>
      </c>
      <c r="D9" s="808" t="s">
        <v>405</v>
      </c>
      <c r="E9" s="786" t="s">
        <v>405</v>
      </c>
      <c r="F9" s="675" t="s">
        <v>406</v>
      </c>
      <c r="G9" s="1158">
        <v>0.14799999999999999</v>
      </c>
      <c r="H9" s="1158">
        <v>0.17299999999999999</v>
      </c>
      <c r="I9" s="1158">
        <v>0.17299999999999999</v>
      </c>
      <c r="J9" s="1158">
        <v>0.17299999999999999</v>
      </c>
      <c r="K9" s="1158">
        <v>0.17299999999999999</v>
      </c>
      <c r="L9" s="1158">
        <v>0.16</v>
      </c>
      <c r="M9" s="670"/>
      <c r="N9" s="670"/>
      <c r="O9" s="670"/>
      <c r="P9" s="670"/>
      <c r="Q9" s="670"/>
      <c r="R9" s="670"/>
      <c r="S9" s="676">
        <f t="shared" ref="S9:S46" si="0">SUM(G9:R9)</f>
        <v>0.99999999999999989</v>
      </c>
      <c r="T9" s="1167">
        <v>0.1111</v>
      </c>
      <c r="U9" s="1167">
        <f>+T9</f>
        <v>0.1111</v>
      </c>
      <c r="V9" s="1168" t="s">
        <v>1511</v>
      </c>
      <c r="W9" s="130"/>
      <c r="X9" s="130"/>
      <c r="Y9" s="130"/>
      <c r="Z9" s="130"/>
      <c r="AA9" s="130"/>
      <c r="AB9" s="130"/>
      <c r="AC9" s="130"/>
      <c r="AD9" s="130"/>
      <c r="AE9" s="130"/>
      <c r="AF9" s="130"/>
      <c r="AG9" s="130"/>
      <c r="AH9" s="130"/>
      <c r="AI9" s="130"/>
      <c r="AJ9" s="130"/>
      <c r="AK9" s="130"/>
      <c r="AL9" s="130"/>
      <c r="AM9" s="130"/>
      <c r="AN9" s="130"/>
      <c r="AO9" s="130"/>
    </row>
    <row r="10" spans="1:41" ht="48.6" customHeight="1" thickBot="1" x14ac:dyDescent="0.3">
      <c r="A10" s="1018"/>
      <c r="B10" s="1048"/>
      <c r="C10" s="1150"/>
      <c r="D10" s="784"/>
      <c r="E10" s="784"/>
      <c r="F10" s="562" t="s">
        <v>407</v>
      </c>
      <c r="G10" s="1159">
        <v>0.14799999999999999</v>
      </c>
      <c r="H10" s="1158">
        <v>0.17299999999999999</v>
      </c>
      <c r="I10" s="1158">
        <v>0.17299999999999999</v>
      </c>
      <c r="J10" s="1159"/>
      <c r="K10" s="1158"/>
      <c r="L10" s="1158"/>
      <c r="M10" s="671"/>
      <c r="N10" s="671"/>
      <c r="O10" s="670"/>
      <c r="P10" s="670"/>
      <c r="Q10" s="670"/>
      <c r="R10" s="671"/>
      <c r="S10" s="132">
        <f t="shared" si="0"/>
        <v>0.49399999999999994</v>
      </c>
      <c r="T10" s="1048"/>
      <c r="U10" s="1048"/>
      <c r="V10" s="1169"/>
      <c r="W10" s="133"/>
      <c r="X10" s="133"/>
      <c r="Y10" s="133"/>
      <c r="Z10" s="133"/>
      <c r="AA10" s="133"/>
      <c r="AB10" s="133"/>
      <c r="AC10" s="133"/>
      <c r="AD10" s="133"/>
      <c r="AE10" s="133"/>
      <c r="AF10" s="133"/>
      <c r="AG10" s="133"/>
      <c r="AH10" s="133"/>
      <c r="AI10" s="133"/>
      <c r="AJ10" s="133"/>
      <c r="AK10" s="133"/>
      <c r="AL10" s="133"/>
      <c r="AM10" s="133"/>
      <c r="AN10" s="133"/>
      <c r="AO10" s="133"/>
    </row>
    <row r="11" spans="1:41" ht="46.9" customHeight="1" x14ac:dyDescent="0.25">
      <c r="A11" s="1018"/>
      <c r="B11" s="1151" t="s">
        <v>349</v>
      </c>
      <c r="C11" s="1152" t="s">
        <v>408</v>
      </c>
      <c r="D11" s="783" t="s">
        <v>405</v>
      </c>
      <c r="E11" s="785" t="s">
        <v>405</v>
      </c>
      <c r="F11" s="561" t="s">
        <v>406</v>
      </c>
      <c r="G11" s="1158">
        <v>0.13200000000000001</v>
      </c>
      <c r="H11" s="1158">
        <v>0.18859999999999999</v>
      </c>
      <c r="I11" s="1158">
        <v>0.18859999999999999</v>
      </c>
      <c r="J11" s="1158">
        <v>0.18859999999999999</v>
      </c>
      <c r="K11" s="1158">
        <v>0.18859999999999999</v>
      </c>
      <c r="L11" s="1158">
        <v>0.11360000000000001</v>
      </c>
      <c r="M11" s="669"/>
      <c r="N11" s="669"/>
      <c r="O11" s="670"/>
      <c r="P11" s="670"/>
      <c r="Q11" s="670"/>
      <c r="R11" s="670"/>
      <c r="S11" s="129">
        <f t="shared" si="0"/>
        <v>1</v>
      </c>
      <c r="T11" s="1170">
        <v>0.1111</v>
      </c>
      <c r="U11" s="1170">
        <f>+T11</f>
        <v>0.1111</v>
      </c>
      <c r="V11" s="1171" t="s">
        <v>1512</v>
      </c>
      <c r="W11" s="130"/>
      <c r="X11" s="130"/>
      <c r="Y11" s="130"/>
      <c r="Z11" s="130"/>
      <c r="AA11" s="130"/>
      <c r="AB11" s="130"/>
      <c r="AC11" s="130"/>
      <c r="AD11" s="130"/>
      <c r="AE11" s="130"/>
      <c r="AF11" s="130"/>
      <c r="AG11" s="130"/>
      <c r="AH11" s="130"/>
      <c r="AI11" s="130"/>
      <c r="AJ11" s="130"/>
      <c r="AK11" s="130"/>
      <c r="AL11" s="130"/>
      <c r="AM11" s="130"/>
      <c r="AN11" s="130"/>
      <c r="AO11" s="130"/>
    </row>
    <row r="12" spans="1:41" ht="40.9" customHeight="1" x14ac:dyDescent="0.25">
      <c r="A12" s="1018"/>
      <c r="B12" s="1048"/>
      <c r="C12" s="1150"/>
      <c r="D12" s="784"/>
      <c r="E12" s="784"/>
      <c r="F12" s="562" t="s">
        <v>407</v>
      </c>
      <c r="G12" s="1158">
        <v>0.13200000000000001</v>
      </c>
      <c r="H12" s="1158">
        <v>0.18859999999999999</v>
      </c>
      <c r="I12" s="1158">
        <v>0.18859999999999999</v>
      </c>
      <c r="J12" s="1159"/>
      <c r="K12" s="1158"/>
      <c r="L12" s="1158"/>
      <c r="M12" s="671"/>
      <c r="N12" s="671"/>
      <c r="O12" s="670"/>
      <c r="P12" s="670"/>
      <c r="Q12" s="670"/>
      <c r="R12" s="671"/>
      <c r="S12" s="132">
        <f t="shared" si="0"/>
        <v>0.50919999999999999</v>
      </c>
      <c r="T12" s="1048"/>
      <c r="U12" s="1048"/>
      <c r="V12" s="1169"/>
      <c r="W12" s="134"/>
      <c r="X12" s="133"/>
      <c r="Y12" s="133"/>
      <c r="Z12" s="133"/>
      <c r="AA12" s="133"/>
      <c r="AB12" s="133"/>
      <c r="AC12" s="133"/>
      <c r="AD12" s="133"/>
      <c r="AE12" s="133"/>
      <c r="AF12" s="133"/>
      <c r="AG12" s="133"/>
      <c r="AH12" s="133"/>
      <c r="AI12" s="133"/>
      <c r="AJ12" s="133"/>
      <c r="AK12" s="133"/>
      <c r="AL12" s="133"/>
      <c r="AM12" s="133"/>
      <c r="AN12" s="133"/>
      <c r="AO12" s="133"/>
    </row>
    <row r="13" spans="1:41" ht="49.15" customHeight="1" x14ac:dyDescent="0.25">
      <c r="A13" s="1018"/>
      <c r="B13" s="1151" t="s">
        <v>351</v>
      </c>
      <c r="C13" s="1152" t="s">
        <v>409</v>
      </c>
      <c r="D13" s="783"/>
      <c r="E13" s="785" t="s">
        <v>405</v>
      </c>
      <c r="F13" s="561" t="s">
        <v>406</v>
      </c>
      <c r="G13" s="1158">
        <v>0.17199999999999999</v>
      </c>
      <c r="H13" s="1158">
        <v>0.17249999999999999</v>
      </c>
      <c r="I13" s="1158">
        <v>0.17249999999999999</v>
      </c>
      <c r="J13" s="1158">
        <v>0.17249999999999999</v>
      </c>
      <c r="K13" s="1158">
        <v>0.17249999999999999</v>
      </c>
      <c r="L13" s="1158">
        <v>0.13800000000000001</v>
      </c>
      <c r="M13" s="669"/>
      <c r="N13" s="669"/>
      <c r="O13" s="670"/>
      <c r="P13" s="670"/>
      <c r="Q13" s="670"/>
      <c r="R13" s="670"/>
      <c r="S13" s="129">
        <f t="shared" si="0"/>
        <v>0.99999999999999989</v>
      </c>
      <c r="T13" s="1170">
        <v>0.1111</v>
      </c>
      <c r="U13" s="1170">
        <f>+T13</f>
        <v>0.1111</v>
      </c>
      <c r="V13" s="1171" t="s">
        <v>1513</v>
      </c>
      <c r="W13" s="130"/>
      <c r="X13" s="130"/>
      <c r="Y13" s="130"/>
      <c r="Z13" s="130"/>
      <c r="AA13" s="130"/>
      <c r="AB13" s="130"/>
      <c r="AC13" s="130"/>
      <c r="AD13" s="130"/>
      <c r="AE13" s="130"/>
      <c r="AF13" s="130"/>
      <c r="AG13" s="130"/>
      <c r="AH13" s="130"/>
      <c r="AI13" s="130"/>
      <c r="AJ13" s="130"/>
      <c r="AK13" s="130"/>
      <c r="AL13" s="130"/>
      <c r="AM13" s="130"/>
      <c r="AN13" s="130"/>
      <c r="AO13" s="130"/>
    </row>
    <row r="14" spans="1:41" ht="39" customHeight="1" thickBot="1" x14ac:dyDescent="0.3">
      <c r="A14" s="1048"/>
      <c r="B14" s="1048"/>
      <c r="C14" s="1150"/>
      <c r="D14" s="784"/>
      <c r="E14" s="784"/>
      <c r="F14" s="562" t="s">
        <v>407</v>
      </c>
      <c r="G14" s="1159">
        <v>0.17199999999999999</v>
      </c>
      <c r="H14" s="1158">
        <v>0.17249999999999999</v>
      </c>
      <c r="I14" s="1158">
        <v>0.17249999999999999</v>
      </c>
      <c r="J14" s="1159"/>
      <c r="K14" s="1158"/>
      <c r="L14" s="1158"/>
      <c r="M14" s="671"/>
      <c r="N14" s="671"/>
      <c r="O14" s="670"/>
      <c r="P14" s="670"/>
      <c r="Q14" s="670"/>
      <c r="R14" s="671"/>
      <c r="S14" s="132">
        <f t="shared" si="0"/>
        <v>0.5169999999999999</v>
      </c>
      <c r="T14" s="1048"/>
      <c r="U14" s="1048"/>
      <c r="V14" s="1169"/>
      <c r="W14" s="133"/>
      <c r="X14" s="133"/>
      <c r="Y14" s="133"/>
      <c r="Z14" s="133"/>
      <c r="AA14" s="133"/>
      <c r="AB14" s="133"/>
      <c r="AC14" s="133"/>
      <c r="AD14" s="133"/>
      <c r="AE14" s="133"/>
      <c r="AF14" s="133"/>
      <c r="AG14" s="133"/>
      <c r="AH14" s="133"/>
      <c r="AI14" s="133"/>
      <c r="AJ14" s="133"/>
      <c r="AK14" s="133"/>
      <c r="AL14" s="133"/>
      <c r="AM14" s="133"/>
      <c r="AN14" s="133"/>
      <c r="AO14" s="133"/>
    </row>
    <row r="15" spans="1:41" ht="50.25" customHeight="1" x14ac:dyDescent="0.25">
      <c r="A15" s="1153" t="s">
        <v>353</v>
      </c>
      <c r="B15" s="1153" t="s">
        <v>354</v>
      </c>
      <c r="C15" s="1152" t="s">
        <v>1421</v>
      </c>
      <c r="D15" s="783" t="s">
        <v>405</v>
      </c>
      <c r="E15" s="785" t="s">
        <v>405</v>
      </c>
      <c r="F15" s="561" t="s">
        <v>406</v>
      </c>
      <c r="G15" s="1158">
        <v>0.05</v>
      </c>
      <c r="H15" s="1158">
        <v>0.15</v>
      </c>
      <c r="I15" s="1158">
        <v>0.2</v>
      </c>
      <c r="J15" s="1158">
        <v>0.25</v>
      </c>
      <c r="K15" s="1158">
        <v>0.2</v>
      </c>
      <c r="L15" s="1158">
        <v>0.15</v>
      </c>
      <c r="M15" s="669"/>
      <c r="N15" s="669"/>
      <c r="O15" s="670"/>
      <c r="P15" s="670"/>
      <c r="Q15" s="670"/>
      <c r="R15" s="670"/>
      <c r="S15" s="129">
        <f>SUM(G15:R15)</f>
        <v>1</v>
      </c>
      <c r="T15" s="1170">
        <v>0.1111</v>
      </c>
      <c r="U15" s="1170">
        <v>5.5599999999999997E-2</v>
      </c>
      <c r="V15" s="1172" t="s">
        <v>1607</v>
      </c>
      <c r="W15" s="133"/>
      <c r="X15" s="133"/>
      <c r="Y15" s="133"/>
      <c r="Z15" s="133"/>
      <c r="AA15" s="133"/>
      <c r="AB15" s="133"/>
      <c r="AC15" s="133"/>
      <c r="AD15" s="133"/>
      <c r="AE15" s="133"/>
      <c r="AF15" s="133"/>
      <c r="AG15" s="133"/>
      <c r="AH15" s="133"/>
      <c r="AI15" s="133"/>
      <c r="AJ15" s="133"/>
      <c r="AK15" s="133"/>
      <c r="AL15" s="133"/>
      <c r="AM15" s="133"/>
      <c r="AN15" s="133"/>
      <c r="AO15" s="133"/>
    </row>
    <row r="16" spans="1:41" ht="50.25" customHeight="1" thickBot="1" x14ac:dyDescent="0.3">
      <c r="A16" s="1018"/>
      <c r="B16" s="1018"/>
      <c r="C16" s="1154"/>
      <c r="D16" s="784"/>
      <c r="E16" s="784"/>
      <c r="F16" s="562" t="s">
        <v>407</v>
      </c>
      <c r="G16" s="1159">
        <v>0.05</v>
      </c>
      <c r="H16" s="1159">
        <v>0.15</v>
      </c>
      <c r="I16" s="1159">
        <v>0.2</v>
      </c>
      <c r="J16" s="1159"/>
      <c r="K16" s="1158"/>
      <c r="L16" s="1159"/>
      <c r="M16" s="671"/>
      <c r="N16" s="671"/>
      <c r="O16" s="671"/>
      <c r="P16" s="671"/>
      <c r="Q16" s="671"/>
      <c r="R16" s="671"/>
      <c r="S16" s="131">
        <f t="shared" si="0"/>
        <v>0.4</v>
      </c>
      <c r="T16" s="1018"/>
      <c r="U16" s="1048"/>
      <c r="V16" s="1173"/>
      <c r="W16" s="133"/>
      <c r="X16" s="133"/>
      <c r="Y16" s="133"/>
      <c r="Z16" s="133"/>
      <c r="AA16" s="133"/>
      <c r="AB16" s="133"/>
      <c r="AC16" s="133"/>
      <c r="AD16" s="133"/>
      <c r="AE16" s="133"/>
      <c r="AF16" s="133"/>
      <c r="AG16" s="133"/>
      <c r="AH16" s="133"/>
      <c r="AI16" s="133"/>
      <c r="AJ16" s="133"/>
      <c r="AK16" s="133"/>
      <c r="AL16" s="133"/>
      <c r="AM16" s="133"/>
      <c r="AN16" s="133"/>
      <c r="AO16" s="133"/>
    </row>
    <row r="17" spans="1:41" ht="50.25" customHeight="1" x14ac:dyDescent="0.25">
      <c r="A17" s="1018"/>
      <c r="B17" s="1018"/>
      <c r="C17" s="1152" t="s">
        <v>1422</v>
      </c>
      <c r="D17" s="783" t="s">
        <v>405</v>
      </c>
      <c r="E17" s="785" t="s">
        <v>405</v>
      </c>
      <c r="F17" s="561" t="s">
        <v>406</v>
      </c>
      <c r="G17" s="1158">
        <v>0.05</v>
      </c>
      <c r="H17" s="1158">
        <v>0.15</v>
      </c>
      <c r="I17" s="1158">
        <v>0.2</v>
      </c>
      <c r="J17" s="1158">
        <v>0.25</v>
      </c>
      <c r="K17" s="1158">
        <v>0.2</v>
      </c>
      <c r="L17" s="1158">
        <v>0.15</v>
      </c>
      <c r="M17" s="669"/>
      <c r="N17" s="669"/>
      <c r="O17" s="670"/>
      <c r="P17" s="670"/>
      <c r="Q17" s="670"/>
      <c r="R17" s="670"/>
      <c r="S17" s="129">
        <f t="shared" si="0"/>
        <v>1</v>
      </c>
      <c r="T17" s="1018"/>
      <c r="U17" s="1170">
        <v>5.5500000000000001E-2</v>
      </c>
      <c r="V17" s="1172" t="s">
        <v>1552</v>
      </c>
      <c r="W17" s="130"/>
      <c r="X17" s="130"/>
      <c r="Y17" s="130"/>
      <c r="Z17" s="130"/>
      <c r="AA17" s="130"/>
      <c r="AB17" s="130"/>
      <c r="AC17" s="130"/>
      <c r="AD17" s="130"/>
      <c r="AE17" s="130"/>
      <c r="AF17" s="130"/>
      <c r="AG17" s="130"/>
      <c r="AH17" s="130"/>
      <c r="AI17" s="130"/>
      <c r="AJ17" s="130"/>
      <c r="AK17" s="130"/>
      <c r="AL17" s="130"/>
      <c r="AM17" s="130"/>
      <c r="AN17" s="130"/>
      <c r="AO17" s="130"/>
    </row>
    <row r="18" spans="1:41" ht="55.5" customHeight="1" thickBot="1" x14ac:dyDescent="0.3">
      <c r="A18" s="1018"/>
      <c r="B18" s="1048"/>
      <c r="C18" s="1154"/>
      <c r="D18" s="809"/>
      <c r="E18" s="810"/>
      <c r="F18" s="562" t="s">
        <v>407</v>
      </c>
      <c r="G18" s="1158">
        <v>0.05</v>
      </c>
      <c r="H18" s="1158">
        <v>0.15</v>
      </c>
      <c r="I18" s="1158">
        <v>0.2</v>
      </c>
      <c r="J18" s="1158"/>
      <c r="K18" s="1158"/>
      <c r="L18" s="1158"/>
      <c r="M18" s="669"/>
      <c r="N18" s="669"/>
      <c r="O18" s="670"/>
      <c r="P18" s="670"/>
      <c r="Q18" s="670"/>
      <c r="R18" s="670"/>
      <c r="S18" s="131">
        <f t="shared" si="0"/>
        <v>0.4</v>
      </c>
      <c r="T18" s="1048"/>
      <c r="U18" s="1048"/>
      <c r="V18" s="1173"/>
      <c r="W18" s="133"/>
      <c r="X18" s="133"/>
      <c r="Y18" s="133"/>
      <c r="Z18" s="133"/>
      <c r="AA18" s="133"/>
      <c r="AB18" s="133"/>
      <c r="AC18" s="133"/>
      <c r="AD18" s="133"/>
      <c r="AE18" s="133"/>
      <c r="AF18" s="133"/>
      <c r="AG18" s="133"/>
      <c r="AH18" s="133"/>
      <c r="AI18" s="133"/>
      <c r="AJ18" s="133"/>
      <c r="AK18" s="133"/>
      <c r="AL18" s="133"/>
      <c r="AM18" s="133"/>
      <c r="AN18" s="133"/>
      <c r="AO18" s="133"/>
    </row>
    <row r="19" spans="1:41" ht="50.25" customHeight="1" x14ac:dyDescent="0.25">
      <c r="A19" s="1018"/>
      <c r="B19" s="1151" t="s">
        <v>356</v>
      </c>
      <c r="C19" s="1152" t="s">
        <v>410</v>
      </c>
      <c r="D19" s="783" t="s">
        <v>405</v>
      </c>
      <c r="E19" s="785" t="s">
        <v>405</v>
      </c>
      <c r="F19" s="561" t="s">
        <v>406</v>
      </c>
      <c r="G19" s="1158">
        <v>0.25</v>
      </c>
      <c r="H19" s="1158">
        <v>0.1</v>
      </c>
      <c r="I19" s="1158">
        <v>0.2</v>
      </c>
      <c r="J19" s="1158">
        <v>0.2</v>
      </c>
      <c r="K19" s="1158">
        <v>0.2</v>
      </c>
      <c r="L19" s="1158">
        <v>0.05</v>
      </c>
      <c r="M19" s="669"/>
      <c r="N19" s="669"/>
      <c r="O19" s="670"/>
      <c r="P19" s="670"/>
      <c r="Q19" s="670"/>
      <c r="R19" s="670"/>
      <c r="S19" s="129">
        <f t="shared" si="0"/>
        <v>1</v>
      </c>
      <c r="T19" s="1170">
        <v>0.1111</v>
      </c>
      <c r="U19" s="1170">
        <v>5.5599999999999997E-2</v>
      </c>
      <c r="V19" s="1172" t="s">
        <v>1554</v>
      </c>
      <c r="W19" s="130"/>
      <c r="X19" s="130"/>
      <c r="Y19" s="130"/>
      <c r="Z19" s="130"/>
      <c r="AA19" s="130"/>
      <c r="AB19" s="130"/>
      <c r="AC19" s="130"/>
      <c r="AD19" s="130"/>
      <c r="AE19" s="130"/>
      <c r="AF19" s="130"/>
      <c r="AG19" s="130"/>
      <c r="AH19" s="130"/>
      <c r="AI19" s="130"/>
      <c r="AJ19" s="130"/>
      <c r="AK19" s="130"/>
      <c r="AL19" s="130"/>
      <c r="AM19" s="130"/>
      <c r="AN19" s="130"/>
      <c r="AO19" s="130"/>
    </row>
    <row r="20" spans="1:41" ht="50.25" customHeight="1" thickBot="1" x14ac:dyDescent="0.3">
      <c r="A20" s="1018"/>
      <c r="B20" s="1018"/>
      <c r="C20" s="1154"/>
      <c r="D20" s="784"/>
      <c r="E20" s="784"/>
      <c r="F20" s="562" t="s">
        <v>407</v>
      </c>
      <c r="G20" s="1159">
        <v>0.25</v>
      </c>
      <c r="H20" s="1159">
        <v>0.1</v>
      </c>
      <c r="I20" s="1159">
        <v>0.2</v>
      </c>
      <c r="J20" s="1159"/>
      <c r="K20" s="1158"/>
      <c r="L20" s="1159"/>
      <c r="M20" s="669"/>
      <c r="N20" s="669"/>
      <c r="O20" s="670"/>
      <c r="P20" s="670"/>
      <c r="Q20" s="670"/>
      <c r="R20" s="670"/>
      <c r="S20" s="131">
        <f t="shared" si="0"/>
        <v>0.55000000000000004</v>
      </c>
      <c r="T20" s="1018"/>
      <c r="U20" s="1048"/>
      <c r="V20" s="1173"/>
      <c r="W20" s="133"/>
      <c r="X20" s="133"/>
      <c r="Y20" s="133"/>
      <c r="Z20" s="133"/>
      <c r="AA20" s="133"/>
      <c r="AB20" s="133"/>
      <c r="AC20" s="133"/>
      <c r="AD20" s="133"/>
      <c r="AE20" s="133"/>
      <c r="AF20" s="133"/>
      <c r="AG20" s="133"/>
      <c r="AH20" s="133"/>
      <c r="AI20" s="133"/>
      <c r="AJ20" s="133"/>
      <c r="AK20" s="133"/>
      <c r="AL20" s="133"/>
      <c r="AM20" s="133"/>
      <c r="AN20" s="133"/>
      <c r="AO20" s="133"/>
    </row>
    <row r="21" spans="1:41" ht="50.25" customHeight="1" x14ac:dyDescent="0.25">
      <c r="A21" s="1018"/>
      <c r="B21" s="1018"/>
      <c r="C21" s="1152" t="s">
        <v>411</v>
      </c>
      <c r="D21" s="783" t="s">
        <v>405</v>
      </c>
      <c r="E21" s="785" t="s">
        <v>405</v>
      </c>
      <c r="F21" s="561" t="s">
        <v>406</v>
      </c>
      <c r="G21" s="1158">
        <v>0.25</v>
      </c>
      <c r="H21" s="1158">
        <v>0.1</v>
      </c>
      <c r="I21" s="1158">
        <v>0.2</v>
      </c>
      <c r="J21" s="1158">
        <v>0.2</v>
      </c>
      <c r="K21" s="1158">
        <v>0.2</v>
      </c>
      <c r="L21" s="1158">
        <v>0.05</v>
      </c>
      <c r="M21" s="669"/>
      <c r="N21" s="669"/>
      <c r="O21" s="670"/>
      <c r="P21" s="670"/>
      <c r="Q21" s="670"/>
      <c r="R21" s="670"/>
      <c r="S21" s="129">
        <f t="shared" si="0"/>
        <v>1</v>
      </c>
      <c r="T21" s="1018"/>
      <c r="U21" s="1170">
        <v>5.5500000000000001E-2</v>
      </c>
      <c r="V21" s="1172" t="s">
        <v>1555</v>
      </c>
      <c r="W21" s="130"/>
      <c r="X21" s="130"/>
      <c r="Y21" s="130"/>
      <c r="Z21" s="130"/>
      <c r="AA21" s="130"/>
      <c r="AB21" s="130"/>
      <c r="AC21" s="130"/>
      <c r="AD21" s="130"/>
      <c r="AE21" s="130"/>
      <c r="AF21" s="130"/>
      <c r="AG21" s="130"/>
      <c r="AH21" s="130"/>
      <c r="AI21" s="130"/>
      <c r="AJ21" s="130"/>
      <c r="AK21" s="130"/>
      <c r="AL21" s="130"/>
      <c r="AM21" s="130"/>
      <c r="AN21" s="130"/>
      <c r="AO21" s="130"/>
    </row>
    <row r="22" spans="1:41" ht="50.25" customHeight="1" thickBot="1" x14ac:dyDescent="0.3">
      <c r="A22" s="1018"/>
      <c r="B22" s="1048"/>
      <c r="C22" s="1154"/>
      <c r="D22" s="784"/>
      <c r="E22" s="784"/>
      <c r="F22" s="562" t="s">
        <v>407</v>
      </c>
      <c r="G22" s="1159">
        <v>0.25</v>
      </c>
      <c r="H22" s="1159">
        <v>0.1</v>
      </c>
      <c r="I22" s="1159">
        <v>0.2</v>
      </c>
      <c r="J22" s="1159"/>
      <c r="K22" s="1158"/>
      <c r="L22" s="1159"/>
      <c r="M22" s="671"/>
      <c r="N22" s="671"/>
      <c r="O22" s="671"/>
      <c r="P22" s="671"/>
      <c r="Q22" s="671"/>
      <c r="R22" s="671"/>
      <c r="S22" s="131">
        <f t="shared" si="0"/>
        <v>0.55000000000000004</v>
      </c>
      <c r="T22" s="1048"/>
      <c r="U22" s="1048"/>
      <c r="V22" s="1173"/>
      <c r="W22" s="133"/>
      <c r="X22" s="133"/>
      <c r="Y22" s="133"/>
      <c r="Z22" s="133"/>
      <c r="AA22" s="133"/>
      <c r="AB22" s="133"/>
      <c r="AC22" s="133"/>
      <c r="AD22" s="133"/>
      <c r="AE22" s="133"/>
      <c r="AF22" s="133"/>
      <c r="AG22" s="133"/>
      <c r="AH22" s="133"/>
      <c r="AI22" s="133"/>
      <c r="AJ22" s="133"/>
      <c r="AK22" s="133"/>
      <c r="AL22" s="133"/>
      <c r="AM22" s="133"/>
      <c r="AN22" s="133"/>
      <c r="AO22" s="133"/>
    </row>
    <row r="23" spans="1:41" ht="50.25" customHeight="1" x14ac:dyDescent="0.25">
      <c r="A23" s="1018"/>
      <c r="B23" s="1151" t="s">
        <v>358</v>
      </c>
      <c r="C23" s="1152" t="s">
        <v>1448</v>
      </c>
      <c r="D23" s="783" t="s">
        <v>405</v>
      </c>
      <c r="E23" s="811"/>
      <c r="F23" s="561" t="s">
        <v>406</v>
      </c>
      <c r="G23" s="1160">
        <v>0.15</v>
      </c>
      <c r="H23" s="1160">
        <v>0.05</v>
      </c>
      <c r="I23" s="1160">
        <v>0.25</v>
      </c>
      <c r="J23" s="1160">
        <v>0.25</v>
      </c>
      <c r="K23" s="1160">
        <v>0.25</v>
      </c>
      <c r="L23" s="1160">
        <v>0.05</v>
      </c>
      <c r="M23" s="669"/>
      <c r="N23" s="669"/>
      <c r="O23" s="670"/>
      <c r="P23" s="670"/>
      <c r="Q23" s="670"/>
      <c r="R23" s="670"/>
      <c r="S23" s="129">
        <f t="shared" si="0"/>
        <v>1</v>
      </c>
      <c r="T23" s="1170">
        <v>0.11119999999999999</v>
      </c>
      <c r="U23" s="1170">
        <v>3.7100000000000001E-2</v>
      </c>
      <c r="V23" s="1172" t="s">
        <v>1586</v>
      </c>
      <c r="W23" s="130"/>
      <c r="X23" s="130"/>
      <c r="Y23" s="130"/>
      <c r="Z23" s="130"/>
      <c r="AA23" s="130"/>
      <c r="AB23" s="130"/>
      <c r="AC23" s="130"/>
      <c r="AD23" s="130"/>
      <c r="AE23" s="130"/>
      <c r="AF23" s="130"/>
      <c r="AG23" s="130"/>
      <c r="AH23" s="130"/>
      <c r="AI23" s="130"/>
      <c r="AJ23" s="130"/>
      <c r="AK23" s="130"/>
      <c r="AL23" s="130"/>
      <c r="AM23" s="130"/>
      <c r="AN23" s="130"/>
      <c r="AO23" s="130"/>
    </row>
    <row r="24" spans="1:41" ht="45.75" customHeight="1" thickBot="1" x14ac:dyDescent="0.3">
      <c r="A24" s="1018"/>
      <c r="B24" s="1018"/>
      <c r="C24" s="1155"/>
      <c r="D24" s="784"/>
      <c r="E24" s="784"/>
      <c r="F24" s="562" t="s">
        <v>407</v>
      </c>
      <c r="G24" s="1161">
        <v>0.15</v>
      </c>
      <c r="H24" s="1161">
        <v>0.05</v>
      </c>
      <c r="I24" s="1162">
        <v>0.25</v>
      </c>
      <c r="J24" s="1161"/>
      <c r="K24" s="1163"/>
      <c r="L24" s="1161"/>
      <c r="M24" s="671"/>
      <c r="N24" s="671"/>
      <c r="O24" s="671"/>
      <c r="P24" s="671"/>
      <c r="Q24" s="671"/>
      <c r="R24" s="671"/>
      <c r="S24" s="131">
        <f>SUM(G24:R24)</f>
        <v>0.45</v>
      </c>
      <c r="T24" s="1018"/>
      <c r="U24" s="1048"/>
      <c r="V24" s="1174"/>
      <c r="W24" s="133"/>
      <c r="X24" s="133"/>
      <c r="Y24" s="133"/>
      <c r="Z24" s="133"/>
      <c r="AA24" s="133"/>
      <c r="AB24" s="133"/>
      <c r="AC24" s="133"/>
      <c r="AD24" s="133"/>
      <c r="AE24" s="133"/>
      <c r="AF24" s="133"/>
      <c r="AG24" s="133"/>
      <c r="AH24" s="133"/>
      <c r="AI24" s="133"/>
      <c r="AJ24" s="133"/>
      <c r="AK24" s="133"/>
      <c r="AL24" s="133"/>
      <c r="AM24" s="133"/>
      <c r="AN24" s="133"/>
      <c r="AO24" s="133"/>
    </row>
    <row r="25" spans="1:41" ht="50.25" customHeight="1" x14ac:dyDescent="0.25">
      <c r="A25" s="1018"/>
      <c r="B25" s="1018"/>
      <c r="C25" s="1152" t="s">
        <v>1449</v>
      </c>
      <c r="D25" s="783" t="s">
        <v>405</v>
      </c>
      <c r="E25" s="785" t="s">
        <v>405</v>
      </c>
      <c r="F25" s="561" t="s">
        <v>406</v>
      </c>
      <c r="G25" s="1162">
        <v>0.15</v>
      </c>
      <c r="H25" s="1162">
        <v>0.05</v>
      </c>
      <c r="I25" s="1162">
        <v>0.25</v>
      </c>
      <c r="J25" s="1162">
        <v>0.25</v>
      </c>
      <c r="K25" s="1162">
        <v>0.25</v>
      </c>
      <c r="L25" s="1162">
        <v>0.05</v>
      </c>
      <c r="M25" s="671"/>
      <c r="N25" s="671"/>
      <c r="O25" s="671"/>
      <c r="P25" s="671"/>
      <c r="Q25" s="671"/>
      <c r="R25" s="671"/>
      <c r="S25" s="129">
        <f t="shared" si="0"/>
        <v>1</v>
      </c>
      <c r="T25" s="1018"/>
      <c r="U25" s="1170">
        <v>3.7100000000000001E-2</v>
      </c>
      <c r="V25" s="1172" t="s">
        <v>1608</v>
      </c>
      <c r="W25" s="130"/>
      <c r="X25" s="130"/>
      <c r="Y25" s="130"/>
      <c r="Z25" s="130"/>
      <c r="AA25" s="130"/>
      <c r="AB25" s="130"/>
      <c r="AC25" s="130"/>
      <c r="AD25" s="130"/>
      <c r="AE25" s="130"/>
      <c r="AF25" s="130"/>
      <c r="AG25" s="130"/>
      <c r="AH25" s="130"/>
      <c r="AI25" s="130"/>
      <c r="AJ25" s="130"/>
      <c r="AK25" s="130"/>
      <c r="AL25" s="130"/>
      <c r="AM25" s="130"/>
      <c r="AN25" s="130"/>
      <c r="AO25" s="130"/>
    </row>
    <row r="26" spans="1:41" ht="50.25" customHeight="1" thickBot="1" x14ac:dyDescent="0.3">
      <c r="A26" s="1018"/>
      <c r="B26" s="1018"/>
      <c r="C26" s="1156"/>
      <c r="D26" s="784"/>
      <c r="E26" s="784"/>
      <c r="F26" s="562" t="s">
        <v>407</v>
      </c>
      <c r="G26" s="1161">
        <v>0.15</v>
      </c>
      <c r="H26" s="1161">
        <v>0.05</v>
      </c>
      <c r="I26" s="1162">
        <v>0.25</v>
      </c>
      <c r="J26" s="1161"/>
      <c r="K26" s="1161"/>
      <c r="L26" s="1161"/>
      <c r="M26" s="671"/>
      <c r="N26" s="671"/>
      <c r="O26" s="671"/>
      <c r="P26" s="671"/>
      <c r="Q26" s="671"/>
      <c r="R26" s="671"/>
      <c r="S26" s="131">
        <f t="shared" si="0"/>
        <v>0.45</v>
      </c>
      <c r="T26" s="1018"/>
      <c r="U26" s="1048"/>
      <c r="V26" s="1174"/>
      <c r="W26" s="133"/>
      <c r="X26" s="133"/>
      <c r="Y26" s="133"/>
      <c r="Z26" s="133"/>
      <c r="AA26" s="133"/>
      <c r="AB26" s="133"/>
      <c r="AC26" s="133"/>
      <c r="AD26" s="133"/>
      <c r="AE26" s="133"/>
      <c r="AF26" s="133"/>
      <c r="AG26" s="133"/>
      <c r="AH26" s="133"/>
      <c r="AI26" s="133"/>
      <c r="AJ26" s="133"/>
      <c r="AK26" s="133"/>
      <c r="AL26" s="133"/>
      <c r="AM26" s="133"/>
      <c r="AN26" s="133"/>
      <c r="AO26" s="133"/>
    </row>
    <row r="27" spans="1:41" ht="50.25" customHeight="1" x14ac:dyDescent="0.25">
      <c r="A27" s="1018"/>
      <c r="B27" s="1018"/>
      <c r="C27" s="1152" t="s">
        <v>412</v>
      </c>
      <c r="D27" s="783" t="s">
        <v>405</v>
      </c>
      <c r="E27" s="785" t="s">
        <v>405</v>
      </c>
      <c r="F27" s="561" t="s">
        <v>406</v>
      </c>
      <c r="G27" s="1162">
        <v>0.15</v>
      </c>
      <c r="H27" s="1162">
        <v>0.05</v>
      </c>
      <c r="I27" s="1162">
        <v>0.15</v>
      </c>
      <c r="J27" s="1162">
        <v>0.25</v>
      </c>
      <c r="K27" s="1162">
        <v>0.25</v>
      </c>
      <c r="L27" s="1162">
        <v>0.05</v>
      </c>
      <c r="M27" s="671"/>
      <c r="N27" s="671"/>
      <c r="O27" s="671"/>
      <c r="P27" s="671"/>
      <c r="Q27" s="671"/>
      <c r="R27" s="671"/>
      <c r="S27" s="129">
        <f t="shared" si="0"/>
        <v>0.9</v>
      </c>
      <c r="T27" s="1018"/>
      <c r="U27" s="1170">
        <v>3.6999999999999998E-2</v>
      </c>
      <c r="V27" s="1172" t="s">
        <v>1609</v>
      </c>
      <c r="W27" s="130"/>
      <c r="X27" s="130"/>
      <c r="Y27" s="130"/>
      <c r="Z27" s="130"/>
      <c r="AA27" s="130"/>
      <c r="AB27" s="130"/>
      <c r="AC27" s="130"/>
      <c r="AD27" s="130"/>
      <c r="AE27" s="130"/>
      <c r="AF27" s="130"/>
      <c r="AG27" s="130"/>
      <c r="AH27" s="130"/>
      <c r="AI27" s="130"/>
      <c r="AJ27" s="130"/>
      <c r="AK27" s="130"/>
      <c r="AL27" s="130"/>
      <c r="AM27" s="130"/>
      <c r="AN27" s="130"/>
      <c r="AO27" s="130"/>
    </row>
    <row r="28" spans="1:41" ht="50.25" customHeight="1" thickBot="1" x14ac:dyDescent="0.3">
      <c r="A28" s="1018"/>
      <c r="B28" s="1048"/>
      <c r="C28" s="1156"/>
      <c r="D28" s="784"/>
      <c r="E28" s="784"/>
      <c r="F28" s="562" t="s">
        <v>407</v>
      </c>
      <c r="G28" s="1161">
        <v>0.15</v>
      </c>
      <c r="H28" s="1161">
        <v>0.03</v>
      </c>
      <c r="I28" s="1162">
        <v>0.15</v>
      </c>
      <c r="J28" s="1161"/>
      <c r="K28" s="1161"/>
      <c r="L28" s="1161"/>
      <c r="M28" s="671"/>
      <c r="N28" s="671"/>
      <c r="O28" s="671"/>
      <c r="P28" s="671"/>
      <c r="Q28" s="671"/>
      <c r="R28" s="671"/>
      <c r="S28" s="131">
        <f t="shared" si="0"/>
        <v>0.32999999999999996</v>
      </c>
      <c r="T28" s="1048"/>
      <c r="U28" s="1048"/>
      <c r="V28" s="1174"/>
      <c r="W28" s="133"/>
      <c r="X28" s="133"/>
      <c r="Y28" s="133"/>
      <c r="Z28" s="133"/>
      <c r="AA28" s="133"/>
      <c r="AB28" s="133"/>
      <c r="AC28" s="133"/>
      <c r="AD28" s="133"/>
      <c r="AE28" s="133"/>
      <c r="AF28" s="133"/>
      <c r="AG28" s="133"/>
      <c r="AH28" s="133"/>
      <c r="AI28" s="133"/>
      <c r="AJ28" s="133"/>
      <c r="AK28" s="133"/>
      <c r="AL28" s="133"/>
      <c r="AM28" s="133"/>
      <c r="AN28" s="133"/>
      <c r="AO28" s="133"/>
    </row>
    <row r="29" spans="1:41" ht="50.25" customHeight="1" x14ac:dyDescent="0.25">
      <c r="A29" s="1018"/>
      <c r="B29" s="1151" t="s">
        <v>360</v>
      </c>
      <c r="C29" s="1152" t="s">
        <v>413</v>
      </c>
      <c r="D29" s="783" t="s">
        <v>405</v>
      </c>
      <c r="E29" s="811"/>
      <c r="F29" s="561" t="s">
        <v>406</v>
      </c>
      <c r="G29" s="1160">
        <v>0.05</v>
      </c>
      <c r="H29" s="1160">
        <v>0.2</v>
      </c>
      <c r="I29" s="1160">
        <v>0.25</v>
      </c>
      <c r="J29" s="1160">
        <v>0.25</v>
      </c>
      <c r="K29" s="1160">
        <v>0.15</v>
      </c>
      <c r="L29" s="1160">
        <v>0.1</v>
      </c>
      <c r="M29" s="671"/>
      <c r="N29" s="671"/>
      <c r="O29" s="671"/>
      <c r="P29" s="671"/>
      <c r="Q29" s="671"/>
      <c r="R29" s="671"/>
      <c r="S29" s="129">
        <f t="shared" si="0"/>
        <v>1</v>
      </c>
      <c r="T29" s="1170">
        <v>0.1111</v>
      </c>
      <c r="U29" s="1170">
        <v>3.7100000000000001E-2</v>
      </c>
      <c r="V29" s="1172" t="s">
        <v>1613</v>
      </c>
      <c r="W29" s="130"/>
      <c r="X29" s="130"/>
      <c r="Y29" s="130"/>
      <c r="Z29" s="130"/>
      <c r="AA29" s="130"/>
      <c r="AB29" s="130"/>
      <c r="AC29" s="130"/>
      <c r="AD29" s="130"/>
      <c r="AE29" s="130"/>
      <c r="AF29" s="130"/>
      <c r="AG29" s="130"/>
      <c r="AH29" s="130"/>
      <c r="AI29" s="130"/>
      <c r="AJ29" s="130"/>
      <c r="AK29" s="130"/>
      <c r="AL29" s="130"/>
      <c r="AM29" s="130"/>
      <c r="AN29" s="130"/>
      <c r="AO29" s="130"/>
    </row>
    <row r="30" spans="1:41" ht="50.25" customHeight="1" thickBot="1" x14ac:dyDescent="0.3">
      <c r="A30" s="1018"/>
      <c r="B30" s="1018"/>
      <c r="C30" s="1156"/>
      <c r="D30" s="784"/>
      <c r="E30" s="784"/>
      <c r="F30" s="562" t="s">
        <v>407</v>
      </c>
      <c r="G30" s="1161">
        <v>0.05</v>
      </c>
      <c r="H30" s="1161">
        <v>0.2</v>
      </c>
      <c r="I30" s="1162">
        <v>0.25</v>
      </c>
      <c r="J30" s="1161"/>
      <c r="K30" s="1163"/>
      <c r="L30" s="1161"/>
      <c r="M30" s="671"/>
      <c r="N30" s="671"/>
      <c r="O30" s="671"/>
      <c r="P30" s="671"/>
      <c r="Q30" s="671"/>
      <c r="R30" s="671"/>
      <c r="S30" s="131">
        <f t="shared" si="0"/>
        <v>0.5</v>
      </c>
      <c r="T30" s="1018"/>
      <c r="U30" s="1048"/>
      <c r="V30" s="1173"/>
      <c r="W30" s="133"/>
      <c r="X30" s="133"/>
      <c r="Y30" s="133"/>
      <c r="Z30" s="133"/>
      <c r="AA30" s="133"/>
      <c r="AB30" s="133"/>
      <c r="AC30" s="133"/>
      <c r="AD30" s="133"/>
      <c r="AE30" s="133"/>
      <c r="AF30" s="133"/>
      <c r="AG30" s="133"/>
      <c r="AH30" s="133"/>
      <c r="AI30" s="133"/>
      <c r="AJ30" s="133"/>
      <c r="AK30" s="133"/>
      <c r="AL30" s="133"/>
      <c r="AM30" s="133"/>
      <c r="AN30" s="133"/>
      <c r="AO30" s="133"/>
    </row>
    <row r="31" spans="1:41" ht="50.25" customHeight="1" x14ac:dyDescent="0.25">
      <c r="A31" s="1018"/>
      <c r="B31" s="1018"/>
      <c r="C31" s="1152" t="s">
        <v>1450</v>
      </c>
      <c r="D31" s="783" t="s">
        <v>405</v>
      </c>
      <c r="E31" s="811"/>
      <c r="F31" s="561" t="s">
        <v>406</v>
      </c>
      <c r="G31" s="1162">
        <v>0.25</v>
      </c>
      <c r="H31" s="1162">
        <v>0.05</v>
      </c>
      <c r="I31" s="1162">
        <v>0.25</v>
      </c>
      <c r="J31" s="1162">
        <v>0.25</v>
      </c>
      <c r="K31" s="1162">
        <v>0.15</v>
      </c>
      <c r="L31" s="1162">
        <v>0.05</v>
      </c>
      <c r="M31" s="671"/>
      <c r="N31" s="671"/>
      <c r="O31" s="671"/>
      <c r="P31" s="671"/>
      <c r="Q31" s="671"/>
      <c r="R31" s="671"/>
      <c r="S31" s="129">
        <f t="shared" si="0"/>
        <v>1</v>
      </c>
      <c r="T31" s="1018"/>
      <c r="U31" s="1170">
        <v>3.6999999999999998E-2</v>
      </c>
      <c r="V31" s="1172" t="s">
        <v>1587</v>
      </c>
      <c r="W31" s="130"/>
      <c r="X31" s="130"/>
      <c r="Y31" s="130"/>
      <c r="Z31" s="130"/>
      <c r="AA31" s="130"/>
      <c r="AB31" s="130"/>
      <c r="AC31" s="130"/>
      <c r="AD31" s="130"/>
      <c r="AE31" s="130"/>
      <c r="AF31" s="130"/>
      <c r="AG31" s="130"/>
      <c r="AH31" s="130"/>
      <c r="AI31" s="130"/>
      <c r="AJ31" s="130"/>
      <c r="AK31" s="130"/>
      <c r="AL31" s="130"/>
      <c r="AM31" s="130"/>
      <c r="AN31" s="130"/>
      <c r="AO31" s="130"/>
    </row>
    <row r="32" spans="1:41" ht="50.25" customHeight="1" thickBot="1" x14ac:dyDescent="0.3">
      <c r="A32" s="1018"/>
      <c r="B32" s="1018"/>
      <c r="C32" s="1156"/>
      <c r="D32" s="784"/>
      <c r="E32" s="784"/>
      <c r="F32" s="562" t="s">
        <v>407</v>
      </c>
      <c r="G32" s="1161">
        <v>0.25</v>
      </c>
      <c r="H32" s="1161">
        <v>0.05</v>
      </c>
      <c r="I32" s="1162">
        <v>0.25</v>
      </c>
      <c r="J32" s="1161"/>
      <c r="K32" s="1161"/>
      <c r="L32" s="1161"/>
      <c r="M32" s="671"/>
      <c r="N32" s="671"/>
      <c r="O32" s="671"/>
      <c r="P32" s="671"/>
      <c r="Q32" s="671"/>
      <c r="R32" s="671"/>
      <c r="S32" s="131">
        <f t="shared" si="0"/>
        <v>0.55000000000000004</v>
      </c>
      <c r="T32" s="1018"/>
      <c r="U32" s="1048"/>
      <c r="V32" s="1173"/>
      <c r="W32" s="133"/>
      <c r="X32" s="133"/>
      <c r="Y32" s="133"/>
      <c r="Z32" s="133"/>
      <c r="AA32" s="133"/>
      <c r="AB32" s="133"/>
      <c r="AC32" s="133"/>
      <c r="AD32" s="133"/>
      <c r="AE32" s="133"/>
      <c r="AF32" s="133"/>
      <c r="AG32" s="133"/>
      <c r="AH32" s="133"/>
      <c r="AI32" s="133"/>
      <c r="AJ32" s="133"/>
      <c r="AK32" s="133"/>
      <c r="AL32" s="133"/>
      <c r="AM32" s="133"/>
      <c r="AN32" s="133"/>
      <c r="AO32" s="133"/>
    </row>
    <row r="33" spans="1:41" ht="50.25" customHeight="1" x14ac:dyDescent="0.25">
      <c r="A33" s="1018"/>
      <c r="B33" s="1018"/>
      <c r="C33" s="1152" t="s">
        <v>1451</v>
      </c>
      <c r="D33" s="783" t="s">
        <v>405</v>
      </c>
      <c r="E33" s="785" t="s">
        <v>405</v>
      </c>
      <c r="F33" s="561" t="s">
        <v>406</v>
      </c>
      <c r="G33" s="1162">
        <v>0.1</v>
      </c>
      <c r="H33" s="1162">
        <v>0.05</v>
      </c>
      <c r="I33" s="1162">
        <v>0.25</v>
      </c>
      <c r="J33" s="1162">
        <v>0.25</v>
      </c>
      <c r="K33" s="1162">
        <v>0.25</v>
      </c>
      <c r="L33" s="1162">
        <v>0.1</v>
      </c>
      <c r="M33" s="671"/>
      <c r="N33" s="671"/>
      <c r="O33" s="671"/>
      <c r="P33" s="671"/>
      <c r="Q33" s="671"/>
      <c r="R33" s="671"/>
      <c r="S33" s="135">
        <f t="shared" si="0"/>
        <v>1</v>
      </c>
      <c r="T33" s="1018"/>
      <c r="U33" s="1170">
        <v>3.6999999999999998E-2</v>
      </c>
      <c r="V33" s="1172" t="s">
        <v>1588</v>
      </c>
      <c r="W33" s="130"/>
      <c r="X33" s="130"/>
      <c r="Y33" s="130"/>
      <c r="Z33" s="130"/>
      <c r="AA33" s="130"/>
      <c r="AB33" s="130"/>
      <c r="AC33" s="130"/>
      <c r="AD33" s="130"/>
      <c r="AE33" s="130"/>
      <c r="AF33" s="130"/>
      <c r="AG33" s="130"/>
      <c r="AH33" s="130"/>
      <c r="AI33" s="130"/>
      <c r="AJ33" s="130"/>
      <c r="AK33" s="130"/>
      <c r="AL33" s="130"/>
      <c r="AM33" s="130"/>
      <c r="AN33" s="130"/>
      <c r="AO33" s="130"/>
    </row>
    <row r="34" spans="1:41" ht="50.25" customHeight="1" x14ac:dyDescent="0.25">
      <c r="A34" s="1018"/>
      <c r="B34" s="1048"/>
      <c r="C34" s="1156"/>
      <c r="D34" s="809"/>
      <c r="E34" s="810"/>
      <c r="F34" s="563" t="s">
        <v>407</v>
      </c>
      <c r="G34" s="1164">
        <v>0.1</v>
      </c>
      <c r="H34" s="1164">
        <v>0.05</v>
      </c>
      <c r="I34" s="1165">
        <v>0.25</v>
      </c>
      <c r="J34" s="1164"/>
      <c r="K34" s="1161"/>
      <c r="L34" s="1164"/>
      <c r="M34" s="672"/>
      <c r="N34" s="672"/>
      <c r="O34" s="673"/>
      <c r="P34" s="673"/>
      <c r="Q34" s="673"/>
      <c r="R34" s="673"/>
      <c r="S34" s="136">
        <f t="shared" si="0"/>
        <v>0.4</v>
      </c>
      <c r="T34" s="1048"/>
      <c r="U34" s="1048"/>
      <c r="V34" s="1173"/>
      <c r="W34" s="133"/>
      <c r="X34" s="133"/>
      <c r="Y34" s="133"/>
      <c r="Z34" s="133"/>
      <c r="AA34" s="133"/>
      <c r="AB34" s="133"/>
      <c r="AC34" s="133"/>
      <c r="AD34" s="133"/>
      <c r="AE34" s="133"/>
      <c r="AF34" s="133"/>
      <c r="AG34" s="133"/>
      <c r="AH34" s="133"/>
      <c r="AI34" s="133"/>
      <c r="AJ34" s="133"/>
      <c r="AK34" s="133"/>
      <c r="AL34" s="133"/>
      <c r="AM34" s="133"/>
      <c r="AN34" s="133"/>
      <c r="AO34" s="133"/>
    </row>
    <row r="35" spans="1:41" ht="50.25" customHeight="1" x14ac:dyDescent="0.25">
      <c r="A35" s="1018"/>
      <c r="B35" s="1151" t="s">
        <v>362</v>
      </c>
      <c r="C35" s="1152" t="s">
        <v>1423</v>
      </c>
      <c r="D35" s="783" t="s">
        <v>405</v>
      </c>
      <c r="E35" s="785" t="s">
        <v>405</v>
      </c>
      <c r="F35" s="564" t="s">
        <v>406</v>
      </c>
      <c r="G35" s="1162">
        <v>0.05</v>
      </c>
      <c r="H35" s="1162">
        <v>0.05</v>
      </c>
      <c r="I35" s="1162">
        <v>0.3</v>
      </c>
      <c r="J35" s="1162">
        <v>0.25</v>
      </c>
      <c r="K35" s="1162">
        <v>0.25</v>
      </c>
      <c r="L35" s="1162">
        <v>0.1</v>
      </c>
      <c r="M35" s="671"/>
      <c r="N35" s="671"/>
      <c r="O35" s="671"/>
      <c r="P35" s="671"/>
      <c r="Q35" s="671"/>
      <c r="R35" s="671"/>
      <c r="S35" s="135">
        <f t="shared" si="0"/>
        <v>1</v>
      </c>
      <c r="T35" s="1170">
        <v>0.1111</v>
      </c>
      <c r="U35" s="1170">
        <v>0.1111</v>
      </c>
      <c r="V35" s="1175" t="s">
        <v>1610</v>
      </c>
      <c r="W35" s="130"/>
      <c r="X35" s="130"/>
      <c r="Y35" s="130"/>
      <c r="Z35" s="130"/>
      <c r="AA35" s="130"/>
      <c r="AB35" s="130"/>
      <c r="AC35" s="130"/>
      <c r="AD35" s="130"/>
      <c r="AE35" s="130"/>
      <c r="AF35" s="130"/>
      <c r="AG35" s="130"/>
      <c r="AH35" s="130"/>
      <c r="AI35" s="130"/>
      <c r="AJ35" s="130"/>
      <c r="AK35" s="130"/>
      <c r="AL35" s="130"/>
      <c r="AM35" s="130"/>
      <c r="AN35" s="130"/>
      <c r="AO35" s="130"/>
    </row>
    <row r="36" spans="1:41" ht="50.25" customHeight="1" x14ac:dyDescent="0.25">
      <c r="A36" s="1048"/>
      <c r="B36" s="1048"/>
      <c r="C36" s="1157"/>
      <c r="D36" s="784"/>
      <c r="E36" s="784"/>
      <c r="F36" s="562" t="s">
        <v>407</v>
      </c>
      <c r="G36" s="1162">
        <v>0.05</v>
      </c>
      <c r="H36" s="1162">
        <v>0.05</v>
      </c>
      <c r="I36" s="1162">
        <v>0.3</v>
      </c>
      <c r="J36" s="1162"/>
      <c r="K36" s="1162"/>
      <c r="L36" s="1162"/>
      <c r="M36" s="671"/>
      <c r="N36" s="671"/>
      <c r="O36" s="671"/>
      <c r="P36" s="671"/>
      <c r="Q36" s="671"/>
      <c r="R36" s="671"/>
      <c r="S36" s="131">
        <f t="shared" si="0"/>
        <v>0.4</v>
      </c>
      <c r="T36" s="1048"/>
      <c r="U36" s="1048"/>
      <c r="V36" s="1176"/>
      <c r="W36" s="133"/>
      <c r="X36" s="133"/>
      <c r="Y36" s="133"/>
      <c r="Z36" s="133"/>
      <c r="AA36" s="133"/>
      <c r="AB36" s="133"/>
      <c r="AC36" s="133"/>
      <c r="AD36" s="133"/>
      <c r="AE36" s="133"/>
      <c r="AF36" s="133"/>
      <c r="AG36" s="133"/>
      <c r="AH36" s="133"/>
      <c r="AI36" s="133"/>
      <c r="AJ36" s="133"/>
      <c r="AK36" s="133"/>
      <c r="AL36" s="133"/>
      <c r="AM36" s="133"/>
      <c r="AN36" s="133"/>
      <c r="AO36" s="133"/>
    </row>
    <row r="37" spans="1:41" ht="50.25" customHeight="1" x14ac:dyDescent="0.25">
      <c r="A37" s="1153" t="s">
        <v>365</v>
      </c>
      <c r="B37" s="1153" t="s">
        <v>370</v>
      </c>
      <c r="C37" s="1152" t="s">
        <v>414</v>
      </c>
      <c r="D37" s="783" t="s">
        <v>405</v>
      </c>
      <c r="E37" s="785" t="s">
        <v>405</v>
      </c>
      <c r="F37" s="564" t="s">
        <v>406</v>
      </c>
      <c r="G37" s="1162">
        <v>0.16</v>
      </c>
      <c r="H37" s="1162">
        <v>0.16</v>
      </c>
      <c r="I37" s="1159">
        <v>0.17</v>
      </c>
      <c r="J37" s="1159">
        <v>0.17</v>
      </c>
      <c r="K37" s="1159">
        <v>0.17</v>
      </c>
      <c r="L37" s="1159">
        <v>0.17</v>
      </c>
      <c r="M37" s="671"/>
      <c r="N37" s="671"/>
      <c r="O37" s="671"/>
      <c r="P37" s="671"/>
      <c r="Q37" s="671"/>
      <c r="R37" s="671"/>
      <c r="S37" s="135">
        <f t="shared" si="0"/>
        <v>1</v>
      </c>
      <c r="T37" s="1170">
        <v>0.1111</v>
      </c>
      <c r="U37" s="1170">
        <v>2.23E-2</v>
      </c>
      <c r="V37" s="1177" t="s">
        <v>1579</v>
      </c>
      <c r="W37" s="130"/>
      <c r="X37" s="130"/>
      <c r="Y37" s="130"/>
      <c r="Z37" s="130"/>
      <c r="AA37" s="130"/>
      <c r="AB37" s="130"/>
      <c r="AC37" s="130"/>
      <c r="AD37" s="130"/>
      <c r="AE37" s="130"/>
      <c r="AF37" s="130"/>
      <c r="AG37" s="130"/>
      <c r="AH37" s="130"/>
      <c r="AI37" s="130"/>
      <c r="AJ37" s="130"/>
      <c r="AK37" s="130"/>
      <c r="AL37" s="130"/>
      <c r="AM37" s="130"/>
      <c r="AN37" s="130"/>
      <c r="AO37" s="130"/>
    </row>
    <row r="38" spans="1:41" ht="50.25" customHeight="1" x14ac:dyDescent="0.25">
      <c r="A38" s="1018"/>
      <c r="B38" s="1018"/>
      <c r="C38" s="1150"/>
      <c r="D38" s="784"/>
      <c r="E38" s="784"/>
      <c r="F38" s="562" t="s">
        <v>407</v>
      </c>
      <c r="G38" s="1166">
        <v>0.16</v>
      </c>
      <c r="H38" s="1162">
        <v>0.16</v>
      </c>
      <c r="I38" s="1159">
        <v>0.17</v>
      </c>
      <c r="J38" s="1159"/>
      <c r="K38" s="1159"/>
      <c r="L38" s="1159"/>
      <c r="M38" s="671"/>
      <c r="N38" s="671"/>
      <c r="O38" s="671"/>
      <c r="P38" s="671"/>
      <c r="Q38" s="671"/>
      <c r="R38" s="671"/>
      <c r="S38" s="131">
        <f t="shared" si="0"/>
        <v>0.49</v>
      </c>
      <c r="T38" s="1018"/>
      <c r="U38" s="1048"/>
      <c r="V38" s="1068"/>
      <c r="W38" s="133"/>
      <c r="X38" s="133"/>
      <c r="Y38" s="133"/>
      <c r="Z38" s="133"/>
      <c r="AA38" s="133"/>
      <c r="AB38" s="133"/>
      <c r="AC38" s="133"/>
      <c r="AD38" s="133"/>
      <c r="AE38" s="133"/>
      <c r="AF38" s="133"/>
      <c r="AG38" s="133"/>
      <c r="AH38" s="133"/>
      <c r="AI38" s="133"/>
      <c r="AJ38" s="133"/>
      <c r="AK38" s="133"/>
      <c r="AL38" s="133"/>
      <c r="AM38" s="133"/>
      <c r="AN38" s="133"/>
      <c r="AO38" s="133"/>
    </row>
    <row r="39" spans="1:41" ht="50.25" customHeight="1" x14ac:dyDescent="0.25">
      <c r="A39" s="1018"/>
      <c r="B39" s="1018"/>
      <c r="C39" s="1152" t="s">
        <v>415</v>
      </c>
      <c r="D39" s="812" t="s">
        <v>405</v>
      </c>
      <c r="E39" s="813" t="s">
        <v>405</v>
      </c>
      <c r="F39" s="135" t="s">
        <v>406</v>
      </c>
      <c r="G39" s="1166">
        <v>0.18</v>
      </c>
      <c r="H39" s="1162">
        <v>0.18</v>
      </c>
      <c r="I39" s="1159">
        <v>0.18</v>
      </c>
      <c r="J39" s="1159">
        <v>0.16</v>
      </c>
      <c r="K39" s="1159">
        <v>0.15</v>
      </c>
      <c r="L39" s="1159">
        <v>0.15</v>
      </c>
      <c r="M39" s="671"/>
      <c r="N39" s="671"/>
      <c r="O39" s="671"/>
      <c r="P39" s="671"/>
      <c r="Q39" s="671"/>
      <c r="R39" s="671"/>
      <c r="S39" s="135">
        <f t="shared" si="0"/>
        <v>1</v>
      </c>
      <c r="T39" s="1018"/>
      <c r="U39" s="1170">
        <v>2.2200000000000001E-2</v>
      </c>
      <c r="V39" s="1177" t="s">
        <v>1580</v>
      </c>
      <c r="W39" s="130"/>
      <c r="X39" s="130"/>
      <c r="Y39" s="130"/>
      <c r="Z39" s="130"/>
      <c r="AA39" s="130"/>
      <c r="AB39" s="130"/>
      <c r="AC39" s="130"/>
      <c r="AD39" s="130"/>
      <c r="AE39" s="130"/>
      <c r="AF39" s="130"/>
      <c r="AG39" s="130"/>
      <c r="AH39" s="130"/>
      <c r="AI39" s="130"/>
      <c r="AJ39" s="130"/>
      <c r="AK39" s="130"/>
      <c r="AL39" s="130"/>
      <c r="AM39" s="130"/>
      <c r="AN39" s="130"/>
      <c r="AO39" s="130"/>
    </row>
    <row r="40" spans="1:41" ht="50.25" customHeight="1" x14ac:dyDescent="0.25">
      <c r="A40" s="1018"/>
      <c r="B40" s="1018"/>
      <c r="C40" s="1150"/>
      <c r="D40" s="710"/>
      <c r="E40" s="710"/>
      <c r="F40" s="131" t="s">
        <v>407</v>
      </c>
      <c r="G40" s="1166">
        <v>0.18</v>
      </c>
      <c r="H40" s="1162">
        <v>0.18</v>
      </c>
      <c r="I40" s="1162">
        <v>0.18</v>
      </c>
      <c r="J40" s="1162"/>
      <c r="K40" s="1162"/>
      <c r="L40" s="1162"/>
      <c r="M40" s="671"/>
      <c r="N40" s="671"/>
      <c r="O40" s="671"/>
      <c r="P40" s="671"/>
      <c r="Q40" s="671"/>
      <c r="R40" s="671"/>
      <c r="S40" s="131">
        <f t="shared" si="0"/>
        <v>0.54</v>
      </c>
      <c r="T40" s="1018"/>
      <c r="U40" s="1048"/>
      <c r="V40" s="1068"/>
      <c r="W40" s="133"/>
      <c r="X40" s="133"/>
      <c r="Y40" s="133"/>
      <c r="Z40" s="133"/>
      <c r="AA40" s="133"/>
      <c r="AB40" s="133"/>
      <c r="AC40" s="133"/>
      <c r="AD40" s="133"/>
      <c r="AE40" s="133"/>
      <c r="AF40" s="133"/>
      <c r="AG40" s="133"/>
      <c r="AH40" s="133"/>
      <c r="AI40" s="133"/>
      <c r="AJ40" s="133"/>
      <c r="AK40" s="133"/>
      <c r="AL40" s="133"/>
      <c r="AM40" s="133"/>
      <c r="AN40" s="133"/>
      <c r="AO40" s="133"/>
    </row>
    <row r="41" spans="1:41" ht="50.25" customHeight="1" x14ac:dyDescent="0.25">
      <c r="A41" s="1018"/>
      <c r="B41" s="1018"/>
      <c r="C41" s="1152" t="s">
        <v>416</v>
      </c>
      <c r="D41" s="710"/>
      <c r="E41" s="710"/>
      <c r="F41" s="135" t="s">
        <v>406</v>
      </c>
      <c r="G41" s="1166">
        <v>0.1666</v>
      </c>
      <c r="H41" s="1162">
        <v>0.16669999999999999</v>
      </c>
      <c r="I41" s="1159">
        <v>0.16669999999999999</v>
      </c>
      <c r="J41" s="1159">
        <v>0.16669999999999999</v>
      </c>
      <c r="K41" s="1159">
        <v>0.16669999999999999</v>
      </c>
      <c r="L41" s="1159">
        <v>0.1666</v>
      </c>
      <c r="M41" s="671"/>
      <c r="N41" s="671"/>
      <c r="O41" s="671"/>
      <c r="P41" s="671"/>
      <c r="Q41" s="671"/>
      <c r="R41" s="671"/>
      <c r="S41" s="135">
        <f t="shared" si="0"/>
        <v>0.99999999999999989</v>
      </c>
      <c r="T41" s="1018"/>
      <c r="U41" s="1170">
        <v>2.2200000000000001E-2</v>
      </c>
      <c r="V41" s="1177" t="s">
        <v>1581</v>
      </c>
      <c r="W41" s="130"/>
      <c r="X41" s="130"/>
      <c r="Y41" s="130"/>
      <c r="Z41" s="130"/>
      <c r="AA41" s="130"/>
      <c r="AB41" s="130"/>
      <c r="AC41" s="130"/>
      <c r="AD41" s="130"/>
      <c r="AE41" s="130"/>
      <c r="AF41" s="130"/>
      <c r="AG41" s="130"/>
      <c r="AH41" s="130"/>
      <c r="AI41" s="130"/>
      <c r="AJ41" s="130"/>
      <c r="AK41" s="130"/>
      <c r="AL41" s="130"/>
      <c r="AM41" s="130"/>
      <c r="AN41" s="130"/>
      <c r="AO41" s="130"/>
    </row>
    <row r="42" spans="1:41" ht="50.25" customHeight="1" x14ac:dyDescent="0.25">
      <c r="A42" s="1018"/>
      <c r="B42" s="1018"/>
      <c r="C42" s="1150"/>
      <c r="D42" s="731"/>
      <c r="E42" s="731"/>
      <c r="F42" s="131" t="s">
        <v>407</v>
      </c>
      <c r="G42" s="1166">
        <v>0.1666</v>
      </c>
      <c r="H42" s="1162">
        <v>0.16669999999999999</v>
      </c>
      <c r="I42" s="1159">
        <v>0.16669999999999999</v>
      </c>
      <c r="J42" s="1162"/>
      <c r="K42" s="1162"/>
      <c r="L42" s="1162"/>
      <c r="M42" s="671"/>
      <c r="N42" s="671"/>
      <c r="O42" s="671"/>
      <c r="P42" s="671"/>
      <c r="Q42" s="671"/>
      <c r="R42" s="671"/>
      <c r="S42" s="132">
        <f t="shared" si="0"/>
        <v>0.5</v>
      </c>
      <c r="T42" s="1018"/>
      <c r="U42" s="1048"/>
      <c r="V42" s="1068"/>
      <c r="W42" s="130"/>
      <c r="X42" s="130"/>
      <c r="Y42" s="130"/>
      <c r="Z42" s="130"/>
      <c r="AA42" s="130"/>
      <c r="AB42" s="130"/>
      <c r="AC42" s="130"/>
      <c r="AD42" s="130"/>
      <c r="AE42" s="130"/>
      <c r="AF42" s="130"/>
      <c r="AG42" s="130"/>
      <c r="AH42" s="130"/>
      <c r="AI42" s="130"/>
      <c r="AJ42" s="130"/>
      <c r="AK42" s="130"/>
      <c r="AL42" s="130"/>
      <c r="AM42" s="130"/>
      <c r="AN42" s="130"/>
      <c r="AO42" s="130"/>
    </row>
    <row r="43" spans="1:41" ht="50.25" customHeight="1" x14ac:dyDescent="0.25">
      <c r="A43" s="1018"/>
      <c r="B43" s="1018"/>
      <c r="C43" s="1152" t="s">
        <v>417</v>
      </c>
      <c r="D43" s="783" t="s">
        <v>405</v>
      </c>
      <c r="E43" s="785" t="s">
        <v>405</v>
      </c>
      <c r="F43" s="564" t="s">
        <v>406</v>
      </c>
      <c r="G43" s="1166">
        <v>0.1</v>
      </c>
      <c r="H43" s="1162">
        <v>0.1</v>
      </c>
      <c r="I43" s="1159">
        <v>0.2</v>
      </c>
      <c r="J43" s="1159">
        <v>0.2</v>
      </c>
      <c r="K43" s="1159">
        <v>0.2</v>
      </c>
      <c r="L43" s="1159">
        <v>0.2</v>
      </c>
      <c r="M43" s="671"/>
      <c r="N43" s="671"/>
      <c r="O43" s="671"/>
      <c r="P43" s="671"/>
      <c r="Q43" s="671"/>
      <c r="R43" s="671"/>
      <c r="S43" s="135">
        <f t="shared" si="0"/>
        <v>1</v>
      </c>
      <c r="T43" s="1018"/>
      <c r="U43" s="1170">
        <v>2.2200000000000001E-2</v>
      </c>
      <c r="V43" s="1178" t="s">
        <v>1606</v>
      </c>
      <c r="W43" s="130"/>
      <c r="X43" s="130"/>
      <c r="Y43" s="130"/>
      <c r="Z43" s="130"/>
      <c r="AA43" s="130"/>
      <c r="AB43" s="130"/>
      <c r="AC43" s="130"/>
      <c r="AD43" s="130"/>
      <c r="AE43" s="130"/>
      <c r="AF43" s="130"/>
      <c r="AG43" s="130"/>
      <c r="AH43" s="130"/>
      <c r="AI43" s="130"/>
      <c r="AJ43" s="130"/>
      <c r="AK43" s="130"/>
      <c r="AL43" s="130"/>
      <c r="AM43" s="130"/>
      <c r="AN43" s="130"/>
      <c r="AO43" s="130"/>
    </row>
    <row r="44" spans="1:41" ht="50.25" customHeight="1" x14ac:dyDescent="0.25">
      <c r="A44" s="1018"/>
      <c r="B44" s="1018"/>
      <c r="C44" s="1150"/>
      <c r="D44" s="784"/>
      <c r="E44" s="784"/>
      <c r="F44" s="562" t="s">
        <v>407</v>
      </c>
      <c r="G44" s="1166">
        <v>0.1</v>
      </c>
      <c r="H44" s="1162">
        <v>0.1</v>
      </c>
      <c r="I44" s="1159">
        <v>0.2</v>
      </c>
      <c r="J44" s="1159"/>
      <c r="K44" s="1159"/>
      <c r="L44" s="1159"/>
      <c r="M44" s="671"/>
      <c r="N44" s="671"/>
      <c r="O44" s="671"/>
      <c r="P44" s="671"/>
      <c r="Q44" s="671"/>
      <c r="R44" s="671"/>
      <c r="S44" s="132">
        <f t="shared" si="0"/>
        <v>0.4</v>
      </c>
      <c r="T44" s="1018"/>
      <c r="U44" s="1048"/>
      <c r="V44" s="1076"/>
      <c r="W44" s="133"/>
      <c r="X44" s="133"/>
      <c r="Y44" s="133"/>
      <c r="Z44" s="133"/>
      <c r="AA44" s="133"/>
      <c r="AB44" s="133"/>
      <c r="AC44" s="133"/>
      <c r="AD44" s="133"/>
      <c r="AE44" s="133"/>
      <c r="AF44" s="133"/>
      <c r="AG44" s="133"/>
      <c r="AH44" s="133"/>
      <c r="AI44" s="133"/>
      <c r="AJ44" s="133"/>
      <c r="AK44" s="133"/>
      <c r="AL44" s="133"/>
      <c r="AM44" s="133"/>
      <c r="AN44" s="133"/>
      <c r="AO44" s="133"/>
    </row>
    <row r="45" spans="1:41" ht="50.25" customHeight="1" x14ac:dyDescent="0.25">
      <c r="A45" s="1018"/>
      <c r="B45" s="1018"/>
      <c r="C45" s="1152" t="s">
        <v>418</v>
      </c>
      <c r="D45" s="783" t="s">
        <v>405</v>
      </c>
      <c r="E45" s="785" t="s">
        <v>405</v>
      </c>
      <c r="F45" s="564" t="s">
        <v>406</v>
      </c>
      <c r="G45" s="1166">
        <v>0.1</v>
      </c>
      <c r="H45" s="1162">
        <v>0.1</v>
      </c>
      <c r="I45" s="1159">
        <v>0.2</v>
      </c>
      <c r="J45" s="1159">
        <v>0.2</v>
      </c>
      <c r="K45" s="1159">
        <v>0.2</v>
      </c>
      <c r="L45" s="1159">
        <v>0.2</v>
      </c>
      <c r="M45" s="671"/>
      <c r="N45" s="671"/>
      <c r="O45" s="671"/>
      <c r="P45" s="671"/>
      <c r="Q45" s="671"/>
      <c r="R45" s="671"/>
      <c r="S45" s="135">
        <f t="shared" si="0"/>
        <v>1</v>
      </c>
      <c r="T45" s="1018"/>
      <c r="U45" s="1170">
        <v>2.2200000000000001E-2</v>
      </c>
      <c r="V45" s="1178" t="s">
        <v>1582</v>
      </c>
      <c r="W45" s="130"/>
      <c r="X45" s="130"/>
      <c r="Y45" s="130"/>
      <c r="Z45" s="130"/>
      <c r="AA45" s="130"/>
      <c r="AB45" s="130"/>
      <c r="AC45" s="130"/>
      <c r="AD45" s="130"/>
      <c r="AE45" s="130"/>
      <c r="AF45" s="130"/>
      <c r="AG45" s="130"/>
      <c r="AH45" s="130"/>
      <c r="AI45" s="130"/>
      <c r="AJ45" s="130"/>
      <c r="AK45" s="130"/>
      <c r="AL45" s="130"/>
      <c r="AM45" s="130"/>
      <c r="AN45" s="130"/>
      <c r="AO45" s="130"/>
    </row>
    <row r="46" spans="1:41" ht="50.25" customHeight="1" x14ac:dyDescent="0.25">
      <c r="A46" s="1048"/>
      <c r="B46" s="1048"/>
      <c r="C46" s="1150"/>
      <c r="D46" s="784"/>
      <c r="E46" s="784"/>
      <c r="F46" s="562" t="s">
        <v>407</v>
      </c>
      <c r="G46" s="1166">
        <v>0.1</v>
      </c>
      <c r="H46" s="1162">
        <v>0.1</v>
      </c>
      <c r="I46" s="1159">
        <v>0.2</v>
      </c>
      <c r="J46" s="1159"/>
      <c r="K46" s="1159"/>
      <c r="L46" s="1159"/>
      <c r="M46" s="671"/>
      <c r="N46" s="671"/>
      <c r="O46" s="671"/>
      <c r="P46" s="671"/>
      <c r="Q46" s="671"/>
      <c r="R46" s="671"/>
      <c r="S46" s="131">
        <f t="shared" si="0"/>
        <v>0.4</v>
      </c>
      <c r="T46" s="1048"/>
      <c r="U46" s="1048"/>
      <c r="V46" s="1076"/>
      <c r="W46" s="133"/>
      <c r="X46" s="133"/>
      <c r="Y46" s="133"/>
      <c r="Z46" s="133"/>
      <c r="AA46" s="133"/>
      <c r="AB46" s="137"/>
      <c r="AC46" s="137"/>
      <c r="AD46" s="137"/>
      <c r="AE46" s="137"/>
      <c r="AF46" s="137"/>
      <c r="AG46" s="137"/>
      <c r="AH46" s="137"/>
      <c r="AI46" s="137"/>
      <c r="AJ46" s="137"/>
      <c r="AK46" s="137"/>
      <c r="AL46" s="137"/>
      <c r="AM46" s="137"/>
      <c r="AN46" s="137"/>
      <c r="AO46" s="137"/>
    </row>
    <row r="47" spans="1:41" ht="18.75" customHeight="1" thickBot="1" x14ac:dyDescent="0.3">
      <c r="A47" s="814" t="s">
        <v>419</v>
      </c>
      <c r="B47" s="815"/>
      <c r="C47" s="815"/>
      <c r="D47" s="815"/>
      <c r="E47" s="815"/>
      <c r="F47" s="815"/>
      <c r="G47" s="815"/>
      <c r="H47" s="815"/>
      <c r="I47" s="815"/>
      <c r="J47" s="815"/>
      <c r="K47" s="815"/>
      <c r="L47" s="815"/>
      <c r="M47" s="815"/>
      <c r="N47" s="815"/>
      <c r="O47" s="815"/>
      <c r="P47" s="815"/>
      <c r="Q47" s="815"/>
      <c r="R47" s="815"/>
      <c r="S47" s="816"/>
      <c r="T47" s="138">
        <f>SUM(T9:T46)</f>
        <v>0.99999999999999989</v>
      </c>
      <c r="U47" s="138">
        <f>SUM(U9:U46)</f>
        <v>1.0000000000000002</v>
      </c>
      <c r="V47" s="674"/>
      <c r="W47" s="139"/>
      <c r="X47" s="139"/>
      <c r="Y47" s="139"/>
      <c r="Z47" s="139"/>
      <c r="AA47" s="139"/>
      <c r="AB47" s="139"/>
      <c r="AC47" s="139"/>
      <c r="AD47" s="139"/>
      <c r="AE47" s="140"/>
      <c r="AF47" s="140"/>
      <c r="AG47" s="140"/>
      <c r="AH47" s="140"/>
      <c r="AI47" s="140"/>
      <c r="AJ47" s="140"/>
      <c r="AK47" s="140"/>
      <c r="AL47" s="140"/>
      <c r="AM47" s="140"/>
      <c r="AN47" s="140"/>
      <c r="AO47" s="140"/>
    </row>
    <row r="48" spans="1:41" ht="12.75" customHeight="1" x14ac:dyDescent="0.25">
      <c r="A48" s="127"/>
      <c r="B48" s="638"/>
      <c r="C48" s="141"/>
      <c r="D48" s="141"/>
      <c r="E48" s="141"/>
      <c r="F48" s="141"/>
      <c r="G48" s="141"/>
      <c r="H48" s="141"/>
      <c r="I48" s="141"/>
      <c r="J48" s="141"/>
      <c r="K48" s="141"/>
      <c r="L48" s="141"/>
      <c r="M48" s="141"/>
      <c r="N48" s="141"/>
      <c r="O48" s="141"/>
      <c r="P48" s="141"/>
      <c r="Q48" s="141"/>
      <c r="R48" s="141"/>
      <c r="S48" s="141"/>
      <c r="T48" s="141"/>
      <c r="U48" s="141"/>
      <c r="V48" s="141"/>
      <c r="W48" s="141"/>
      <c r="X48" s="141"/>
      <c r="Y48" s="126"/>
      <c r="Z48" s="126"/>
      <c r="AA48" s="126"/>
      <c r="AB48" s="126"/>
      <c r="AC48" s="126"/>
      <c r="AD48" s="126"/>
      <c r="AE48" s="126"/>
      <c r="AF48" s="126"/>
      <c r="AG48" s="126"/>
      <c r="AH48" s="126"/>
      <c r="AI48" s="126"/>
      <c r="AJ48" s="126"/>
      <c r="AK48" s="126"/>
      <c r="AL48" s="126"/>
      <c r="AM48" s="126"/>
      <c r="AN48" s="126"/>
      <c r="AO48" s="126"/>
    </row>
    <row r="49" spans="1:41" ht="12.75" customHeight="1" x14ac:dyDescent="0.25">
      <c r="A49" s="127"/>
      <c r="B49" s="638"/>
      <c r="C49" s="141"/>
      <c r="D49" s="141"/>
      <c r="E49" s="141"/>
      <c r="F49" s="141"/>
      <c r="G49" s="141"/>
      <c r="H49" s="141"/>
      <c r="I49" s="141"/>
      <c r="J49" s="141"/>
      <c r="K49" s="141"/>
      <c r="L49" s="141"/>
      <c r="M49" s="141"/>
      <c r="N49" s="141"/>
      <c r="O49" s="141"/>
      <c r="P49" s="141"/>
      <c r="Q49" s="141"/>
      <c r="R49" s="141"/>
      <c r="S49" s="141"/>
      <c r="T49" s="141"/>
      <c r="U49" s="141"/>
      <c r="V49" s="141"/>
      <c r="W49" s="141"/>
      <c r="X49" s="141"/>
      <c r="Y49" s="126"/>
      <c r="Z49" s="126"/>
      <c r="AA49" s="126"/>
      <c r="AB49" s="126"/>
      <c r="AC49" s="126"/>
      <c r="AD49" s="126"/>
      <c r="AE49" s="126"/>
      <c r="AF49" s="126"/>
      <c r="AG49" s="126"/>
      <c r="AH49" s="126"/>
      <c r="AI49" s="126"/>
      <c r="AJ49" s="126"/>
      <c r="AK49" s="126"/>
      <c r="AL49" s="126"/>
      <c r="AM49" s="126"/>
      <c r="AN49" s="126"/>
      <c r="AO49" s="126"/>
    </row>
    <row r="50" spans="1:41" ht="12.75" customHeight="1" x14ac:dyDescent="0.25">
      <c r="A50" s="127"/>
      <c r="B50" s="52"/>
      <c r="C50" s="1"/>
      <c r="D50" s="1"/>
      <c r="E50" s="1"/>
      <c r="F50" s="1"/>
      <c r="G50" s="2"/>
      <c r="H50" s="2"/>
      <c r="I50" s="2"/>
      <c r="J50" s="2"/>
      <c r="K50" s="2"/>
      <c r="L50" s="2"/>
      <c r="M50" s="2"/>
      <c r="N50" s="2"/>
      <c r="O50" s="2"/>
      <c r="P50" s="2"/>
      <c r="Q50" s="2"/>
      <c r="R50" s="2"/>
      <c r="S50" s="2"/>
      <c r="T50" s="2"/>
      <c r="U50" s="2"/>
      <c r="V50" s="141"/>
      <c r="W50" s="2"/>
      <c r="X50" s="2"/>
      <c r="Y50" s="3"/>
      <c r="Z50" s="3"/>
      <c r="AA50" s="3"/>
      <c r="AB50" s="3"/>
      <c r="AC50" s="3"/>
      <c r="AD50" s="3"/>
      <c r="AE50" s="3"/>
      <c r="AF50" s="3"/>
      <c r="AG50" s="3"/>
      <c r="AH50" s="3"/>
      <c r="AI50" s="3"/>
      <c r="AJ50" s="3"/>
      <c r="AK50" s="3"/>
      <c r="AL50" s="3"/>
      <c r="AM50" s="3"/>
      <c r="AN50" s="3"/>
      <c r="AO50" s="3"/>
    </row>
    <row r="51" spans="1:41" ht="26.25" customHeight="1" x14ac:dyDescent="0.25">
      <c r="A51" s="126"/>
      <c r="B51" s="639" t="s">
        <v>196</v>
      </c>
      <c r="C51" s="726" t="s">
        <v>197</v>
      </c>
      <c r="D51" s="727"/>
      <c r="E51" s="727"/>
      <c r="F51" s="727"/>
      <c r="G51" s="727"/>
      <c r="H51" s="728"/>
      <c r="I51" s="732" t="s">
        <v>198</v>
      </c>
      <c r="J51" s="727"/>
      <c r="K51" s="727"/>
      <c r="L51" s="727"/>
      <c r="M51" s="727"/>
      <c r="N51" s="727"/>
      <c r="O51" s="727"/>
      <c r="P51" s="727"/>
      <c r="Q51" s="728"/>
      <c r="R51" s="2"/>
      <c r="S51" s="2"/>
      <c r="T51" s="2"/>
      <c r="U51" s="3"/>
      <c r="V51" s="141"/>
      <c r="W51" s="3"/>
      <c r="X51" s="3"/>
      <c r="Y51" s="3"/>
      <c r="Z51" s="3"/>
      <c r="AA51" s="3"/>
      <c r="AB51" s="3"/>
      <c r="AC51" s="3"/>
      <c r="AD51" s="3"/>
      <c r="AE51" s="3"/>
      <c r="AF51" s="3"/>
      <c r="AG51" s="3"/>
      <c r="AH51" s="3"/>
      <c r="AI51" s="3"/>
      <c r="AJ51" s="3"/>
      <c r="AK51" s="3"/>
      <c r="AL51" s="3"/>
      <c r="AM51" s="3"/>
      <c r="AN51" s="3"/>
      <c r="AO51" s="3"/>
    </row>
    <row r="52" spans="1:41" ht="38.25" customHeight="1" x14ac:dyDescent="0.25">
      <c r="A52" s="127"/>
      <c r="B52" s="625">
        <v>13</v>
      </c>
      <c r="C52" s="729" t="s">
        <v>199</v>
      </c>
      <c r="D52" s="727"/>
      <c r="E52" s="727"/>
      <c r="F52" s="727"/>
      <c r="G52" s="727"/>
      <c r="H52" s="728"/>
      <c r="I52" s="730" t="s">
        <v>200</v>
      </c>
      <c r="J52" s="727"/>
      <c r="K52" s="727"/>
      <c r="L52" s="727"/>
      <c r="M52" s="727"/>
      <c r="N52" s="727"/>
      <c r="O52" s="727"/>
      <c r="P52" s="727"/>
      <c r="Q52" s="728"/>
      <c r="R52" s="2"/>
      <c r="S52" s="2"/>
      <c r="T52" s="2"/>
      <c r="U52" s="2"/>
      <c r="V52" s="141"/>
      <c r="W52" s="817"/>
      <c r="X52" s="689"/>
      <c r="Y52" s="689"/>
      <c r="Z52" s="689"/>
      <c r="AA52" s="689"/>
      <c r="AB52" s="689"/>
      <c r="AC52" s="689"/>
      <c r="AD52" s="689"/>
      <c r="AE52" s="689"/>
      <c r="AF52" s="689"/>
      <c r="AG52" s="689"/>
      <c r="AH52" s="689"/>
      <c r="AI52" s="689"/>
      <c r="AJ52" s="689"/>
      <c r="AK52" s="689"/>
      <c r="AL52" s="689"/>
      <c r="AM52" s="689"/>
      <c r="AN52" s="689"/>
      <c r="AO52" s="689"/>
    </row>
    <row r="53" spans="1:41" ht="26.25" customHeight="1" x14ac:dyDescent="0.25">
      <c r="A53" s="127"/>
      <c r="B53" s="625">
        <v>14</v>
      </c>
      <c r="C53" s="729" t="s">
        <v>201</v>
      </c>
      <c r="D53" s="727"/>
      <c r="E53" s="727"/>
      <c r="F53" s="727"/>
      <c r="G53" s="727"/>
      <c r="H53" s="728"/>
      <c r="I53" s="730" t="s">
        <v>202</v>
      </c>
      <c r="J53" s="727"/>
      <c r="K53" s="727"/>
      <c r="L53" s="727"/>
      <c r="M53" s="727"/>
      <c r="N53" s="727"/>
      <c r="O53" s="727"/>
      <c r="P53" s="727"/>
      <c r="Q53" s="728"/>
      <c r="R53" s="2"/>
      <c r="S53" s="2"/>
      <c r="T53" s="2"/>
      <c r="U53" s="2"/>
      <c r="V53" s="141"/>
      <c r="W53" s="3"/>
      <c r="X53" s="3"/>
      <c r="Y53" s="3"/>
      <c r="Z53" s="3"/>
      <c r="AA53" s="3"/>
      <c r="AB53" s="3"/>
      <c r="AC53" s="3"/>
      <c r="AD53" s="3"/>
      <c r="AE53" s="3"/>
      <c r="AF53" s="3"/>
      <c r="AG53" s="3"/>
      <c r="AH53" s="3"/>
      <c r="AI53" s="3"/>
      <c r="AJ53" s="3"/>
      <c r="AK53" s="3"/>
      <c r="AL53" s="3"/>
      <c r="AM53" s="3"/>
      <c r="AN53" s="3"/>
      <c r="AO53" s="3"/>
    </row>
    <row r="54" spans="1:41" ht="12.75" customHeight="1" x14ac:dyDescent="0.25">
      <c r="A54" s="127"/>
      <c r="B54" s="638"/>
      <c r="C54" s="141"/>
      <c r="D54" s="141"/>
      <c r="E54" s="141"/>
      <c r="F54" s="141"/>
      <c r="G54" s="141"/>
      <c r="H54" s="141"/>
      <c r="I54" s="141"/>
      <c r="J54" s="126"/>
      <c r="K54" s="141"/>
      <c r="L54" s="141"/>
      <c r="M54" s="141"/>
      <c r="N54" s="142"/>
      <c r="O54" s="142"/>
      <c r="P54" s="142"/>
      <c r="Q54" s="142"/>
      <c r="R54" s="142"/>
      <c r="S54" s="142"/>
      <c r="T54" s="142"/>
      <c r="U54" s="142"/>
      <c r="V54" s="141"/>
      <c r="W54" s="126"/>
      <c r="X54" s="126"/>
      <c r="Y54" s="126"/>
      <c r="Z54" s="126"/>
      <c r="AA54" s="126"/>
      <c r="AB54" s="126"/>
      <c r="AC54" s="126"/>
      <c r="AD54" s="126"/>
      <c r="AE54" s="126"/>
      <c r="AF54" s="126"/>
      <c r="AG54" s="126"/>
      <c r="AH54" s="126"/>
      <c r="AI54" s="126"/>
      <c r="AJ54" s="126"/>
      <c r="AK54" s="126"/>
      <c r="AL54" s="126"/>
      <c r="AM54" s="126"/>
      <c r="AN54" s="126"/>
      <c r="AO54" s="126"/>
    </row>
    <row r="55" spans="1:41" ht="12.75" customHeight="1" x14ac:dyDescent="0.25">
      <c r="A55" s="127"/>
      <c r="B55" s="638"/>
      <c r="C55" s="141"/>
      <c r="D55" s="141"/>
      <c r="E55" s="141"/>
      <c r="F55" s="141"/>
      <c r="G55" s="141"/>
      <c r="H55" s="141"/>
      <c r="I55" s="141"/>
      <c r="J55" s="126"/>
      <c r="K55" s="141"/>
      <c r="L55" s="141"/>
      <c r="M55" s="141"/>
      <c r="N55" s="142"/>
      <c r="O55" s="142"/>
      <c r="P55" s="142"/>
      <c r="Q55" s="142"/>
      <c r="R55" s="142"/>
      <c r="S55" s="142"/>
      <c r="T55" s="142"/>
      <c r="U55" s="142"/>
      <c r="V55" s="141"/>
      <c r="W55" s="126"/>
      <c r="X55" s="126"/>
      <c r="Y55" s="126"/>
      <c r="Z55" s="126"/>
      <c r="AA55" s="126"/>
      <c r="AB55" s="126"/>
      <c r="AC55" s="126"/>
      <c r="AD55" s="126"/>
      <c r="AE55" s="126"/>
      <c r="AF55" s="126"/>
      <c r="AG55" s="126"/>
      <c r="AH55" s="126"/>
      <c r="AI55" s="126"/>
      <c r="AJ55" s="126"/>
      <c r="AK55" s="126"/>
      <c r="AL55" s="126"/>
      <c r="AM55" s="126"/>
      <c r="AN55" s="126"/>
      <c r="AO55" s="126"/>
    </row>
    <row r="56" spans="1:41" ht="12.75" customHeight="1" x14ac:dyDescent="0.25">
      <c r="A56" s="127"/>
      <c r="B56" s="638"/>
      <c r="C56" s="141"/>
      <c r="D56" s="141"/>
      <c r="E56" s="141"/>
      <c r="F56" s="141"/>
      <c r="G56" s="141"/>
      <c r="H56" s="141"/>
      <c r="I56" s="141"/>
      <c r="J56" s="126"/>
      <c r="K56" s="141"/>
      <c r="L56" s="141"/>
      <c r="M56" s="141"/>
      <c r="N56" s="142"/>
      <c r="O56" s="142"/>
      <c r="P56" s="142"/>
      <c r="Q56" s="142"/>
      <c r="R56" s="142"/>
      <c r="S56" s="142"/>
      <c r="T56" s="142"/>
      <c r="U56" s="142"/>
      <c r="V56" s="141"/>
      <c r="W56" s="126"/>
      <c r="X56" s="126"/>
      <c r="Y56" s="126"/>
      <c r="Z56" s="126"/>
      <c r="AA56" s="126"/>
      <c r="AB56" s="126"/>
      <c r="AC56" s="126"/>
      <c r="AD56" s="126"/>
      <c r="AE56" s="126"/>
      <c r="AF56" s="126"/>
      <c r="AG56" s="126"/>
      <c r="AH56" s="126"/>
      <c r="AI56" s="126"/>
      <c r="AJ56" s="126"/>
      <c r="AK56" s="126"/>
      <c r="AL56" s="126"/>
      <c r="AM56" s="126"/>
      <c r="AN56" s="126"/>
      <c r="AO56" s="126"/>
    </row>
    <row r="57" spans="1:41" ht="12.75" customHeight="1" x14ac:dyDescent="0.25">
      <c r="A57" s="127"/>
      <c r="B57" s="638"/>
      <c r="C57" s="141"/>
      <c r="D57" s="141"/>
      <c r="E57" s="141"/>
      <c r="F57" s="141"/>
      <c r="G57" s="141"/>
      <c r="H57" s="141"/>
      <c r="I57" s="141"/>
      <c r="J57" s="126"/>
      <c r="K57" s="141"/>
      <c r="L57" s="141"/>
      <c r="M57" s="141"/>
      <c r="N57" s="142"/>
      <c r="O57" s="142"/>
      <c r="P57" s="142"/>
      <c r="Q57" s="142"/>
      <c r="R57" s="142"/>
      <c r="S57" s="142"/>
      <c r="T57" s="142"/>
      <c r="U57" s="142"/>
      <c r="V57" s="141"/>
      <c r="W57" s="126"/>
      <c r="X57" s="126"/>
      <c r="Y57" s="126"/>
      <c r="Z57" s="126"/>
      <c r="AA57" s="126"/>
      <c r="AB57" s="126"/>
      <c r="AC57" s="126"/>
      <c r="AD57" s="126"/>
      <c r="AE57" s="126"/>
      <c r="AF57" s="126"/>
      <c r="AG57" s="126"/>
      <c r="AH57" s="126"/>
      <c r="AI57" s="126"/>
      <c r="AJ57" s="126"/>
      <c r="AK57" s="126"/>
      <c r="AL57" s="126"/>
      <c r="AM57" s="126"/>
      <c r="AN57" s="126"/>
      <c r="AO57" s="126"/>
    </row>
    <row r="58" spans="1:41" ht="12.75" customHeight="1" x14ac:dyDescent="0.25">
      <c r="A58" s="127"/>
      <c r="B58" s="638"/>
      <c r="C58" s="141"/>
      <c r="D58" s="141"/>
      <c r="E58" s="141"/>
      <c r="F58" s="141"/>
      <c r="G58" s="141"/>
      <c r="H58" s="141"/>
      <c r="I58" s="141"/>
      <c r="J58" s="126"/>
      <c r="K58" s="141"/>
      <c r="L58" s="141"/>
      <c r="M58" s="141"/>
      <c r="N58" s="142"/>
      <c r="O58" s="142"/>
      <c r="P58" s="142"/>
      <c r="Q58" s="142"/>
      <c r="R58" s="142"/>
      <c r="S58" s="142"/>
      <c r="T58" s="142"/>
      <c r="U58" s="142"/>
      <c r="V58" s="141"/>
      <c r="W58" s="126"/>
      <c r="X58" s="126"/>
      <c r="Y58" s="126"/>
      <c r="Z58" s="126"/>
      <c r="AA58" s="126"/>
      <c r="AB58" s="126"/>
      <c r="AC58" s="126"/>
      <c r="AD58" s="126"/>
      <c r="AE58" s="126"/>
      <c r="AF58" s="126"/>
      <c r="AG58" s="126"/>
      <c r="AH58" s="126"/>
      <c r="AI58" s="126"/>
      <c r="AJ58" s="126"/>
      <c r="AK58" s="126"/>
      <c r="AL58" s="126"/>
      <c r="AM58" s="126"/>
      <c r="AN58" s="126"/>
      <c r="AO58" s="126"/>
    </row>
    <row r="59" spans="1:41" ht="12.75" customHeight="1" x14ac:dyDescent="0.25">
      <c r="A59" s="127"/>
      <c r="B59" s="638"/>
      <c r="C59" s="141"/>
      <c r="D59" s="141"/>
      <c r="E59" s="141"/>
      <c r="F59" s="141"/>
      <c r="G59" s="141"/>
      <c r="H59" s="141"/>
      <c r="I59" s="141"/>
      <c r="J59" s="126"/>
      <c r="K59" s="141"/>
      <c r="L59" s="141"/>
      <c r="M59" s="141"/>
      <c r="N59" s="142"/>
      <c r="O59" s="142"/>
      <c r="P59" s="142"/>
      <c r="Q59" s="142"/>
      <c r="R59" s="142"/>
      <c r="S59" s="142"/>
      <c r="T59" s="142"/>
      <c r="U59" s="142"/>
      <c r="V59" s="141"/>
      <c r="W59" s="126"/>
      <c r="X59" s="126"/>
      <c r="Y59" s="126"/>
      <c r="Z59" s="126"/>
      <c r="AA59" s="126"/>
      <c r="AB59" s="126"/>
      <c r="AC59" s="126"/>
      <c r="AD59" s="126"/>
      <c r="AE59" s="126"/>
      <c r="AF59" s="126"/>
      <c r="AG59" s="126"/>
      <c r="AH59" s="126"/>
      <c r="AI59" s="126"/>
      <c r="AJ59" s="126"/>
      <c r="AK59" s="126"/>
      <c r="AL59" s="126"/>
      <c r="AM59" s="126"/>
      <c r="AN59" s="126"/>
      <c r="AO59" s="126"/>
    </row>
    <row r="60" spans="1:41" ht="12.75" customHeight="1" x14ac:dyDescent="0.25">
      <c r="A60" s="127"/>
      <c r="B60" s="638"/>
      <c r="C60" s="141"/>
      <c r="D60" s="141"/>
      <c r="E60" s="141"/>
      <c r="F60" s="141"/>
      <c r="G60" s="141"/>
      <c r="H60" s="141"/>
      <c r="I60" s="141"/>
      <c r="J60" s="126"/>
      <c r="K60" s="141"/>
      <c r="L60" s="141"/>
      <c r="M60" s="141"/>
      <c r="N60" s="142"/>
      <c r="O60" s="142"/>
      <c r="P60" s="142"/>
      <c r="Q60" s="142"/>
      <c r="R60" s="142"/>
      <c r="S60" s="142"/>
      <c r="T60" s="142"/>
      <c r="U60" s="142"/>
      <c r="V60" s="141"/>
      <c r="W60" s="126"/>
      <c r="X60" s="126"/>
      <c r="Y60" s="126"/>
      <c r="Z60" s="126"/>
      <c r="AA60" s="126"/>
      <c r="AB60" s="126"/>
      <c r="AC60" s="126"/>
      <c r="AD60" s="126"/>
      <c r="AE60" s="126"/>
      <c r="AF60" s="126"/>
      <c r="AG60" s="126"/>
      <c r="AH60" s="126"/>
      <c r="AI60" s="126"/>
      <c r="AJ60" s="126"/>
      <c r="AK60" s="126"/>
      <c r="AL60" s="126"/>
      <c r="AM60" s="126"/>
      <c r="AN60" s="126"/>
      <c r="AO60" s="126"/>
    </row>
    <row r="61" spans="1:41" ht="12.75" customHeight="1" x14ac:dyDescent="0.25">
      <c r="A61" s="127"/>
      <c r="B61" s="638"/>
      <c r="C61" s="141"/>
      <c r="D61" s="141"/>
      <c r="E61" s="141"/>
      <c r="F61" s="141"/>
      <c r="G61" s="141"/>
      <c r="H61" s="141"/>
      <c r="I61" s="141"/>
      <c r="J61" s="126"/>
      <c r="K61" s="141"/>
      <c r="L61" s="141"/>
      <c r="M61" s="141"/>
      <c r="N61" s="142"/>
      <c r="O61" s="142"/>
      <c r="P61" s="142"/>
      <c r="Q61" s="142"/>
      <c r="R61" s="142"/>
      <c r="S61" s="142"/>
      <c r="T61" s="142"/>
      <c r="U61" s="142"/>
      <c r="V61" s="141"/>
      <c r="W61" s="126"/>
      <c r="X61" s="126"/>
      <c r="Y61" s="126"/>
      <c r="Z61" s="126"/>
      <c r="AA61" s="126"/>
      <c r="AB61" s="126"/>
      <c r="AC61" s="126"/>
      <c r="AD61" s="126"/>
      <c r="AE61" s="126"/>
      <c r="AF61" s="126"/>
      <c r="AG61" s="126"/>
      <c r="AH61" s="126"/>
      <c r="AI61" s="126"/>
      <c r="AJ61" s="126"/>
      <c r="AK61" s="126"/>
      <c r="AL61" s="126"/>
      <c r="AM61" s="126"/>
      <c r="AN61" s="126"/>
      <c r="AO61" s="126"/>
    </row>
    <row r="62" spans="1:41" ht="12.75" customHeight="1" x14ac:dyDescent="0.25">
      <c r="A62" s="127"/>
      <c r="B62" s="638"/>
      <c r="C62" s="141"/>
      <c r="D62" s="141"/>
      <c r="E62" s="141"/>
      <c r="F62" s="141"/>
      <c r="G62" s="141"/>
      <c r="H62" s="141"/>
      <c r="I62" s="141"/>
      <c r="J62" s="126"/>
      <c r="K62" s="141"/>
      <c r="L62" s="141"/>
      <c r="M62" s="141"/>
      <c r="N62" s="142"/>
      <c r="O62" s="142"/>
      <c r="P62" s="142"/>
      <c r="Q62" s="142"/>
      <c r="R62" s="142"/>
      <c r="S62" s="142"/>
      <c r="T62" s="142"/>
      <c r="U62" s="142"/>
      <c r="V62" s="141"/>
      <c r="W62" s="126"/>
      <c r="X62" s="126"/>
      <c r="Y62" s="126"/>
      <c r="Z62" s="126"/>
      <c r="AA62" s="126"/>
      <c r="AB62" s="126"/>
      <c r="AC62" s="126"/>
      <c r="AD62" s="126"/>
      <c r="AE62" s="126"/>
      <c r="AF62" s="126"/>
      <c r="AG62" s="126"/>
      <c r="AH62" s="126"/>
      <c r="AI62" s="126"/>
      <c r="AJ62" s="126"/>
      <c r="AK62" s="126"/>
      <c r="AL62" s="126"/>
      <c r="AM62" s="126"/>
      <c r="AN62" s="126"/>
      <c r="AO62" s="126"/>
    </row>
    <row r="63" spans="1:41" ht="12.75" customHeight="1" x14ac:dyDescent="0.25">
      <c r="A63" s="127"/>
      <c r="B63" s="638"/>
      <c r="C63" s="141"/>
      <c r="D63" s="141"/>
      <c r="E63" s="141"/>
      <c r="F63" s="141"/>
      <c r="G63" s="141"/>
      <c r="H63" s="141"/>
      <c r="I63" s="141"/>
      <c r="J63" s="126"/>
      <c r="K63" s="141"/>
      <c r="L63" s="141"/>
      <c r="M63" s="141"/>
      <c r="N63" s="142"/>
      <c r="O63" s="142"/>
      <c r="P63" s="142"/>
      <c r="Q63" s="142"/>
      <c r="R63" s="142"/>
      <c r="S63" s="142"/>
      <c r="T63" s="142"/>
      <c r="U63" s="142"/>
      <c r="V63" s="141"/>
      <c r="W63" s="126"/>
      <c r="X63" s="126"/>
      <c r="Y63" s="126"/>
      <c r="Z63" s="126"/>
      <c r="AA63" s="126"/>
      <c r="AB63" s="126"/>
      <c r="AC63" s="126"/>
      <c r="AD63" s="126"/>
      <c r="AE63" s="126"/>
      <c r="AF63" s="126"/>
      <c r="AG63" s="126"/>
      <c r="AH63" s="126"/>
      <c r="AI63" s="126"/>
      <c r="AJ63" s="126"/>
      <c r="AK63" s="126"/>
      <c r="AL63" s="126"/>
      <c r="AM63" s="126"/>
      <c r="AN63" s="126"/>
      <c r="AO63" s="126"/>
    </row>
    <row r="64" spans="1:41" ht="12.75" customHeight="1" x14ac:dyDescent="0.25">
      <c r="A64" s="127"/>
      <c r="B64" s="638"/>
      <c r="C64" s="141"/>
      <c r="D64" s="141"/>
      <c r="E64" s="141"/>
      <c r="F64" s="141"/>
      <c r="G64" s="141"/>
      <c r="H64" s="141"/>
      <c r="I64" s="141"/>
      <c r="J64" s="126"/>
      <c r="K64" s="141"/>
      <c r="L64" s="141"/>
      <c r="M64" s="141"/>
      <c r="N64" s="142"/>
      <c r="O64" s="142"/>
      <c r="P64" s="142"/>
      <c r="Q64" s="142"/>
      <c r="R64" s="142"/>
      <c r="S64" s="142"/>
      <c r="T64" s="142"/>
      <c r="U64" s="142"/>
      <c r="V64" s="141"/>
      <c r="W64" s="126"/>
      <c r="X64" s="126"/>
      <c r="Y64" s="126"/>
      <c r="Z64" s="126"/>
      <c r="AA64" s="126"/>
      <c r="AB64" s="126"/>
      <c r="AC64" s="126"/>
      <c r="AD64" s="126"/>
      <c r="AE64" s="126"/>
      <c r="AF64" s="126"/>
      <c r="AG64" s="126"/>
      <c r="AH64" s="126"/>
      <c r="AI64" s="126"/>
      <c r="AJ64" s="126"/>
      <c r="AK64" s="126"/>
      <c r="AL64" s="126"/>
      <c r="AM64" s="126"/>
      <c r="AN64" s="126"/>
      <c r="AO64" s="126"/>
    </row>
    <row r="65" spans="1:41" ht="12.75" customHeight="1" x14ac:dyDescent="0.25">
      <c r="A65" s="127"/>
      <c r="B65" s="638"/>
      <c r="C65" s="141"/>
      <c r="D65" s="141"/>
      <c r="E65" s="141"/>
      <c r="F65" s="141"/>
      <c r="G65" s="141"/>
      <c r="H65" s="141"/>
      <c r="I65" s="141"/>
      <c r="J65" s="126"/>
      <c r="K65" s="141"/>
      <c r="L65" s="141"/>
      <c r="M65" s="141"/>
      <c r="N65" s="142"/>
      <c r="O65" s="142"/>
      <c r="P65" s="142"/>
      <c r="Q65" s="142"/>
      <c r="R65" s="142"/>
      <c r="S65" s="142"/>
      <c r="T65" s="142"/>
      <c r="U65" s="142"/>
      <c r="V65" s="141"/>
      <c r="W65" s="126"/>
      <c r="X65" s="126"/>
      <c r="Y65" s="126"/>
      <c r="Z65" s="126"/>
      <c r="AA65" s="126"/>
      <c r="AB65" s="126"/>
      <c r="AC65" s="126"/>
      <c r="AD65" s="126"/>
      <c r="AE65" s="126"/>
      <c r="AF65" s="126"/>
      <c r="AG65" s="126"/>
      <c r="AH65" s="126"/>
      <c r="AI65" s="126"/>
      <c r="AJ65" s="126"/>
      <c r="AK65" s="126"/>
      <c r="AL65" s="126"/>
      <c r="AM65" s="126"/>
      <c r="AN65" s="126"/>
      <c r="AO65" s="126"/>
    </row>
    <row r="66" spans="1:41" ht="12.75" customHeight="1" x14ac:dyDescent="0.25">
      <c r="A66" s="127"/>
      <c r="B66" s="638"/>
      <c r="C66" s="141"/>
      <c r="D66" s="141"/>
      <c r="E66" s="141"/>
      <c r="F66" s="141"/>
      <c r="G66" s="141"/>
      <c r="H66" s="141"/>
      <c r="I66" s="141"/>
      <c r="J66" s="126"/>
      <c r="K66" s="141"/>
      <c r="L66" s="141"/>
      <c r="M66" s="141"/>
      <c r="N66" s="142"/>
      <c r="O66" s="142"/>
      <c r="P66" s="142"/>
      <c r="Q66" s="142"/>
      <c r="R66" s="142"/>
      <c r="S66" s="142"/>
      <c r="T66" s="142"/>
      <c r="U66" s="142"/>
      <c r="V66" s="141"/>
      <c r="W66" s="126"/>
      <c r="X66" s="126"/>
      <c r="Y66" s="126"/>
      <c r="Z66" s="126"/>
      <c r="AA66" s="126"/>
      <c r="AB66" s="126"/>
      <c r="AC66" s="126"/>
      <c r="AD66" s="126"/>
      <c r="AE66" s="126"/>
      <c r="AF66" s="126"/>
      <c r="AG66" s="126"/>
      <c r="AH66" s="126"/>
      <c r="AI66" s="126"/>
      <c r="AJ66" s="126"/>
      <c r="AK66" s="126"/>
      <c r="AL66" s="126"/>
      <c r="AM66" s="126"/>
      <c r="AN66" s="126"/>
      <c r="AO66" s="126"/>
    </row>
    <row r="67" spans="1:41" ht="12.75" customHeight="1" x14ac:dyDescent="0.25">
      <c r="A67" s="127"/>
      <c r="B67" s="638"/>
      <c r="C67" s="141"/>
      <c r="D67" s="141"/>
      <c r="E67" s="141"/>
      <c r="F67" s="141"/>
      <c r="G67" s="141"/>
      <c r="H67" s="141"/>
      <c r="I67" s="141"/>
      <c r="J67" s="126"/>
      <c r="K67" s="141"/>
      <c r="L67" s="141"/>
      <c r="M67" s="141"/>
      <c r="N67" s="142"/>
      <c r="O67" s="142"/>
      <c r="P67" s="142"/>
      <c r="Q67" s="142"/>
      <c r="R67" s="142"/>
      <c r="S67" s="142"/>
      <c r="T67" s="142"/>
      <c r="U67" s="142"/>
      <c r="V67" s="141"/>
      <c r="W67" s="126"/>
      <c r="X67" s="126"/>
      <c r="Y67" s="126"/>
      <c r="Z67" s="126"/>
      <c r="AA67" s="126"/>
      <c r="AB67" s="126"/>
      <c r="AC67" s="126"/>
      <c r="AD67" s="126"/>
      <c r="AE67" s="126"/>
      <c r="AF67" s="126"/>
      <c r="AG67" s="126"/>
      <c r="AH67" s="126"/>
      <c r="AI67" s="126"/>
      <c r="AJ67" s="126"/>
      <c r="AK67" s="126"/>
      <c r="AL67" s="126"/>
      <c r="AM67" s="126"/>
      <c r="AN67" s="126"/>
      <c r="AO67" s="126"/>
    </row>
    <row r="68" spans="1:41" ht="12.75" customHeight="1" x14ac:dyDescent="0.25">
      <c r="A68" s="127"/>
      <c r="B68" s="638"/>
      <c r="C68" s="141"/>
      <c r="D68" s="141"/>
      <c r="E68" s="141"/>
      <c r="F68" s="141"/>
      <c r="G68" s="141"/>
      <c r="H68" s="141"/>
      <c r="I68" s="141"/>
      <c r="J68" s="126"/>
      <c r="K68" s="141"/>
      <c r="L68" s="141"/>
      <c r="M68" s="141"/>
      <c r="N68" s="142"/>
      <c r="O68" s="142"/>
      <c r="P68" s="142"/>
      <c r="Q68" s="142"/>
      <c r="R68" s="142"/>
      <c r="S68" s="142"/>
      <c r="T68" s="142"/>
      <c r="U68" s="142"/>
      <c r="V68" s="141"/>
      <c r="W68" s="126"/>
      <c r="X68" s="126"/>
      <c r="Y68" s="126"/>
      <c r="Z68" s="126"/>
      <c r="AA68" s="126"/>
      <c r="AB68" s="126"/>
      <c r="AC68" s="126"/>
      <c r="AD68" s="126"/>
      <c r="AE68" s="126"/>
      <c r="AF68" s="126"/>
      <c r="AG68" s="126"/>
      <c r="AH68" s="126"/>
      <c r="AI68" s="126"/>
      <c r="AJ68" s="126"/>
      <c r="AK68" s="126"/>
      <c r="AL68" s="126"/>
      <c r="AM68" s="126"/>
      <c r="AN68" s="126"/>
      <c r="AO68" s="126"/>
    </row>
    <row r="69" spans="1:41" ht="12.75" customHeight="1" x14ac:dyDescent="0.25">
      <c r="A69" s="127"/>
      <c r="B69" s="638"/>
      <c r="C69" s="141"/>
      <c r="D69" s="141"/>
      <c r="E69" s="141"/>
      <c r="F69" s="141"/>
      <c r="G69" s="141"/>
      <c r="H69" s="141"/>
      <c r="I69" s="141"/>
      <c r="J69" s="126"/>
      <c r="K69" s="141"/>
      <c r="L69" s="141"/>
      <c r="M69" s="141"/>
      <c r="N69" s="142"/>
      <c r="O69" s="142"/>
      <c r="P69" s="142"/>
      <c r="Q69" s="142"/>
      <c r="R69" s="142"/>
      <c r="S69" s="142"/>
      <c r="T69" s="142"/>
      <c r="U69" s="142"/>
      <c r="V69" s="141"/>
      <c r="W69" s="126"/>
      <c r="X69" s="126"/>
      <c r="Y69" s="126"/>
      <c r="Z69" s="126"/>
      <c r="AA69" s="126"/>
      <c r="AB69" s="126"/>
      <c r="AC69" s="126"/>
      <c r="AD69" s="126"/>
      <c r="AE69" s="126"/>
      <c r="AF69" s="126"/>
      <c r="AG69" s="126"/>
      <c r="AH69" s="126"/>
      <c r="AI69" s="126"/>
      <c r="AJ69" s="126"/>
      <c r="AK69" s="126"/>
      <c r="AL69" s="126"/>
      <c r="AM69" s="126"/>
      <c r="AN69" s="126"/>
      <c r="AO69" s="126"/>
    </row>
    <row r="70" spans="1:41" ht="12.75" customHeight="1" x14ac:dyDescent="0.25">
      <c r="A70" s="127"/>
      <c r="B70" s="638"/>
      <c r="C70" s="141"/>
      <c r="D70" s="141"/>
      <c r="E70" s="141"/>
      <c r="F70" s="141"/>
      <c r="G70" s="141"/>
      <c r="H70" s="141"/>
      <c r="I70" s="141"/>
      <c r="J70" s="126"/>
      <c r="K70" s="141"/>
      <c r="L70" s="141"/>
      <c r="M70" s="141"/>
      <c r="N70" s="142"/>
      <c r="O70" s="142"/>
      <c r="P70" s="142"/>
      <c r="Q70" s="142"/>
      <c r="R70" s="142"/>
      <c r="S70" s="142"/>
      <c r="T70" s="142"/>
      <c r="U70" s="142"/>
      <c r="V70" s="141"/>
      <c r="W70" s="126"/>
      <c r="X70" s="126"/>
      <c r="Y70" s="126"/>
      <c r="Z70" s="126"/>
      <c r="AA70" s="126"/>
      <c r="AB70" s="126"/>
      <c r="AC70" s="126"/>
      <c r="AD70" s="126"/>
      <c r="AE70" s="126"/>
      <c r="AF70" s="126"/>
      <c r="AG70" s="126"/>
      <c r="AH70" s="126"/>
      <c r="AI70" s="126"/>
      <c r="AJ70" s="126"/>
      <c r="AK70" s="126"/>
      <c r="AL70" s="126"/>
      <c r="AM70" s="126"/>
      <c r="AN70" s="126"/>
      <c r="AO70" s="126"/>
    </row>
    <row r="71" spans="1:41" ht="12.75" customHeight="1" x14ac:dyDescent="0.25">
      <c r="A71" s="127"/>
      <c r="B71" s="638"/>
      <c r="C71" s="141"/>
      <c r="D71" s="141"/>
      <c r="E71" s="141"/>
      <c r="F71" s="141"/>
      <c r="G71" s="141"/>
      <c r="H71" s="141"/>
      <c r="I71" s="141"/>
      <c r="J71" s="126"/>
      <c r="K71" s="141"/>
      <c r="L71" s="141"/>
      <c r="M71" s="141"/>
      <c r="N71" s="142"/>
      <c r="O71" s="142"/>
      <c r="P71" s="142"/>
      <c r="Q71" s="142"/>
      <c r="R71" s="142"/>
      <c r="S71" s="142"/>
      <c r="T71" s="142"/>
      <c r="U71" s="142"/>
      <c r="V71" s="141"/>
      <c r="W71" s="126"/>
      <c r="X71" s="126"/>
      <c r="Y71" s="126"/>
      <c r="Z71" s="126"/>
      <c r="AA71" s="126"/>
      <c r="AB71" s="126"/>
      <c r="AC71" s="126"/>
      <c r="AD71" s="126"/>
      <c r="AE71" s="126"/>
      <c r="AF71" s="126"/>
      <c r="AG71" s="126"/>
      <c r="AH71" s="126"/>
      <c r="AI71" s="126"/>
      <c r="AJ71" s="126"/>
      <c r="AK71" s="126"/>
      <c r="AL71" s="126"/>
      <c r="AM71" s="126"/>
      <c r="AN71" s="126"/>
      <c r="AO71" s="126"/>
    </row>
    <row r="72" spans="1:41" ht="12.75" customHeight="1" x14ac:dyDescent="0.25">
      <c r="A72" s="127"/>
      <c r="B72" s="638"/>
      <c r="C72" s="141"/>
      <c r="D72" s="141"/>
      <c r="E72" s="141"/>
      <c r="F72" s="141"/>
      <c r="G72" s="141"/>
      <c r="H72" s="141"/>
      <c r="I72" s="141"/>
      <c r="J72" s="126"/>
      <c r="K72" s="141"/>
      <c r="L72" s="141"/>
      <c r="M72" s="141"/>
      <c r="N72" s="142"/>
      <c r="O72" s="142"/>
      <c r="P72" s="142"/>
      <c r="Q72" s="142"/>
      <c r="R72" s="142"/>
      <c r="S72" s="142"/>
      <c r="T72" s="142"/>
      <c r="U72" s="142"/>
      <c r="V72" s="141"/>
      <c r="W72" s="126"/>
      <c r="X72" s="126"/>
      <c r="Y72" s="126"/>
      <c r="Z72" s="126"/>
      <c r="AA72" s="126"/>
      <c r="AB72" s="126"/>
      <c r="AC72" s="126"/>
      <c r="AD72" s="126"/>
      <c r="AE72" s="126"/>
      <c r="AF72" s="126"/>
      <c r="AG72" s="126"/>
      <c r="AH72" s="126"/>
      <c r="AI72" s="126"/>
      <c r="AJ72" s="126"/>
      <c r="AK72" s="126"/>
      <c r="AL72" s="126"/>
      <c r="AM72" s="126"/>
      <c r="AN72" s="126"/>
      <c r="AO72" s="126"/>
    </row>
    <row r="73" spans="1:41" ht="12.75" customHeight="1" x14ac:dyDescent="0.25">
      <c r="A73" s="127"/>
      <c r="B73" s="638"/>
      <c r="C73" s="141"/>
      <c r="D73" s="141"/>
      <c r="E73" s="141"/>
      <c r="F73" s="141"/>
      <c r="G73" s="141"/>
      <c r="H73" s="141"/>
      <c r="I73" s="141"/>
      <c r="J73" s="126"/>
      <c r="K73" s="141"/>
      <c r="L73" s="141"/>
      <c r="M73" s="141"/>
      <c r="N73" s="142"/>
      <c r="O73" s="142"/>
      <c r="P73" s="142"/>
      <c r="Q73" s="142"/>
      <c r="R73" s="142"/>
      <c r="S73" s="142"/>
      <c r="T73" s="142"/>
      <c r="U73" s="142"/>
      <c r="V73" s="141"/>
      <c r="W73" s="126"/>
      <c r="X73" s="126"/>
      <c r="Y73" s="126"/>
      <c r="Z73" s="126"/>
      <c r="AA73" s="126"/>
      <c r="AB73" s="126"/>
      <c r="AC73" s="126"/>
      <c r="AD73" s="126"/>
      <c r="AE73" s="126"/>
      <c r="AF73" s="126"/>
      <c r="AG73" s="126"/>
      <c r="AH73" s="126"/>
      <c r="AI73" s="126"/>
      <c r="AJ73" s="126"/>
      <c r="AK73" s="126"/>
      <c r="AL73" s="126"/>
      <c r="AM73" s="126"/>
      <c r="AN73" s="126"/>
      <c r="AO73" s="126"/>
    </row>
    <row r="74" spans="1:41" ht="12.75" customHeight="1" x14ac:dyDescent="0.25">
      <c r="A74" s="127"/>
      <c r="B74" s="638"/>
      <c r="C74" s="141"/>
      <c r="D74" s="141"/>
      <c r="E74" s="141"/>
      <c r="F74" s="141"/>
      <c r="G74" s="141"/>
      <c r="H74" s="141"/>
      <c r="I74" s="141"/>
      <c r="J74" s="126"/>
      <c r="K74" s="141"/>
      <c r="L74" s="141"/>
      <c r="M74" s="141"/>
      <c r="N74" s="142"/>
      <c r="O74" s="142"/>
      <c r="P74" s="142"/>
      <c r="Q74" s="142"/>
      <c r="R74" s="142"/>
      <c r="S74" s="142"/>
      <c r="T74" s="142"/>
      <c r="U74" s="142"/>
      <c r="V74" s="141"/>
      <c r="W74" s="126"/>
      <c r="X74" s="126"/>
      <c r="Y74" s="126"/>
      <c r="Z74" s="126"/>
      <c r="AA74" s="126"/>
      <c r="AB74" s="126"/>
      <c r="AC74" s="126"/>
      <c r="AD74" s="126"/>
      <c r="AE74" s="126"/>
      <c r="AF74" s="126"/>
      <c r="AG74" s="126"/>
      <c r="AH74" s="126"/>
      <c r="AI74" s="126"/>
      <c r="AJ74" s="126"/>
      <c r="AK74" s="126"/>
      <c r="AL74" s="126"/>
      <c r="AM74" s="126"/>
      <c r="AN74" s="126"/>
      <c r="AO74" s="126"/>
    </row>
    <row r="75" spans="1:41" ht="12.75" customHeight="1" x14ac:dyDescent="0.25">
      <c r="A75" s="127"/>
      <c r="B75" s="638"/>
      <c r="C75" s="141"/>
      <c r="D75" s="141"/>
      <c r="E75" s="141"/>
      <c r="F75" s="141"/>
      <c r="G75" s="141"/>
      <c r="H75" s="141"/>
      <c r="I75" s="141"/>
      <c r="J75" s="126"/>
      <c r="K75" s="141"/>
      <c r="L75" s="141"/>
      <c r="M75" s="141"/>
      <c r="N75" s="142"/>
      <c r="O75" s="142"/>
      <c r="P75" s="142"/>
      <c r="Q75" s="142"/>
      <c r="R75" s="142"/>
      <c r="S75" s="142"/>
      <c r="T75" s="142"/>
      <c r="U75" s="142"/>
      <c r="V75" s="141"/>
      <c r="W75" s="126"/>
      <c r="X75" s="126"/>
      <c r="Y75" s="126"/>
      <c r="Z75" s="126"/>
      <c r="AA75" s="126"/>
      <c r="AB75" s="126"/>
      <c r="AC75" s="126"/>
      <c r="AD75" s="126"/>
      <c r="AE75" s="126"/>
      <c r="AF75" s="126"/>
      <c r="AG75" s="126"/>
      <c r="AH75" s="126"/>
      <c r="AI75" s="126"/>
      <c r="AJ75" s="126"/>
      <c r="AK75" s="126"/>
      <c r="AL75" s="126"/>
      <c r="AM75" s="126"/>
      <c r="AN75" s="126"/>
      <c r="AO75" s="126"/>
    </row>
    <row r="76" spans="1:41" ht="12.75" customHeight="1" x14ac:dyDescent="0.25">
      <c r="A76" s="127"/>
      <c r="B76" s="638"/>
      <c r="C76" s="141"/>
      <c r="D76" s="141"/>
      <c r="E76" s="141"/>
      <c r="F76" s="141"/>
      <c r="G76" s="141"/>
      <c r="H76" s="141"/>
      <c r="I76" s="141"/>
      <c r="J76" s="126"/>
      <c r="K76" s="141"/>
      <c r="L76" s="141"/>
      <c r="M76" s="141"/>
      <c r="N76" s="142"/>
      <c r="O76" s="142"/>
      <c r="P76" s="142"/>
      <c r="Q76" s="142"/>
      <c r="R76" s="142"/>
      <c r="S76" s="142"/>
      <c r="T76" s="142"/>
      <c r="U76" s="142"/>
      <c r="V76" s="141"/>
      <c r="W76" s="126"/>
      <c r="X76" s="126"/>
      <c r="Y76" s="126"/>
      <c r="Z76" s="126"/>
      <c r="AA76" s="126"/>
      <c r="AB76" s="126"/>
      <c r="AC76" s="126"/>
      <c r="AD76" s="126"/>
      <c r="AE76" s="126"/>
      <c r="AF76" s="126"/>
      <c r="AG76" s="126"/>
      <c r="AH76" s="126"/>
      <c r="AI76" s="126"/>
      <c r="AJ76" s="126"/>
      <c r="AK76" s="126"/>
      <c r="AL76" s="126"/>
      <c r="AM76" s="126"/>
      <c r="AN76" s="126"/>
      <c r="AO76" s="126"/>
    </row>
    <row r="77" spans="1:41" ht="12.75" customHeight="1" x14ac:dyDescent="0.25">
      <c r="A77" s="127"/>
      <c r="B77" s="638"/>
      <c r="C77" s="141"/>
      <c r="D77" s="141"/>
      <c r="E77" s="141"/>
      <c r="F77" s="141"/>
      <c r="G77" s="141"/>
      <c r="H77" s="141"/>
      <c r="I77" s="141"/>
      <c r="J77" s="126"/>
      <c r="K77" s="141"/>
      <c r="L77" s="141"/>
      <c r="M77" s="141"/>
      <c r="N77" s="142"/>
      <c r="O77" s="142"/>
      <c r="P77" s="142"/>
      <c r="Q77" s="142"/>
      <c r="R77" s="142"/>
      <c r="S77" s="142"/>
      <c r="T77" s="142"/>
      <c r="U77" s="142"/>
      <c r="V77" s="141"/>
      <c r="W77" s="126"/>
      <c r="X77" s="126"/>
      <c r="Y77" s="126"/>
      <c r="Z77" s="126"/>
      <c r="AA77" s="126"/>
      <c r="AB77" s="126"/>
      <c r="AC77" s="126"/>
      <c r="AD77" s="126"/>
      <c r="AE77" s="126"/>
      <c r="AF77" s="126"/>
      <c r="AG77" s="126"/>
      <c r="AH77" s="126"/>
      <c r="AI77" s="126"/>
      <c r="AJ77" s="126"/>
      <c r="AK77" s="126"/>
      <c r="AL77" s="126"/>
      <c r="AM77" s="126"/>
      <c r="AN77" s="126"/>
      <c r="AO77" s="126"/>
    </row>
    <row r="78" spans="1:41" ht="12.75" customHeight="1" x14ac:dyDescent="0.25">
      <c r="A78" s="127"/>
      <c r="B78" s="638"/>
      <c r="C78" s="141"/>
      <c r="D78" s="141"/>
      <c r="E78" s="141"/>
      <c r="F78" s="141"/>
      <c r="G78" s="141"/>
      <c r="H78" s="141"/>
      <c r="I78" s="141"/>
      <c r="J78" s="126"/>
      <c r="K78" s="141"/>
      <c r="L78" s="141"/>
      <c r="M78" s="141"/>
      <c r="N78" s="142"/>
      <c r="O78" s="142"/>
      <c r="P78" s="142"/>
      <c r="Q78" s="142"/>
      <c r="R78" s="142"/>
      <c r="S78" s="142"/>
      <c r="T78" s="142"/>
      <c r="U78" s="142"/>
      <c r="V78" s="141"/>
      <c r="W78" s="126"/>
      <c r="X78" s="126"/>
      <c r="Y78" s="126"/>
      <c r="Z78" s="126"/>
      <c r="AA78" s="126"/>
      <c r="AB78" s="126"/>
      <c r="AC78" s="126"/>
      <c r="AD78" s="126"/>
      <c r="AE78" s="126"/>
      <c r="AF78" s="126"/>
      <c r="AG78" s="126"/>
      <c r="AH78" s="126"/>
      <c r="AI78" s="126"/>
      <c r="AJ78" s="126"/>
      <c r="AK78" s="126"/>
      <c r="AL78" s="126"/>
      <c r="AM78" s="126"/>
      <c r="AN78" s="126"/>
      <c r="AO78" s="126"/>
    </row>
    <row r="79" spans="1:41" ht="12.75" customHeight="1" x14ac:dyDescent="0.25">
      <c r="A79" s="127"/>
      <c r="B79" s="638"/>
      <c r="C79" s="141"/>
      <c r="D79" s="141"/>
      <c r="E79" s="141"/>
      <c r="F79" s="141"/>
      <c r="G79" s="141"/>
      <c r="H79" s="141"/>
      <c r="I79" s="141"/>
      <c r="J79" s="126"/>
      <c r="K79" s="141"/>
      <c r="L79" s="141"/>
      <c r="M79" s="141"/>
      <c r="N79" s="142"/>
      <c r="O79" s="142"/>
      <c r="P79" s="142"/>
      <c r="Q79" s="142"/>
      <c r="R79" s="142"/>
      <c r="S79" s="142"/>
      <c r="T79" s="142"/>
      <c r="U79" s="142"/>
      <c r="V79" s="141"/>
      <c r="W79" s="126"/>
      <c r="X79" s="126"/>
      <c r="Y79" s="126"/>
      <c r="Z79" s="126"/>
      <c r="AA79" s="126"/>
      <c r="AB79" s="126"/>
      <c r="AC79" s="126"/>
      <c r="AD79" s="126"/>
      <c r="AE79" s="126"/>
      <c r="AF79" s="126"/>
      <c r="AG79" s="126"/>
      <c r="AH79" s="126"/>
      <c r="AI79" s="126"/>
      <c r="AJ79" s="126"/>
      <c r="AK79" s="126"/>
      <c r="AL79" s="126"/>
      <c r="AM79" s="126"/>
      <c r="AN79" s="126"/>
      <c r="AO79" s="126"/>
    </row>
    <row r="80" spans="1:41" ht="12.75" customHeight="1" x14ac:dyDescent="0.25">
      <c r="A80" s="127"/>
      <c r="B80" s="638"/>
      <c r="C80" s="141"/>
      <c r="D80" s="141"/>
      <c r="E80" s="141"/>
      <c r="F80" s="141"/>
      <c r="G80" s="141"/>
      <c r="H80" s="141"/>
      <c r="I80" s="141"/>
      <c r="J80" s="126"/>
      <c r="K80" s="141"/>
      <c r="L80" s="141"/>
      <c r="M80" s="141"/>
      <c r="N80" s="142"/>
      <c r="O80" s="142"/>
      <c r="P80" s="142"/>
      <c r="Q80" s="142"/>
      <c r="R80" s="142"/>
      <c r="S80" s="142"/>
      <c r="T80" s="142"/>
      <c r="U80" s="142"/>
      <c r="V80" s="141"/>
      <c r="W80" s="126"/>
      <c r="X80" s="126"/>
      <c r="Y80" s="126"/>
      <c r="Z80" s="126"/>
      <c r="AA80" s="126"/>
      <c r="AB80" s="126"/>
      <c r="AC80" s="126"/>
      <c r="AD80" s="126"/>
      <c r="AE80" s="126"/>
      <c r="AF80" s="126"/>
      <c r="AG80" s="126"/>
      <c r="AH80" s="126"/>
      <c r="AI80" s="126"/>
      <c r="AJ80" s="126"/>
      <c r="AK80" s="126"/>
      <c r="AL80" s="126"/>
      <c r="AM80" s="126"/>
      <c r="AN80" s="126"/>
      <c r="AO80" s="126"/>
    </row>
    <row r="81" spans="1:41" ht="12.75" customHeight="1" x14ac:dyDescent="0.25">
      <c r="A81" s="127"/>
      <c r="B81" s="638"/>
      <c r="C81" s="141"/>
      <c r="D81" s="141"/>
      <c r="E81" s="141"/>
      <c r="F81" s="141"/>
      <c r="G81" s="141"/>
      <c r="H81" s="141"/>
      <c r="I81" s="141"/>
      <c r="J81" s="126"/>
      <c r="K81" s="141"/>
      <c r="L81" s="141"/>
      <c r="M81" s="141"/>
      <c r="N81" s="142"/>
      <c r="O81" s="142"/>
      <c r="P81" s="142"/>
      <c r="Q81" s="142"/>
      <c r="R81" s="142"/>
      <c r="S81" s="142"/>
      <c r="T81" s="142"/>
      <c r="U81" s="142"/>
      <c r="V81" s="141"/>
      <c r="W81" s="126"/>
      <c r="X81" s="126"/>
      <c r="Y81" s="126"/>
      <c r="Z81" s="126"/>
      <c r="AA81" s="126"/>
      <c r="AB81" s="126"/>
      <c r="AC81" s="126"/>
      <c r="AD81" s="126"/>
      <c r="AE81" s="126"/>
      <c r="AF81" s="126"/>
      <c r="AG81" s="126"/>
      <c r="AH81" s="126"/>
      <c r="AI81" s="126"/>
      <c r="AJ81" s="126"/>
      <c r="AK81" s="126"/>
      <c r="AL81" s="126"/>
      <c r="AM81" s="126"/>
      <c r="AN81" s="126"/>
      <c r="AO81" s="126"/>
    </row>
    <row r="82" spans="1:41" ht="12.75" customHeight="1" x14ac:dyDescent="0.25">
      <c r="A82" s="127"/>
      <c r="B82" s="638"/>
      <c r="C82" s="141"/>
      <c r="D82" s="141"/>
      <c r="E82" s="141"/>
      <c r="F82" s="141"/>
      <c r="G82" s="141"/>
      <c r="H82" s="141"/>
      <c r="I82" s="141"/>
      <c r="J82" s="126"/>
      <c r="K82" s="141"/>
      <c r="L82" s="141"/>
      <c r="M82" s="141"/>
      <c r="N82" s="142"/>
      <c r="O82" s="142"/>
      <c r="P82" s="142"/>
      <c r="Q82" s="142"/>
      <c r="R82" s="142"/>
      <c r="S82" s="142"/>
      <c r="T82" s="142"/>
      <c r="U82" s="142"/>
      <c r="V82" s="141"/>
      <c r="W82" s="126"/>
      <c r="X82" s="126"/>
      <c r="Y82" s="126"/>
      <c r="Z82" s="126"/>
      <c r="AA82" s="126"/>
      <c r="AB82" s="126"/>
      <c r="AC82" s="126"/>
      <c r="AD82" s="126"/>
      <c r="AE82" s="126"/>
      <c r="AF82" s="126"/>
      <c r="AG82" s="126"/>
      <c r="AH82" s="126"/>
      <c r="AI82" s="126"/>
      <c r="AJ82" s="126"/>
      <c r="AK82" s="126"/>
      <c r="AL82" s="126"/>
      <c r="AM82" s="126"/>
      <c r="AN82" s="126"/>
      <c r="AO82" s="126"/>
    </row>
    <row r="83" spans="1:41" ht="12.75" customHeight="1" x14ac:dyDescent="0.25">
      <c r="A83" s="127"/>
      <c r="B83" s="638"/>
      <c r="C83" s="141"/>
      <c r="D83" s="141"/>
      <c r="E83" s="141"/>
      <c r="F83" s="141"/>
      <c r="G83" s="141"/>
      <c r="H83" s="141"/>
      <c r="I83" s="141"/>
      <c r="J83" s="126"/>
      <c r="K83" s="141"/>
      <c r="L83" s="141"/>
      <c r="M83" s="141"/>
      <c r="N83" s="142"/>
      <c r="O83" s="142"/>
      <c r="P83" s="142"/>
      <c r="Q83" s="142"/>
      <c r="R83" s="142"/>
      <c r="S83" s="142"/>
      <c r="T83" s="142"/>
      <c r="U83" s="142"/>
      <c r="V83" s="141"/>
      <c r="W83" s="126"/>
      <c r="X83" s="126"/>
      <c r="Y83" s="126"/>
      <c r="Z83" s="126"/>
      <c r="AA83" s="126"/>
      <c r="AB83" s="126"/>
      <c r="AC83" s="126"/>
      <c r="AD83" s="126"/>
      <c r="AE83" s="126"/>
      <c r="AF83" s="126"/>
      <c r="AG83" s="126"/>
      <c r="AH83" s="126"/>
      <c r="AI83" s="126"/>
      <c r="AJ83" s="126"/>
      <c r="AK83" s="126"/>
      <c r="AL83" s="126"/>
      <c r="AM83" s="126"/>
      <c r="AN83" s="126"/>
      <c r="AO83" s="126"/>
    </row>
    <row r="84" spans="1:41" ht="12.75" customHeight="1" x14ac:dyDescent="0.25">
      <c r="A84" s="127"/>
      <c r="B84" s="638"/>
      <c r="C84" s="141"/>
      <c r="D84" s="141"/>
      <c r="E84" s="141"/>
      <c r="F84" s="141"/>
      <c r="G84" s="141"/>
      <c r="H84" s="141"/>
      <c r="I84" s="141"/>
      <c r="J84" s="126"/>
      <c r="K84" s="141"/>
      <c r="L84" s="141"/>
      <c r="M84" s="141"/>
      <c r="N84" s="142"/>
      <c r="O84" s="142"/>
      <c r="P84" s="142"/>
      <c r="Q84" s="142"/>
      <c r="R84" s="142"/>
      <c r="S84" s="142"/>
      <c r="T84" s="142"/>
      <c r="U84" s="142"/>
      <c r="V84" s="141"/>
      <c r="W84" s="126"/>
      <c r="X84" s="126"/>
      <c r="Y84" s="126"/>
      <c r="Z84" s="126"/>
      <c r="AA84" s="126"/>
      <c r="AB84" s="126"/>
      <c r="AC84" s="126"/>
      <c r="AD84" s="126"/>
      <c r="AE84" s="126"/>
      <c r="AF84" s="126"/>
      <c r="AG84" s="126"/>
      <c r="AH84" s="126"/>
      <c r="AI84" s="126"/>
      <c r="AJ84" s="126"/>
      <c r="AK84" s="126"/>
      <c r="AL84" s="126"/>
      <c r="AM84" s="126"/>
      <c r="AN84" s="126"/>
      <c r="AO84" s="126"/>
    </row>
    <row r="85" spans="1:41" ht="12.75" customHeight="1" x14ac:dyDescent="0.25">
      <c r="A85" s="127"/>
      <c r="B85" s="638"/>
      <c r="C85" s="141"/>
      <c r="D85" s="141"/>
      <c r="E85" s="141"/>
      <c r="F85" s="141"/>
      <c r="G85" s="141"/>
      <c r="H85" s="141"/>
      <c r="I85" s="141"/>
      <c r="J85" s="126"/>
      <c r="K85" s="141"/>
      <c r="L85" s="141"/>
      <c r="M85" s="141"/>
      <c r="N85" s="142"/>
      <c r="O85" s="142"/>
      <c r="P85" s="142"/>
      <c r="Q85" s="142"/>
      <c r="R85" s="142"/>
      <c r="S85" s="142"/>
      <c r="T85" s="142"/>
      <c r="U85" s="142"/>
      <c r="V85" s="141"/>
      <c r="W85" s="126"/>
      <c r="X85" s="126"/>
      <c r="Y85" s="126"/>
      <c r="Z85" s="126"/>
      <c r="AA85" s="126"/>
      <c r="AB85" s="126"/>
      <c r="AC85" s="126"/>
      <c r="AD85" s="126"/>
      <c r="AE85" s="126"/>
      <c r="AF85" s="126"/>
      <c r="AG85" s="126"/>
      <c r="AH85" s="126"/>
      <c r="AI85" s="126"/>
      <c r="AJ85" s="126"/>
      <c r="AK85" s="126"/>
      <c r="AL85" s="126"/>
      <c r="AM85" s="126"/>
      <c r="AN85" s="126"/>
      <c r="AO85" s="126"/>
    </row>
    <row r="86" spans="1:41" ht="12.75" customHeight="1" x14ac:dyDescent="0.25">
      <c r="A86" s="127"/>
      <c r="B86" s="638"/>
      <c r="C86" s="141"/>
      <c r="D86" s="141"/>
      <c r="E86" s="141"/>
      <c r="F86" s="141"/>
      <c r="G86" s="141"/>
      <c r="H86" s="141"/>
      <c r="I86" s="141"/>
      <c r="J86" s="126"/>
      <c r="K86" s="141"/>
      <c r="L86" s="141"/>
      <c r="M86" s="141"/>
      <c r="N86" s="142"/>
      <c r="O86" s="142"/>
      <c r="P86" s="142"/>
      <c r="Q86" s="142"/>
      <c r="R86" s="142"/>
      <c r="S86" s="142"/>
      <c r="T86" s="142"/>
      <c r="U86" s="142"/>
      <c r="V86" s="141"/>
      <c r="W86" s="126"/>
      <c r="X86" s="126"/>
      <c r="Y86" s="126"/>
      <c r="Z86" s="126"/>
      <c r="AA86" s="126"/>
      <c r="AB86" s="126"/>
      <c r="AC86" s="126"/>
      <c r="AD86" s="126"/>
      <c r="AE86" s="126"/>
      <c r="AF86" s="126"/>
      <c r="AG86" s="126"/>
      <c r="AH86" s="126"/>
      <c r="AI86" s="126"/>
      <c r="AJ86" s="126"/>
      <c r="AK86" s="126"/>
      <c r="AL86" s="126"/>
      <c r="AM86" s="126"/>
      <c r="AN86" s="126"/>
      <c r="AO86" s="126"/>
    </row>
    <row r="87" spans="1:41" ht="12.75" customHeight="1" x14ac:dyDescent="0.25">
      <c r="A87" s="127"/>
      <c r="B87" s="638"/>
      <c r="C87" s="141"/>
      <c r="D87" s="141"/>
      <c r="E87" s="141"/>
      <c r="F87" s="141"/>
      <c r="G87" s="141"/>
      <c r="H87" s="141"/>
      <c r="I87" s="141"/>
      <c r="J87" s="126"/>
      <c r="K87" s="141"/>
      <c r="L87" s="141"/>
      <c r="M87" s="141"/>
      <c r="N87" s="142"/>
      <c r="O87" s="142"/>
      <c r="P87" s="142"/>
      <c r="Q87" s="142"/>
      <c r="R87" s="142"/>
      <c r="S87" s="142"/>
      <c r="T87" s="142"/>
      <c r="U87" s="142"/>
      <c r="V87" s="141"/>
      <c r="W87" s="126"/>
      <c r="X87" s="126"/>
      <c r="Y87" s="126"/>
      <c r="Z87" s="126"/>
      <c r="AA87" s="126"/>
      <c r="AB87" s="126"/>
      <c r="AC87" s="126"/>
      <c r="AD87" s="126"/>
      <c r="AE87" s="126"/>
      <c r="AF87" s="126"/>
      <c r="AG87" s="126"/>
      <c r="AH87" s="126"/>
      <c r="AI87" s="126"/>
      <c r="AJ87" s="126"/>
      <c r="AK87" s="126"/>
      <c r="AL87" s="126"/>
      <c r="AM87" s="126"/>
      <c r="AN87" s="126"/>
      <c r="AO87" s="126"/>
    </row>
    <row r="88" spans="1:41" ht="12.75" customHeight="1" x14ac:dyDescent="0.25">
      <c r="A88" s="127"/>
      <c r="B88" s="638"/>
      <c r="C88" s="141"/>
      <c r="D88" s="141"/>
      <c r="E88" s="141"/>
      <c r="F88" s="141"/>
      <c r="G88" s="141"/>
      <c r="H88" s="141"/>
      <c r="I88" s="141"/>
      <c r="J88" s="126"/>
      <c r="K88" s="141"/>
      <c r="L88" s="141"/>
      <c r="M88" s="141"/>
      <c r="N88" s="142"/>
      <c r="O88" s="142"/>
      <c r="P88" s="142"/>
      <c r="Q88" s="142"/>
      <c r="R88" s="142"/>
      <c r="S88" s="142"/>
      <c r="T88" s="142"/>
      <c r="U88" s="142"/>
      <c r="V88" s="141"/>
      <c r="W88" s="126"/>
      <c r="X88" s="126"/>
      <c r="Y88" s="126"/>
      <c r="Z88" s="126"/>
      <c r="AA88" s="126"/>
      <c r="AB88" s="126"/>
      <c r="AC88" s="126"/>
      <c r="AD88" s="126"/>
      <c r="AE88" s="126"/>
      <c r="AF88" s="126"/>
      <c r="AG88" s="126"/>
      <c r="AH88" s="126"/>
      <c r="AI88" s="126"/>
      <c r="AJ88" s="126"/>
      <c r="AK88" s="126"/>
      <c r="AL88" s="126"/>
      <c r="AM88" s="126"/>
      <c r="AN88" s="126"/>
      <c r="AO88" s="126"/>
    </row>
    <row r="89" spans="1:41" ht="12.75" customHeight="1" x14ac:dyDescent="0.25">
      <c r="A89" s="127"/>
      <c r="B89" s="638"/>
      <c r="C89" s="141"/>
      <c r="D89" s="141"/>
      <c r="E89" s="141"/>
      <c r="F89" s="141"/>
      <c r="G89" s="141"/>
      <c r="H89" s="141"/>
      <c r="I89" s="141"/>
      <c r="J89" s="126"/>
      <c r="K89" s="141"/>
      <c r="L89" s="141"/>
      <c r="M89" s="141"/>
      <c r="N89" s="142"/>
      <c r="O89" s="142"/>
      <c r="P89" s="142"/>
      <c r="Q89" s="142"/>
      <c r="R89" s="142"/>
      <c r="S89" s="142"/>
      <c r="T89" s="142"/>
      <c r="U89" s="142"/>
      <c r="V89" s="141"/>
      <c r="W89" s="126"/>
      <c r="X89" s="126"/>
      <c r="Y89" s="126"/>
      <c r="Z89" s="126"/>
      <c r="AA89" s="126"/>
      <c r="AB89" s="126"/>
      <c r="AC89" s="126"/>
      <c r="AD89" s="126"/>
      <c r="AE89" s="126"/>
      <c r="AF89" s="126"/>
      <c r="AG89" s="126"/>
      <c r="AH89" s="126"/>
      <c r="AI89" s="126"/>
      <c r="AJ89" s="126"/>
      <c r="AK89" s="126"/>
      <c r="AL89" s="126"/>
      <c r="AM89" s="126"/>
      <c r="AN89" s="126"/>
      <c r="AO89" s="126"/>
    </row>
    <row r="90" spans="1:41" ht="12.75" customHeight="1" x14ac:dyDescent="0.25">
      <c r="A90" s="127"/>
      <c r="B90" s="638"/>
      <c r="C90" s="141"/>
      <c r="D90" s="141"/>
      <c r="E90" s="141"/>
      <c r="F90" s="141"/>
      <c r="G90" s="141"/>
      <c r="H90" s="141"/>
      <c r="I90" s="141"/>
      <c r="J90" s="126"/>
      <c r="K90" s="141"/>
      <c r="L90" s="141"/>
      <c r="M90" s="141"/>
      <c r="N90" s="142"/>
      <c r="O90" s="142"/>
      <c r="P90" s="142"/>
      <c r="Q90" s="142"/>
      <c r="R90" s="142"/>
      <c r="S90" s="142"/>
      <c r="T90" s="142"/>
      <c r="U90" s="142"/>
      <c r="V90" s="141"/>
      <c r="W90" s="126"/>
      <c r="X90" s="126"/>
      <c r="Y90" s="126"/>
      <c r="Z90" s="126"/>
      <c r="AA90" s="126"/>
      <c r="AB90" s="126"/>
      <c r="AC90" s="126"/>
      <c r="AD90" s="126"/>
      <c r="AE90" s="126"/>
      <c r="AF90" s="126"/>
      <c r="AG90" s="126"/>
      <c r="AH90" s="126"/>
      <c r="AI90" s="126"/>
      <c r="AJ90" s="126"/>
      <c r="AK90" s="126"/>
      <c r="AL90" s="126"/>
      <c r="AM90" s="126"/>
      <c r="AN90" s="126"/>
      <c r="AO90" s="126"/>
    </row>
    <row r="91" spans="1:41" ht="12.75" customHeight="1" x14ac:dyDescent="0.25">
      <c r="A91" s="127"/>
      <c r="B91" s="638"/>
      <c r="C91" s="141"/>
      <c r="D91" s="141"/>
      <c r="E91" s="141"/>
      <c r="F91" s="141"/>
      <c r="G91" s="141"/>
      <c r="H91" s="141"/>
      <c r="I91" s="141"/>
      <c r="J91" s="126"/>
      <c r="K91" s="141"/>
      <c r="L91" s="141"/>
      <c r="M91" s="141"/>
      <c r="N91" s="142"/>
      <c r="O91" s="142"/>
      <c r="P91" s="142"/>
      <c r="Q91" s="142"/>
      <c r="R91" s="142"/>
      <c r="S91" s="142"/>
      <c r="T91" s="142"/>
      <c r="U91" s="142"/>
      <c r="V91" s="141"/>
      <c r="W91" s="126"/>
      <c r="X91" s="126"/>
      <c r="Y91" s="126"/>
      <c r="Z91" s="126"/>
      <c r="AA91" s="126"/>
      <c r="AB91" s="126"/>
      <c r="AC91" s="126"/>
      <c r="AD91" s="126"/>
      <c r="AE91" s="126"/>
      <c r="AF91" s="126"/>
      <c r="AG91" s="126"/>
      <c r="AH91" s="126"/>
      <c r="AI91" s="126"/>
      <c r="AJ91" s="126"/>
      <c r="AK91" s="126"/>
      <c r="AL91" s="126"/>
      <c r="AM91" s="126"/>
      <c r="AN91" s="126"/>
      <c r="AO91" s="126"/>
    </row>
    <row r="92" spans="1:41" ht="12.75" customHeight="1" x14ac:dyDescent="0.25">
      <c r="A92" s="127"/>
      <c r="B92" s="638"/>
      <c r="C92" s="141"/>
      <c r="D92" s="141"/>
      <c r="E92" s="141"/>
      <c r="F92" s="141"/>
      <c r="G92" s="141"/>
      <c r="H92" s="141"/>
      <c r="I92" s="141"/>
      <c r="J92" s="126"/>
      <c r="K92" s="141"/>
      <c r="L92" s="141"/>
      <c r="M92" s="141"/>
      <c r="N92" s="142"/>
      <c r="O92" s="142"/>
      <c r="P92" s="142"/>
      <c r="Q92" s="142"/>
      <c r="R92" s="142"/>
      <c r="S92" s="142"/>
      <c r="T92" s="142"/>
      <c r="U92" s="142"/>
      <c r="V92" s="141"/>
      <c r="W92" s="126"/>
      <c r="X92" s="126"/>
      <c r="Y92" s="126"/>
      <c r="Z92" s="126"/>
      <c r="AA92" s="126"/>
      <c r="AB92" s="126"/>
      <c r="AC92" s="126"/>
      <c r="AD92" s="126"/>
      <c r="AE92" s="126"/>
      <c r="AF92" s="126"/>
      <c r="AG92" s="126"/>
      <c r="AH92" s="126"/>
      <c r="AI92" s="126"/>
      <c r="AJ92" s="126"/>
      <c r="AK92" s="126"/>
      <c r="AL92" s="126"/>
      <c r="AM92" s="126"/>
      <c r="AN92" s="126"/>
      <c r="AO92" s="126"/>
    </row>
    <row r="93" spans="1:41" ht="12.75" customHeight="1" x14ac:dyDescent="0.25">
      <c r="A93" s="127"/>
      <c r="B93" s="638"/>
      <c r="C93" s="141"/>
      <c r="D93" s="141"/>
      <c r="E93" s="141"/>
      <c r="F93" s="141"/>
      <c r="G93" s="141"/>
      <c r="H93" s="141"/>
      <c r="I93" s="141"/>
      <c r="J93" s="126"/>
      <c r="K93" s="141"/>
      <c r="L93" s="141"/>
      <c r="M93" s="141"/>
      <c r="N93" s="142"/>
      <c r="O93" s="142"/>
      <c r="P93" s="142"/>
      <c r="Q93" s="142"/>
      <c r="R93" s="142"/>
      <c r="S93" s="142"/>
      <c r="T93" s="142"/>
      <c r="U93" s="142"/>
      <c r="V93" s="141"/>
      <c r="W93" s="126"/>
      <c r="X93" s="126"/>
      <c r="Y93" s="126"/>
      <c r="Z93" s="126"/>
      <c r="AA93" s="126"/>
      <c r="AB93" s="126"/>
      <c r="AC93" s="126"/>
      <c r="AD93" s="126"/>
      <c r="AE93" s="126"/>
      <c r="AF93" s="126"/>
      <c r="AG93" s="126"/>
      <c r="AH93" s="126"/>
      <c r="AI93" s="126"/>
      <c r="AJ93" s="126"/>
      <c r="AK93" s="126"/>
      <c r="AL93" s="126"/>
      <c r="AM93" s="126"/>
      <c r="AN93" s="126"/>
      <c r="AO93" s="126"/>
    </row>
    <row r="94" spans="1:41" ht="12.75" customHeight="1" x14ac:dyDescent="0.25">
      <c r="A94" s="127"/>
      <c r="B94" s="638"/>
      <c r="C94" s="141"/>
      <c r="D94" s="141"/>
      <c r="E94" s="141"/>
      <c r="F94" s="141"/>
      <c r="G94" s="141"/>
      <c r="H94" s="141"/>
      <c r="I94" s="141"/>
      <c r="J94" s="126"/>
      <c r="K94" s="141"/>
      <c r="L94" s="141"/>
      <c r="M94" s="141"/>
      <c r="N94" s="142"/>
      <c r="O94" s="142"/>
      <c r="P94" s="142"/>
      <c r="Q94" s="142"/>
      <c r="R94" s="142"/>
      <c r="S94" s="142"/>
      <c r="T94" s="142"/>
      <c r="U94" s="142"/>
      <c r="V94" s="141"/>
      <c r="W94" s="126"/>
      <c r="X94" s="126"/>
      <c r="Y94" s="126"/>
      <c r="Z94" s="126"/>
      <c r="AA94" s="126"/>
      <c r="AB94" s="126"/>
      <c r="AC94" s="126"/>
      <c r="AD94" s="126"/>
      <c r="AE94" s="126"/>
      <c r="AF94" s="126"/>
      <c r="AG94" s="126"/>
      <c r="AH94" s="126"/>
      <c r="AI94" s="126"/>
      <c r="AJ94" s="126"/>
      <c r="AK94" s="126"/>
      <c r="AL94" s="126"/>
      <c r="AM94" s="126"/>
      <c r="AN94" s="126"/>
      <c r="AO94" s="126"/>
    </row>
    <row r="95" spans="1:41" ht="12.75" customHeight="1" x14ac:dyDescent="0.25">
      <c r="A95" s="127"/>
      <c r="B95" s="638"/>
      <c r="C95" s="141"/>
      <c r="D95" s="141"/>
      <c r="E95" s="141"/>
      <c r="F95" s="141"/>
      <c r="G95" s="141"/>
      <c r="H95" s="141"/>
      <c r="I95" s="141"/>
      <c r="J95" s="126"/>
      <c r="K95" s="141"/>
      <c r="L95" s="141"/>
      <c r="M95" s="141"/>
      <c r="N95" s="142"/>
      <c r="O95" s="142"/>
      <c r="P95" s="142"/>
      <c r="Q95" s="142"/>
      <c r="R95" s="142"/>
      <c r="S95" s="142"/>
      <c r="T95" s="142"/>
      <c r="U95" s="142"/>
      <c r="V95" s="141"/>
      <c r="W95" s="126"/>
      <c r="X95" s="126"/>
      <c r="Y95" s="126"/>
      <c r="Z95" s="126"/>
      <c r="AA95" s="126"/>
      <c r="AB95" s="126"/>
      <c r="AC95" s="126"/>
      <c r="AD95" s="126"/>
      <c r="AE95" s="126"/>
      <c r="AF95" s="126"/>
      <c r="AG95" s="126"/>
      <c r="AH95" s="126"/>
      <c r="AI95" s="126"/>
      <c r="AJ95" s="126"/>
      <c r="AK95" s="126"/>
      <c r="AL95" s="126"/>
      <c r="AM95" s="126"/>
      <c r="AN95" s="126"/>
      <c r="AO95" s="126"/>
    </row>
    <row r="96" spans="1:41" ht="12.75" customHeight="1" x14ac:dyDescent="0.25">
      <c r="A96" s="127"/>
      <c r="B96" s="638"/>
      <c r="C96" s="141"/>
      <c r="D96" s="141"/>
      <c r="E96" s="141"/>
      <c r="F96" s="141"/>
      <c r="G96" s="141"/>
      <c r="H96" s="141"/>
      <c r="I96" s="141"/>
      <c r="J96" s="126"/>
      <c r="K96" s="141"/>
      <c r="L96" s="141"/>
      <c r="M96" s="141"/>
      <c r="N96" s="142"/>
      <c r="O96" s="142"/>
      <c r="P96" s="142"/>
      <c r="Q96" s="142"/>
      <c r="R96" s="142"/>
      <c r="S96" s="142"/>
      <c r="T96" s="142"/>
      <c r="U96" s="142"/>
      <c r="V96" s="141"/>
      <c r="W96" s="126"/>
      <c r="X96" s="126"/>
      <c r="Y96" s="126"/>
      <c r="Z96" s="126"/>
      <c r="AA96" s="126"/>
      <c r="AB96" s="126"/>
      <c r="AC96" s="126"/>
      <c r="AD96" s="126"/>
      <c r="AE96" s="126"/>
      <c r="AF96" s="126"/>
      <c r="AG96" s="126"/>
      <c r="AH96" s="126"/>
      <c r="AI96" s="126"/>
      <c r="AJ96" s="126"/>
      <c r="AK96" s="126"/>
      <c r="AL96" s="126"/>
      <c r="AM96" s="126"/>
      <c r="AN96" s="126"/>
      <c r="AO96" s="126"/>
    </row>
    <row r="97" spans="1:41" ht="12.75" customHeight="1" x14ac:dyDescent="0.25">
      <c r="A97" s="127"/>
      <c r="B97" s="638"/>
      <c r="C97" s="141"/>
      <c r="D97" s="141"/>
      <c r="E97" s="141"/>
      <c r="F97" s="141"/>
      <c r="G97" s="141"/>
      <c r="H97" s="141"/>
      <c r="I97" s="141"/>
      <c r="J97" s="126"/>
      <c r="K97" s="141"/>
      <c r="L97" s="141"/>
      <c r="M97" s="141"/>
      <c r="N97" s="142"/>
      <c r="O97" s="142"/>
      <c r="P97" s="142"/>
      <c r="Q97" s="142"/>
      <c r="R97" s="142"/>
      <c r="S97" s="142"/>
      <c r="T97" s="142"/>
      <c r="U97" s="142"/>
      <c r="V97" s="141"/>
      <c r="W97" s="126"/>
      <c r="X97" s="126"/>
      <c r="Y97" s="126"/>
      <c r="Z97" s="126"/>
      <c r="AA97" s="126"/>
      <c r="AB97" s="126"/>
      <c r="AC97" s="126"/>
      <c r="AD97" s="126"/>
      <c r="AE97" s="126"/>
      <c r="AF97" s="126"/>
      <c r="AG97" s="126"/>
      <c r="AH97" s="126"/>
      <c r="AI97" s="126"/>
      <c r="AJ97" s="126"/>
      <c r="AK97" s="126"/>
      <c r="AL97" s="126"/>
      <c r="AM97" s="126"/>
      <c r="AN97" s="126"/>
      <c r="AO97" s="126"/>
    </row>
    <row r="98" spans="1:41" ht="12.75" customHeight="1" x14ac:dyDescent="0.25">
      <c r="A98" s="127"/>
      <c r="B98" s="638"/>
      <c r="C98" s="141"/>
      <c r="D98" s="141"/>
      <c r="E98" s="141"/>
      <c r="F98" s="141"/>
      <c r="G98" s="141"/>
      <c r="H98" s="141"/>
      <c r="I98" s="141"/>
      <c r="J98" s="126"/>
      <c r="K98" s="141"/>
      <c r="L98" s="141"/>
      <c r="M98" s="141"/>
      <c r="N98" s="142"/>
      <c r="O98" s="142"/>
      <c r="P98" s="142"/>
      <c r="Q98" s="142"/>
      <c r="R98" s="142"/>
      <c r="S98" s="142"/>
      <c r="T98" s="142"/>
      <c r="U98" s="142"/>
      <c r="V98" s="141"/>
      <c r="W98" s="126"/>
      <c r="X98" s="126"/>
      <c r="Y98" s="126"/>
      <c r="Z98" s="126"/>
      <c r="AA98" s="126"/>
      <c r="AB98" s="126"/>
      <c r="AC98" s="126"/>
      <c r="AD98" s="126"/>
      <c r="AE98" s="126"/>
      <c r="AF98" s="126"/>
      <c r="AG98" s="126"/>
      <c r="AH98" s="126"/>
      <c r="AI98" s="126"/>
      <c r="AJ98" s="126"/>
      <c r="AK98" s="126"/>
      <c r="AL98" s="126"/>
      <c r="AM98" s="126"/>
      <c r="AN98" s="126"/>
      <c r="AO98" s="126"/>
    </row>
    <row r="99" spans="1:41" ht="12.75" customHeight="1" x14ac:dyDescent="0.25">
      <c r="A99" s="127"/>
      <c r="B99" s="638"/>
      <c r="C99" s="141"/>
      <c r="D99" s="141"/>
      <c r="E99" s="141"/>
      <c r="F99" s="141"/>
      <c r="G99" s="141"/>
      <c r="H99" s="141"/>
      <c r="I99" s="141"/>
      <c r="J99" s="126"/>
      <c r="K99" s="141"/>
      <c r="L99" s="141"/>
      <c r="M99" s="141"/>
      <c r="N99" s="142"/>
      <c r="O99" s="142"/>
      <c r="P99" s="142"/>
      <c r="Q99" s="142"/>
      <c r="R99" s="142"/>
      <c r="S99" s="142"/>
      <c r="T99" s="142"/>
      <c r="U99" s="142"/>
      <c r="V99" s="141"/>
      <c r="W99" s="126"/>
      <c r="X99" s="126"/>
      <c r="Y99" s="126"/>
      <c r="Z99" s="126"/>
      <c r="AA99" s="126"/>
      <c r="AB99" s="126"/>
      <c r="AC99" s="126"/>
      <c r="AD99" s="126"/>
      <c r="AE99" s="126"/>
      <c r="AF99" s="126"/>
      <c r="AG99" s="126"/>
      <c r="AH99" s="126"/>
      <c r="AI99" s="126"/>
      <c r="AJ99" s="126"/>
      <c r="AK99" s="126"/>
      <c r="AL99" s="126"/>
      <c r="AM99" s="126"/>
      <c r="AN99" s="126"/>
      <c r="AO99" s="126"/>
    </row>
    <row r="100" spans="1:41" ht="12.75" customHeight="1" x14ac:dyDescent="0.25">
      <c r="A100" s="127"/>
      <c r="B100" s="638"/>
      <c r="C100" s="141"/>
      <c r="D100" s="141"/>
      <c r="E100" s="141"/>
      <c r="F100" s="141"/>
      <c r="G100" s="141"/>
      <c r="H100" s="141"/>
      <c r="I100" s="141"/>
      <c r="J100" s="126"/>
      <c r="K100" s="141"/>
      <c r="L100" s="141"/>
      <c r="M100" s="141"/>
      <c r="N100" s="142"/>
      <c r="O100" s="142"/>
      <c r="P100" s="142"/>
      <c r="Q100" s="142"/>
      <c r="R100" s="142"/>
      <c r="S100" s="142"/>
      <c r="T100" s="142"/>
      <c r="U100" s="142"/>
      <c r="V100" s="141"/>
      <c r="W100" s="126"/>
      <c r="X100" s="126"/>
      <c r="Y100" s="126"/>
      <c r="Z100" s="126"/>
      <c r="AA100" s="126"/>
      <c r="AB100" s="126"/>
      <c r="AC100" s="126"/>
      <c r="AD100" s="126"/>
      <c r="AE100" s="126"/>
      <c r="AF100" s="126"/>
      <c r="AG100" s="126"/>
      <c r="AH100" s="126"/>
      <c r="AI100" s="126"/>
      <c r="AJ100" s="126"/>
      <c r="AK100" s="126"/>
      <c r="AL100" s="126"/>
      <c r="AM100" s="126"/>
      <c r="AN100" s="126"/>
      <c r="AO100" s="126"/>
    </row>
    <row r="101" spans="1:41" ht="12.75" customHeight="1" x14ac:dyDescent="0.25">
      <c r="A101" s="127"/>
      <c r="B101" s="638"/>
      <c r="C101" s="141"/>
      <c r="D101" s="141"/>
      <c r="E101" s="141"/>
      <c r="F101" s="141"/>
      <c r="G101" s="141"/>
      <c r="H101" s="141"/>
      <c r="I101" s="141"/>
      <c r="J101" s="126"/>
      <c r="K101" s="141"/>
      <c r="L101" s="141"/>
      <c r="M101" s="141"/>
      <c r="N101" s="142"/>
      <c r="O101" s="142"/>
      <c r="P101" s="142"/>
      <c r="Q101" s="142"/>
      <c r="R101" s="142"/>
      <c r="S101" s="142"/>
      <c r="T101" s="142"/>
      <c r="U101" s="142"/>
      <c r="V101" s="141"/>
      <c r="W101" s="126"/>
      <c r="X101" s="126"/>
      <c r="Y101" s="126"/>
      <c r="Z101" s="126"/>
      <c r="AA101" s="126"/>
      <c r="AB101" s="126"/>
      <c r="AC101" s="126"/>
      <c r="AD101" s="126"/>
      <c r="AE101" s="126"/>
      <c r="AF101" s="126"/>
      <c r="AG101" s="126"/>
      <c r="AH101" s="126"/>
      <c r="AI101" s="126"/>
      <c r="AJ101" s="126"/>
      <c r="AK101" s="126"/>
      <c r="AL101" s="126"/>
      <c r="AM101" s="126"/>
      <c r="AN101" s="126"/>
      <c r="AO101" s="126"/>
    </row>
    <row r="102" spans="1:41" ht="12.75" customHeight="1" x14ac:dyDescent="0.25">
      <c r="A102" s="127"/>
      <c r="B102" s="638"/>
      <c r="C102" s="141"/>
      <c r="D102" s="141"/>
      <c r="E102" s="141"/>
      <c r="F102" s="141"/>
      <c r="G102" s="141"/>
      <c r="H102" s="141"/>
      <c r="I102" s="141"/>
      <c r="J102" s="126"/>
      <c r="K102" s="141"/>
      <c r="L102" s="141"/>
      <c r="M102" s="141"/>
      <c r="N102" s="142"/>
      <c r="O102" s="142"/>
      <c r="P102" s="142"/>
      <c r="Q102" s="142"/>
      <c r="R102" s="142"/>
      <c r="S102" s="142"/>
      <c r="T102" s="142"/>
      <c r="U102" s="142"/>
      <c r="V102" s="141"/>
      <c r="W102" s="126"/>
      <c r="X102" s="126"/>
      <c r="Y102" s="126"/>
      <c r="Z102" s="126"/>
      <c r="AA102" s="126"/>
      <c r="AB102" s="126"/>
      <c r="AC102" s="126"/>
      <c r="AD102" s="126"/>
      <c r="AE102" s="126"/>
      <c r="AF102" s="126"/>
      <c r="AG102" s="126"/>
      <c r="AH102" s="126"/>
      <c r="AI102" s="126"/>
      <c r="AJ102" s="126"/>
      <c r="AK102" s="126"/>
      <c r="AL102" s="126"/>
      <c r="AM102" s="126"/>
      <c r="AN102" s="126"/>
      <c r="AO102" s="126"/>
    </row>
    <row r="103" spans="1:41" ht="12.75" customHeight="1" x14ac:dyDescent="0.25">
      <c r="A103" s="126"/>
      <c r="B103" s="640"/>
      <c r="C103" s="141"/>
      <c r="D103" s="141"/>
      <c r="E103" s="141"/>
      <c r="F103" s="141"/>
      <c r="G103" s="141"/>
      <c r="H103" s="141"/>
      <c r="I103" s="141"/>
      <c r="J103" s="126"/>
      <c r="K103" s="141"/>
      <c r="L103" s="141"/>
      <c r="M103" s="141"/>
      <c r="N103" s="142"/>
      <c r="O103" s="142"/>
      <c r="P103" s="142"/>
      <c r="Q103" s="142"/>
      <c r="R103" s="142"/>
      <c r="S103" s="142"/>
      <c r="T103" s="142"/>
      <c r="U103" s="142"/>
      <c r="V103" s="141"/>
      <c r="W103" s="126"/>
      <c r="X103" s="126"/>
      <c r="Y103" s="126"/>
      <c r="Z103" s="126"/>
      <c r="AA103" s="126"/>
      <c r="AB103" s="126"/>
      <c r="AC103" s="126"/>
      <c r="AD103" s="126"/>
      <c r="AE103" s="126"/>
      <c r="AF103" s="126"/>
      <c r="AG103" s="126"/>
      <c r="AH103" s="126"/>
      <c r="AI103" s="126"/>
      <c r="AJ103" s="126"/>
      <c r="AK103" s="126"/>
      <c r="AL103" s="126"/>
      <c r="AM103" s="126"/>
      <c r="AN103" s="126"/>
      <c r="AO103" s="126"/>
    </row>
    <row r="104" spans="1:41" ht="12.75" customHeight="1" x14ac:dyDescent="0.25">
      <c r="A104" s="126"/>
      <c r="B104" s="640"/>
      <c r="C104" s="141"/>
      <c r="D104" s="141"/>
      <c r="E104" s="141"/>
      <c r="F104" s="141"/>
      <c r="G104" s="141"/>
      <c r="H104" s="141"/>
      <c r="I104" s="141"/>
      <c r="J104" s="126"/>
      <c r="K104" s="141"/>
      <c r="L104" s="141"/>
      <c r="M104" s="141"/>
      <c r="N104" s="142"/>
      <c r="O104" s="142"/>
      <c r="P104" s="142"/>
      <c r="Q104" s="142"/>
      <c r="R104" s="142"/>
      <c r="S104" s="142"/>
      <c r="T104" s="142"/>
      <c r="U104" s="142"/>
      <c r="V104" s="141"/>
      <c r="W104" s="126"/>
      <c r="X104" s="126"/>
      <c r="Y104" s="126"/>
      <c r="Z104" s="126"/>
      <c r="AA104" s="126"/>
      <c r="AB104" s="126"/>
      <c r="AC104" s="126"/>
      <c r="AD104" s="126"/>
      <c r="AE104" s="126"/>
      <c r="AF104" s="126"/>
      <c r="AG104" s="126"/>
      <c r="AH104" s="126"/>
      <c r="AI104" s="126"/>
      <c r="AJ104" s="126"/>
      <c r="AK104" s="126"/>
      <c r="AL104" s="126"/>
      <c r="AM104" s="126"/>
      <c r="AN104" s="126"/>
      <c r="AO104" s="126"/>
    </row>
    <row r="105" spans="1:41" ht="12.75" customHeight="1" x14ac:dyDescent="0.25">
      <c r="A105" s="126"/>
      <c r="B105" s="640"/>
      <c r="C105" s="141"/>
      <c r="D105" s="141"/>
      <c r="E105" s="141"/>
      <c r="F105" s="141"/>
      <c r="G105" s="141"/>
      <c r="H105" s="141"/>
      <c r="I105" s="141"/>
      <c r="J105" s="126"/>
      <c r="K105" s="141"/>
      <c r="L105" s="141"/>
      <c r="M105" s="141"/>
      <c r="N105" s="142"/>
      <c r="O105" s="142"/>
      <c r="P105" s="142"/>
      <c r="Q105" s="142"/>
      <c r="R105" s="142"/>
      <c r="S105" s="142"/>
      <c r="T105" s="142"/>
      <c r="U105" s="142"/>
      <c r="V105" s="141"/>
      <c r="W105" s="126"/>
      <c r="X105" s="126"/>
      <c r="Y105" s="126"/>
      <c r="Z105" s="126"/>
      <c r="AA105" s="126"/>
      <c r="AB105" s="126"/>
      <c r="AC105" s="126"/>
      <c r="AD105" s="126"/>
      <c r="AE105" s="126"/>
      <c r="AF105" s="126"/>
      <c r="AG105" s="126"/>
      <c r="AH105" s="126"/>
      <c r="AI105" s="126"/>
      <c r="AJ105" s="126"/>
      <c r="AK105" s="126"/>
      <c r="AL105" s="126"/>
      <c r="AM105" s="126"/>
      <c r="AN105" s="126"/>
      <c r="AO105" s="126"/>
    </row>
    <row r="106" spans="1:41" ht="12.75" customHeight="1" x14ac:dyDescent="0.25">
      <c r="A106" s="126"/>
      <c r="B106" s="640"/>
      <c r="C106" s="141"/>
      <c r="D106" s="141"/>
      <c r="E106" s="141"/>
      <c r="F106" s="141"/>
      <c r="G106" s="141"/>
      <c r="H106" s="141"/>
      <c r="I106" s="141"/>
      <c r="J106" s="126"/>
      <c r="K106" s="141"/>
      <c r="L106" s="141"/>
      <c r="M106" s="141"/>
      <c r="N106" s="142"/>
      <c r="O106" s="142"/>
      <c r="P106" s="142"/>
      <c r="Q106" s="142"/>
      <c r="R106" s="142"/>
      <c r="S106" s="142"/>
      <c r="T106" s="142"/>
      <c r="U106" s="142"/>
      <c r="V106" s="141"/>
      <c r="W106" s="126"/>
      <c r="X106" s="126"/>
      <c r="Y106" s="126"/>
      <c r="Z106" s="126"/>
      <c r="AA106" s="126"/>
      <c r="AB106" s="126"/>
      <c r="AC106" s="126"/>
      <c r="AD106" s="126"/>
      <c r="AE106" s="126"/>
      <c r="AF106" s="126"/>
      <c r="AG106" s="126"/>
      <c r="AH106" s="126"/>
      <c r="AI106" s="126"/>
      <c r="AJ106" s="126"/>
      <c r="AK106" s="126"/>
      <c r="AL106" s="126"/>
      <c r="AM106" s="126"/>
      <c r="AN106" s="126"/>
      <c r="AO106" s="126"/>
    </row>
    <row r="107" spans="1:41" ht="12.75" customHeight="1" x14ac:dyDescent="0.25">
      <c r="A107" s="126"/>
      <c r="B107" s="640"/>
      <c r="C107" s="141"/>
      <c r="D107" s="141"/>
      <c r="E107" s="141"/>
      <c r="F107" s="141"/>
      <c r="G107" s="141"/>
      <c r="H107" s="141"/>
      <c r="I107" s="141"/>
      <c r="J107" s="126"/>
      <c r="K107" s="141"/>
      <c r="L107" s="141"/>
      <c r="M107" s="141"/>
      <c r="N107" s="142"/>
      <c r="O107" s="142"/>
      <c r="P107" s="142"/>
      <c r="Q107" s="142"/>
      <c r="R107" s="142"/>
      <c r="S107" s="142"/>
      <c r="T107" s="142"/>
      <c r="U107" s="142"/>
      <c r="V107" s="141"/>
      <c r="W107" s="126"/>
      <c r="X107" s="126"/>
      <c r="Y107" s="126"/>
      <c r="Z107" s="126"/>
      <c r="AA107" s="126"/>
      <c r="AB107" s="126"/>
      <c r="AC107" s="126"/>
      <c r="AD107" s="126"/>
      <c r="AE107" s="126"/>
      <c r="AF107" s="126"/>
      <c r="AG107" s="126"/>
      <c r="AH107" s="126"/>
      <c r="AI107" s="126"/>
      <c r="AJ107" s="126"/>
      <c r="AK107" s="126"/>
      <c r="AL107" s="126"/>
      <c r="AM107" s="126"/>
      <c r="AN107" s="126"/>
      <c r="AO107" s="126"/>
    </row>
    <row r="108" spans="1:41" ht="12.75" customHeight="1" x14ac:dyDescent="0.25">
      <c r="A108" s="126"/>
      <c r="B108" s="640"/>
      <c r="C108" s="141"/>
      <c r="D108" s="141"/>
      <c r="E108" s="141"/>
      <c r="F108" s="141"/>
      <c r="G108" s="141"/>
      <c r="H108" s="141"/>
      <c r="I108" s="141"/>
      <c r="J108" s="126"/>
      <c r="K108" s="141"/>
      <c r="L108" s="141"/>
      <c r="M108" s="141"/>
      <c r="N108" s="142"/>
      <c r="O108" s="142"/>
      <c r="P108" s="142"/>
      <c r="Q108" s="142"/>
      <c r="R108" s="142"/>
      <c r="S108" s="142"/>
      <c r="T108" s="142"/>
      <c r="U108" s="142"/>
      <c r="V108" s="141"/>
      <c r="W108" s="126"/>
      <c r="X108" s="126"/>
      <c r="Y108" s="126"/>
      <c r="Z108" s="126"/>
      <c r="AA108" s="126"/>
      <c r="AB108" s="126"/>
      <c r="AC108" s="126"/>
      <c r="AD108" s="126"/>
      <c r="AE108" s="126"/>
      <c r="AF108" s="126"/>
      <c r="AG108" s="126"/>
      <c r="AH108" s="126"/>
      <c r="AI108" s="126"/>
      <c r="AJ108" s="126"/>
      <c r="AK108" s="126"/>
      <c r="AL108" s="126"/>
      <c r="AM108" s="126"/>
      <c r="AN108" s="126"/>
      <c r="AO108" s="126"/>
    </row>
    <row r="109" spans="1:41" ht="12.75" customHeight="1" x14ac:dyDescent="0.25">
      <c r="A109" s="126"/>
      <c r="B109" s="640"/>
      <c r="C109" s="141"/>
      <c r="D109" s="141"/>
      <c r="E109" s="141"/>
      <c r="F109" s="141"/>
      <c r="G109" s="141"/>
      <c r="H109" s="141"/>
      <c r="I109" s="141"/>
      <c r="J109" s="126"/>
      <c r="K109" s="141"/>
      <c r="L109" s="141"/>
      <c r="M109" s="141"/>
      <c r="N109" s="142"/>
      <c r="O109" s="142"/>
      <c r="P109" s="142"/>
      <c r="Q109" s="142"/>
      <c r="R109" s="142"/>
      <c r="S109" s="142"/>
      <c r="T109" s="142"/>
      <c r="U109" s="142"/>
      <c r="V109" s="141"/>
      <c r="W109" s="126"/>
      <c r="X109" s="126"/>
      <c r="Y109" s="126"/>
      <c r="Z109" s="126"/>
      <c r="AA109" s="126"/>
      <c r="AB109" s="126"/>
      <c r="AC109" s="126"/>
      <c r="AD109" s="126"/>
      <c r="AE109" s="126"/>
      <c r="AF109" s="126"/>
      <c r="AG109" s="126"/>
      <c r="AH109" s="126"/>
      <c r="AI109" s="126"/>
      <c r="AJ109" s="126"/>
      <c r="AK109" s="126"/>
      <c r="AL109" s="126"/>
      <c r="AM109" s="126"/>
      <c r="AN109" s="126"/>
      <c r="AO109" s="126"/>
    </row>
    <row r="110" spans="1:41" ht="12.75" customHeight="1" x14ac:dyDescent="0.25">
      <c r="A110" s="126"/>
      <c r="B110" s="640"/>
      <c r="C110" s="141"/>
      <c r="D110" s="141"/>
      <c r="E110" s="141"/>
      <c r="F110" s="141"/>
      <c r="G110" s="141"/>
      <c r="H110" s="141"/>
      <c r="I110" s="141"/>
      <c r="J110" s="126"/>
      <c r="K110" s="141"/>
      <c r="L110" s="141"/>
      <c r="M110" s="141"/>
      <c r="N110" s="142"/>
      <c r="O110" s="142"/>
      <c r="P110" s="142"/>
      <c r="Q110" s="142"/>
      <c r="R110" s="142"/>
      <c r="S110" s="142"/>
      <c r="T110" s="142"/>
      <c r="U110" s="142"/>
      <c r="V110" s="141"/>
      <c r="W110" s="126"/>
      <c r="X110" s="126"/>
      <c r="Y110" s="126"/>
      <c r="Z110" s="126"/>
      <c r="AA110" s="126"/>
      <c r="AB110" s="126"/>
      <c r="AC110" s="126"/>
      <c r="AD110" s="126"/>
      <c r="AE110" s="126"/>
      <c r="AF110" s="126"/>
      <c r="AG110" s="126"/>
      <c r="AH110" s="126"/>
      <c r="AI110" s="126"/>
      <c r="AJ110" s="126"/>
      <c r="AK110" s="126"/>
      <c r="AL110" s="126"/>
      <c r="AM110" s="126"/>
      <c r="AN110" s="126"/>
      <c r="AO110" s="126"/>
    </row>
    <row r="111" spans="1:41" ht="12.75" customHeight="1" x14ac:dyDescent="0.25">
      <c r="A111" s="126"/>
      <c r="B111" s="640"/>
      <c r="C111" s="141"/>
      <c r="D111" s="141"/>
      <c r="E111" s="141"/>
      <c r="F111" s="141"/>
      <c r="G111" s="141"/>
      <c r="H111" s="141"/>
      <c r="I111" s="141"/>
      <c r="J111" s="126"/>
      <c r="K111" s="141"/>
      <c r="L111" s="141"/>
      <c r="M111" s="141"/>
      <c r="N111" s="142"/>
      <c r="O111" s="142"/>
      <c r="P111" s="142"/>
      <c r="Q111" s="142"/>
      <c r="R111" s="142"/>
      <c r="S111" s="142"/>
      <c r="T111" s="142"/>
      <c r="U111" s="142"/>
      <c r="V111" s="141"/>
      <c r="W111" s="126"/>
      <c r="X111" s="126"/>
      <c r="Y111" s="126"/>
      <c r="Z111" s="126"/>
      <c r="AA111" s="126"/>
      <c r="AB111" s="126"/>
      <c r="AC111" s="126"/>
      <c r="AD111" s="126"/>
      <c r="AE111" s="126"/>
      <c r="AF111" s="126"/>
      <c r="AG111" s="126"/>
      <c r="AH111" s="126"/>
      <c r="AI111" s="126"/>
      <c r="AJ111" s="126"/>
      <c r="AK111" s="126"/>
      <c r="AL111" s="126"/>
      <c r="AM111" s="126"/>
      <c r="AN111" s="126"/>
      <c r="AO111" s="126"/>
    </row>
    <row r="112" spans="1:41" ht="12.75" customHeight="1" x14ac:dyDescent="0.25">
      <c r="A112" s="126"/>
      <c r="B112" s="640"/>
      <c r="C112" s="141"/>
      <c r="D112" s="141"/>
      <c r="E112" s="141"/>
      <c r="F112" s="141"/>
      <c r="G112" s="141"/>
      <c r="H112" s="141"/>
      <c r="I112" s="141"/>
      <c r="J112" s="126"/>
      <c r="K112" s="141"/>
      <c r="L112" s="141"/>
      <c r="M112" s="141"/>
      <c r="N112" s="142"/>
      <c r="O112" s="142"/>
      <c r="P112" s="142"/>
      <c r="Q112" s="142"/>
      <c r="R112" s="142"/>
      <c r="S112" s="142"/>
      <c r="T112" s="142"/>
      <c r="U112" s="142"/>
      <c r="V112" s="141"/>
      <c r="W112" s="126"/>
      <c r="X112" s="126"/>
      <c r="Y112" s="126"/>
      <c r="Z112" s="126"/>
      <c r="AA112" s="126"/>
      <c r="AB112" s="126"/>
      <c r="AC112" s="126"/>
      <c r="AD112" s="126"/>
      <c r="AE112" s="126"/>
      <c r="AF112" s="126"/>
      <c r="AG112" s="126"/>
      <c r="AH112" s="126"/>
      <c r="AI112" s="126"/>
      <c r="AJ112" s="126"/>
      <c r="AK112" s="126"/>
      <c r="AL112" s="126"/>
      <c r="AM112" s="126"/>
      <c r="AN112" s="126"/>
      <c r="AO112" s="126"/>
    </row>
    <row r="113" spans="1:41" ht="12.75" customHeight="1" x14ac:dyDescent="0.25">
      <c r="A113" s="126"/>
      <c r="B113" s="640"/>
      <c r="C113" s="141"/>
      <c r="D113" s="141"/>
      <c r="E113" s="141"/>
      <c r="F113" s="141"/>
      <c r="G113" s="141"/>
      <c r="H113" s="141"/>
      <c r="I113" s="141"/>
      <c r="J113" s="126"/>
      <c r="K113" s="141"/>
      <c r="L113" s="141"/>
      <c r="M113" s="141"/>
      <c r="N113" s="142"/>
      <c r="O113" s="142"/>
      <c r="P113" s="142"/>
      <c r="Q113" s="142"/>
      <c r="R113" s="142"/>
      <c r="S113" s="142"/>
      <c r="T113" s="142"/>
      <c r="U113" s="142"/>
      <c r="V113" s="141"/>
      <c r="W113" s="126"/>
      <c r="X113" s="126"/>
      <c r="Y113" s="126"/>
      <c r="Z113" s="126"/>
      <c r="AA113" s="126"/>
      <c r="AB113" s="126"/>
      <c r="AC113" s="126"/>
      <c r="AD113" s="126"/>
      <c r="AE113" s="126"/>
      <c r="AF113" s="126"/>
      <c r="AG113" s="126"/>
      <c r="AH113" s="126"/>
      <c r="AI113" s="126"/>
      <c r="AJ113" s="126"/>
      <c r="AK113" s="126"/>
      <c r="AL113" s="126"/>
      <c r="AM113" s="126"/>
      <c r="AN113" s="126"/>
      <c r="AO113" s="126"/>
    </row>
    <row r="114" spans="1:41" ht="12.75" customHeight="1" x14ac:dyDescent="0.25">
      <c r="A114" s="126"/>
      <c r="B114" s="640"/>
      <c r="C114" s="141"/>
      <c r="D114" s="141"/>
      <c r="E114" s="141"/>
      <c r="F114" s="141"/>
      <c r="G114" s="141"/>
      <c r="H114" s="141"/>
      <c r="I114" s="141"/>
      <c r="J114" s="126"/>
      <c r="K114" s="141"/>
      <c r="L114" s="141"/>
      <c r="M114" s="141"/>
      <c r="N114" s="142"/>
      <c r="O114" s="142"/>
      <c r="P114" s="142"/>
      <c r="Q114" s="142"/>
      <c r="R114" s="142"/>
      <c r="S114" s="142"/>
      <c r="T114" s="142"/>
      <c r="U114" s="142"/>
      <c r="V114" s="141"/>
      <c r="W114" s="126"/>
      <c r="X114" s="126"/>
      <c r="Y114" s="126"/>
      <c r="Z114" s="126"/>
      <c r="AA114" s="126"/>
      <c r="AB114" s="126"/>
      <c r="AC114" s="126"/>
      <c r="AD114" s="126"/>
      <c r="AE114" s="126"/>
      <c r="AF114" s="126"/>
      <c r="AG114" s="126"/>
      <c r="AH114" s="126"/>
      <c r="AI114" s="126"/>
      <c r="AJ114" s="126"/>
      <c r="AK114" s="126"/>
      <c r="AL114" s="126"/>
      <c r="AM114" s="126"/>
      <c r="AN114" s="126"/>
      <c r="AO114" s="126"/>
    </row>
    <row r="115" spans="1:41" ht="12.75" customHeight="1" x14ac:dyDescent="0.25">
      <c r="A115" s="126"/>
      <c r="B115" s="640"/>
      <c r="C115" s="141"/>
      <c r="D115" s="141"/>
      <c r="E115" s="141"/>
      <c r="F115" s="141"/>
      <c r="G115" s="141"/>
      <c r="H115" s="141"/>
      <c r="I115" s="141"/>
      <c r="J115" s="126"/>
      <c r="K115" s="141"/>
      <c r="L115" s="141"/>
      <c r="M115" s="141"/>
      <c r="N115" s="142"/>
      <c r="O115" s="142"/>
      <c r="P115" s="142"/>
      <c r="Q115" s="142"/>
      <c r="R115" s="142"/>
      <c r="S115" s="142"/>
      <c r="T115" s="142"/>
      <c r="U115" s="142"/>
      <c r="V115" s="141"/>
      <c r="W115" s="126"/>
      <c r="X115" s="126"/>
      <c r="Y115" s="126"/>
      <c r="Z115" s="126"/>
      <c r="AA115" s="126"/>
      <c r="AB115" s="126"/>
      <c r="AC115" s="126"/>
      <c r="AD115" s="126"/>
      <c r="AE115" s="126"/>
      <c r="AF115" s="126"/>
      <c r="AG115" s="126"/>
      <c r="AH115" s="126"/>
      <c r="AI115" s="126"/>
      <c r="AJ115" s="126"/>
      <c r="AK115" s="126"/>
      <c r="AL115" s="126"/>
      <c r="AM115" s="126"/>
      <c r="AN115" s="126"/>
      <c r="AO115" s="126"/>
    </row>
    <row r="116" spans="1:41" ht="12.75" customHeight="1" x14ac:dyDescent="0.25">
      <c r="A116" s="126"/>
      <c r="B116" s="640"/>
      <c r="C116" s="141"/>
      <c r="D116" s="141"/>
      <c r="E116" s="141"/>
      <c r="F116" s="141"/>
      <c r="G116" s="141"/>
      <c r="H116" s="141"/>
      <c r="I116" s="141"/>
      <c r="J116" s="126"/>
      <c r="K116" s="141"/>
      <c r="L116" s="141"/>
      <c r="M116" s="141"/>
      <c r="N116" s="142"/>
      <c r="O116" s="142"/>
      <c r="P116" s="142"/>
      <c r="Q116" s="142"/>
      <c r="R116" s="142"/>
      <c r="S116" s="142"/>
      <c r="T116" s="142"/>
      <c r="U116" s="142"/>
      <c r="V116" s="141"/>
      <c r="W116" s="126"/>
      <c r="X116" s="126"/>
      <c r="Y116" s="126"/>
      <c r="Z116" s="126"/>
      <c r="AA116" s="126"/>
      <c r="AB116" s="126"/>
      <c r="AC116" s="126"/>
      <c r="AD116" s="126"/>
      <c r="AE116" s="126"/>
      <c r="AF116" s="126"/>
      <c r="AG116" s="126"/>
      <c r="AH116" s="126"/>
      <c r="AI116" s="126"/>
      <c r="AJ116" s="126"/>
      <c r="AK116" s="126"/>
      <c r="AL116" s="126"/>
      <c r="AM116" s="126"/>
      <c r="AN116" s="126"/>
      <c r="AO116" s="126"/>
    </row>
    <row r="117" spans="1:41" ht="12.75" customHeight="1" x14ac:dyDescent="0.25">
      <c r="A117" s="126"/>
      <c r="B117" s="640"/>
      <c r="C117" s="141"/>
      <c r="D117" s="141"/>
      <c r="E117" s="141"/>
      <c r="F117" s="141"/>
      <c r="G117" s="141"/>
      <c r="H117" s="141"/>
      <c r="I117" s="141"/>
      <c r="J117" s="126"/>
      <c r="K117" s="141"/>
      <c r="L117" s="141"/>
      <c r="M117" s="141"/>
      <c r="N117" s="142"/>
      <c r="O117" s="142"/>
      <c r="P117" s="142"/>
      <c r="Q117" s="142"/>
      <c r="R117" s="142"/>
      <c r="S117" s="142"/>
      <c r="T117" s="142"/>
      <c r="U117" s="142"/>
      <c r="V117" s="141"/>
      <c r="W117" s="126"/>
      <c r="X117" s="126"/>
      <c r="Y117" s="126"/>
      <c r="Z117" s="126"/>
      <c r="AA117" s="126"/>
      <c r="AB117" s="126"/>
      <c r="AC117" s="126"/>
      <c r="AD117" s="126"/>
      <c r="AE117" s="126"/>
      <c r="AF117" s="126"/>
      <c r="AG117" s="126"/>
      <c r="AH117" s="126"/>
      <c r="AI117" s="126"/>
      <c r="AJ117" s="126"/>
      <c r="AK117" s="126"/>
      <c r="AL117" s="126"/>
      <c r="AM117" s="126"/>
      <c r="AN117" s="126"/>
      <c r="AO117" s="126"/>
    </row>
    <row r="118" spans="1:41" ht="12.75" customHeight="1" x14ac:dyDescent="0.25">
      <c r="A118" s="126"/>
      <c r="B118" s="640"/>
      <c r="C118" s="141"/>
      <c r="D118" s="141"/>
      <c r="E118" s="141"/>
      <c r="F118" s="141"/>
      <c r="G118" s="141"/>
      <c r="H118" s="141"/>
      <c r="I118" s="141"/>
      <c r="J118" s="126"/>
      <c r="K118" s="141"/>
      <c r="L118" s="141"/>
      <c r="M118" s="141"/>
      <c r="N118" s="142"/>
      <c r="O118" s="142"/>
      <c r="P118" s="142"/>
      <c r="Q118" s="142"/>
      <c r="R118" s="142"/>
      <c r="S118" s="142"/>
      <c r="T118" s="142"/>
      <c r="U118" s="142"/>
      <c r="V118" s="141"/>
      <c r="W118" s="126"/>
      <c r="X118" s="126"/>
      <c r="Y118" s="126"/>
      <c r="Z118" s="126"/>
      <c r="AA118" s="126"/>
      <c r="AB118" s="126"/>
      <c r="AC118" s="126"/>
      <c r="AD118" s="126"/>
      <c r="AE118" s="126"/>
      <c r="AF118" s="126"/>
      <c r="AG118" s="126"/>
      <c r="AH118" s="126"/>
      <c r="AI118" s="126"/>
      <c r="AJ118" s="126"/>
      <c r="AK118" s="126"/>
      <c r="AL118" s="126"/>
      <c r="AM118" s="126"/>
      <c r="AN118" s="126"/>
      <c r="AO118" s="126"/>
    </row>
    <row r="119" spans="1:41" ht="12.75" customHeight="1" x14ac:dyDescent="0.25">
      <c r="A119" s="126"/>
      <c r="B119" s="640"/>
      <c r="C119" s="141"/>
      <c r="D119" s="141"/>
      <c r="E119" s="141"/>
      <c r="F119" s="141"/>
      <c r="G119" s="141"/>
      <c r="H119" s="141"/>
      <c r="I119" s="141"/>
      <c r="J119" s="126"/>
      <c r="K119" s="141"/>
      <c r="L119" s="141"/>
      <c r="M119" s="141"/>
      <c r="N119" s="142"/>
      <c r="O119" s="142"/>
      <c r="P119" s="142"/>
      <c r="Q119" s="142"/>
      <c r="R119" s="142"/>
      <c r="S119" s="142"/>
      <c r="T119" s="142"/>
      <c r="U119" s="142"/>
      <c r="V119" s="141"/>
      <c r="W119" s="126"/>
      <c r="X119" s="126"/>
      <c r="Y119" s="126"/>
      <c r="Z119" s="126"/>
      <c r="AA119" s="126"/>
      <c r="AB119" s="126"/>
      <c r="AC119" s="126"/>
      <c r="AD119" s="126"/>
      <c r="AE119" s="126"/>
      <c r="AF119" s="126"/>
      <c r="AG119" s="126"/>
      <c r="AH119" s="126"/>
      <c r="AI119" s="126"/>
      <c r="AJ119" s="126"/>
      <c r="AK119" s="126"/>
      <c r="AL119" s="126"/>
      <c r="AM119" s="126"/>
      <c r="AN119" s="126"/>
      <c r="AO119" s="126"/>
    </row>
    <row r="120" spans="1:41" ht="12.75" customHeight="1" x14ac:dyDescent="0.25">
      <c r="A120" s="126"/>
      <c r="B120" s="640"/>
      <c r="C120" s="141"/>
      <c r="D120" s="141"/>
      <c r="E120" s="141"/>
      <c r="F120" s="141"/>
      <c r="G120" s="141"/>
      <c r="H120" s="141"/>
      <c r="I120" s="141"/>
      <c r="J120" s="126"/>
      <c r="K120" s="141"/>
      <c r="L120" s="141"/>
      <c r="M120" s="141"/>
      <c r="N120" s="142"/>
      <c r="O120" s="142"/>
      <c r="P120" s="142"/>
      <c r="Q120" s="142"/>
      <c r="R120" s="142"/>
      <c r="S120" s="142"/>
      <c r="T120" s="142"/>
      <c r="U120" s="142"/>
      <c r="V120" s="141"/>
      <c r="W120" s="126"/>
      <c r="X120" s="126"/>
      <c r="Y120" s="126"/>
      <c r="Z120" s="126"/>
      <c r="AA120" s="126"/>
      <c r="AB120" s="126"/>
      <c r="AC120" s="126"/>
      <c r="AD120" s="126"/>
      <c r="AE120" s="126"/>
      <c r="AF120" s="126"/>
      <c r="AG120" s="126"/>
      <c r="AH120" s="126"/>
      <c r="AI120" s="126"/>
      <c r="AJ120" s="126"/>
      <c r="AK120" s="126"/>
      <c r="AL120" s="126"/>
      <c r="AM120" s="126"/>
      <c r="AN120" s="126"/>
      <c r="AO120" s="126"/>
    </row>
    <row r="121" spans="1:41" ht="12.75" customHeight="1" x14ac:dyDescent="0.25">
      <c r="A121" s="126"/>
      <c r="B121" s="640"/>
      <c r="C121" s="141"/>
      <c r="D121" s="141"/>
      <c r="E121" s="141"/>
      <c r="F121" s="141"/>
      <c r="G121" s="141"/>
      <c r="H121" s="141"/>
      <c r="I121" s="141"/>
      <c r="J121" s="126"/>
      <c r="K121" s="141"/>
      <c r="L121" s="141"/>
      <c r="M121" s="141"/>
      <c r="N121" s="142"/>
      <c r="O121" s="142"/>
      <c r="P121" s="142"/>
      <c r="Q121" s="142"/>
      <c r="R121" s="142"/>
      <c r="S121" s="142"/>
      <c r="T121" s="142"/>
      <c r="U121" s="142"/>
      <c r="V121" s="141"/>
      <c r="W121" s="126"/>
      <c r="X121" s="126"/>
      <c r="Y121" s="126"/>
      <c r="Z121" s="126"/>
      <c r="AA121" s="126"/>
      <c r="AB121" s="126"/>
      <c r="AC121" s="126"/>
      <c r="AD121" s="126"/>
      <c r="AE121" s="126"/>
      <c r="AF121" s="126"/>
      <c r="AG121" s="126"/>
      <c r="AH121" s="126"/>
      <c r="AI121" s="126"/>
      <c r="AJ121" s="126"/>
      <c r="AK121" s="126"/>
      <c r="AL121" s="126"/>
      <c r="AM121" s="126"/>
      <c r="AN121" s="126"/>
      <c r="AO121" s="126"/>
    </row>
    <row r="122" spans="1:41" ht="12.75" customHeight="1" x14ac:dyDescent="0.25">
      <c r="A122" s="126"/>
      <c r="B122" s="640"/>
      <c r="C122" s="141"/>
      <c r="D122" s="141"/>
      <c r="E122" s="141"/>
      <c r="F122" s="141"/>
      <c r="G122" s="141"/>
      <c r="H122" s="141"/>
      <c r="I122" s="141"/>
      <c r="J122" s="126"/>
      <c r="K122" s="141"/>
      <c r="L122" s="141"/>
      <c r="M122" s="141"/>
      <c r="N122" s="142"/>
      <c r="O122" s="142"/>
      <c r="P122" s="142"/>
      <c r="Q122" s="142"/>
      <c r="R122" s="142"/>
      <c r="S122" s="142"/>
      <c r="T122" s="142"/>
      <c r="U122" s="142"/>
      <c r="V122" s="141"/>
      <c r="W122" s="126"/>
      <c r="X122" s="126"/>
      <c r="Y122" s="126"/>
      <c r="Z122" s="126"/>
      <c r="AA122" s="126"/>
      <c r="AB122" s="126"/>
      <c r="AC122" s="126"/>
      <c r="AD122" s="126"/>
      <c r="AE122" s="126"/>
      <c r="AF122" s="126"/>
      <c r="AG122" s="126"/>
      <c r="AH122" s="126"/>
      <c r="AI122" s="126"/>
      <c r="AJ122" s="126"/>
      <c r="AK122" s="126"/>
      <c r="AL122" s="126"/>
      <c r="AM122" s="126"/>
      <c r="AN122" s="126"/>
      <c r="AO122" s="126"/>
    </row>
    <row r="123" spans="1:41" ht="12.75" customHeight="1" x14ac:dyDescent="0.25">
      <c r="A123" s="126"/>
      <c r="B123" s="640"/>
      <c r="C123" s="141"/>
      <c r="D123" s="141"/>
      <c r="E123" s="141"/>
      <c r="F123" s="141"/>
      <c r="G123" s="141"/>
      <c r="H123" s="141"/>
      <c r="I123" s="141"/>
      <c r="J123" s="126"/>
      <c r="K123" s="141"/>
      <c r="L123" s="141"/>
      <c r="M123" s="141"/>
      <c r="N123" s="142"/>
      <c r="O123" s="142"/>
      <c r="P123" s="142"/>
      <c r="Q123" s="142"/>
      <c r="R123" s="142"/>
      <c r="S123" s="142"/>
      <c r="T123" s="142"/>
      <c r="U123" s="142"/>
      <c r="V123" s="141"/>
      <c r="W123" s="126"/>
      <c r="X123" s="126"/>
      <c r="Y123" s="126"/>
      <c r="Z123" s="126"/>
      <c r="AA123" s="126"/>
      <c r="AB123" s="126"/>
      <c r="AC123" s="126"/>
      <c r="AD123" s="126"/>
      <c r="AE123" s="126"/>
      <c r="AF123" s="126"/>
      <c r="AG123" s="126"/>
      <c r="AH123" s="126"/>
      <c r="AI123" s="126"/>
      <c r="AJ123" s="126"/>
      <c r="AK123" s="126"/>
      <c r="AL123" s="126"/>
      <c r="AM123" s="126"/>
      <c r="AN123" s="126"/>
      <c r="AO123" s="126"/>
    </row>
    <row r="124" spans="1:41" ht="12.75" customHeight="1" x14ac:dyDescent="0.25">
      <c r="A124" s="126"/>
      <c r="B124" s="640"/>
      <c r="C124" s="141"/>
      <c r="D124" s="141"/>
      <c r="E124" s="141"/>
      <c r="F124" s="141"/>
      <c r="G124" s="141"/>
      <c r="H124" s="141"/>
      <c r="I124" s="141"/>
      <c r="J124" s="126"/>
      <c r="K124" s="141"/>
      <c r="L124" s="141"/>
      <c r="M124" s="141"/>
      <c r="N124" s="142"/>
      <c r="O124" s="142"/>
      <c r="P124" s="142"/>
      <c r="Q124" s="142"/>
      <c r="R124" s="142"/>
      <c r="S124" s="142"/>
      <c r="T124" s="142"/>
      <c r="U124" s="142"/>
      <c r="V124" s="141"/>
      <c r="W124" s="126"/>
      <c r="X124" s="126"/>
      <c r="Y124" s="126"/>
      <c r="Z124" s="126"/>
      <c r="AA124" s="126"/>
      <c r="AB124" s="126"/>
      <c r="AC124" s="126"/>
      <c r="AD124" s="126"/>
      <c r="AE124" s="126"/>
      <c r="AF124" s="126"/>
      <c r="AG124" s="126"/>
      <c r="AH124" s="126"/>
      <c r="AI124" s="126"/>
      <c r="AJ124" s="126"/>
      <c r="AK124" s="126"/>
      <c r="AL124" s="126"/>
      <c r="AM124" s="126"/>
      <c r="AN124" s="126"/>
      <c r="AO124" s="126"/>
    </row>
    <row r="125" spans="1:41" ht="12.75" customHeight="1" x14ac:dyDescent="0.25">
      <c r="A125" s="126"/>
      <c r="B125" s="640"/>
      <c r="C125" s="141"/>
      <c r="D125" s="141"/>
      <c r="E125" s="141"/>
      <c r="F125" s="141"/>
      <c r="G125" s="141"/>
      <c r="H125" s="141"/>
      <c r="I125" s="141"/>
      <c r="J125" s="126"/>
      <c r="K125" s="141"/>
      <c r="L125" s="141"/>
      <c r="M125" s="141"/>
      <c r="N125" s="142"/>
      <c r="O125" s="142"/>
      <c r="P125" s="142"/>
      <c r="Q125" s="142"/>
      <c r="R125" s="142"/>
      <c r="S125" s="142"/>
      <c r="T125" s="142"/>
      <c r="U125" s="142"/>
      <c r="V125" s="141"/>
      <c r="W125" s="126"/>
      <c r="X125" s="126"/>
      <c r="Y125" s="126"/>
      <c r="Z125" s="126"/>
      <c r="AA125" s="126"/>
      <c r="AB125" s="126"/>
      <c r="AC125" s="126"/>
      <c r="AD125" s="126"/>
      <c r="AE125" s="126"/>
      <c r="AF125" s="126"/>
      <c r="AG125" s="126"/>
      <c r="AH125" s="126"/>
      <c r="AI125" s="126"/>
      <c r="AJ125" s="126"/>
      <c r="AK125" s="126"/>
      <c r="AL125" s="126"/>
      <c r="AM125" s="126"/>
      <c r="AN125" s="126"/>
      <c r="AO125" s="126"/>
    </row>
    <row r="126" spans="1:41" ht="12.75" customHeight="1" x14ac:dyDescent="0.25">
      <c r="A126" s="126"/>
      <c r="B126" s="640"/>
      <c r="C126" s="141"/>
      <c r="D126" s="141"/>
      <c r="E126" s="141"/>
      <c r="F126" s="141"/>
      <c r="G126" s="141"/>
      <c r="H126" s="141"/>
      <c r="I126" s="141"/>
      <c r="J126" s="126"/>
      <c r="K126" s="141"/>
      <c r="L126" s="141"/>
      <c r="M126" s="141"/>
      <c r="N126" s="142"/>
      <c r="O126" s="142"/>
      <c r="P126" s="142"/>
      <c r="Q126" s="142"/>
      <c r="R126" s="142"/>
      <c r="S126" s="142"/>
      <c r="T126" s="142"/>
      <c r="U126" s="142"/>
      <c r="V126" s="141"/>
      <c r="W126" s="126"/>
      <c r="X126" s="126"/>
      <c r="Y126" s="126"/>
      <c r="Z126" s="126"/>
      <c r="AA126" s="126"/>
      <c r="AB126" s="126"/>
      <c r="AC126" s="126"/>
      <c r="AD126" s="126"/>
      <c r="AE126" s="126"/>
      <c r="AF126" s="126"/>
      <c r="AG126" s="126"/>
      <c r="AH126" s="126"/>
      <c r="AI126" s="126"/>
      <c r="AJ126" s="126"/>
      <c r="AK126" s="126"/>
      <c r="AL126" s="126"/>
      <c r="AM126" s="126"/>
      <c r="AN126" s="126"/>
      <c r="AO126" s="126"/>
    </row>
    <row r="127" spans="1:41" ht="12.75" customHeight="1" x14ac:dyDescent="0.25">
      <c r="A127" s="126"/>
      <c r="B127" s="640"/>
      <c r="C127" s="141"/>
      <c r="D127" s="141"/>
      <c r="E127" s="141"/>
      <c r="F127" s="141"/>
      <c r="G127" s="141"/>
      <c r="H127" s="141"/>
      <c r="I127" s="141"/>
      <c r="J127" s="126"/>
      <c r="K127" s="141"/>
      <c r="L127" s="141"/>
      <c r="M127" s="141"/>
      <c r="N127" s="142"/>
      <c r="O127" s="142"/>
      <c r="P127" s="142"/>
      <c r="Q127" s="142"/>
      <c r="R127" s="142"/>
      <c r="S127" s="142"/>
      <c r="T127" s="142"/>
      <c r="U127" s="142"/>
      <c r="V127" s="141"/>
      <c r="W127" s="126"/>
      <c r="X127" s="126"/>
      <c r="Y127" s="126"/>
      <c r="Z127" s="126"/>
      <c r="AA127" s="126"/>
      <c r="AB127" s="126"/>
      <c r="AC127" s="126"/>
      <c r="AD127" s="126"/>
      <c r="AE127" s="126"/>
      <c r="AF127" s="126"/>
      <c r="AG127" s="126"/>
      <c r="AH127" s="126"/>
      <c r="AI127" s="126"/>
      <c r="AJ127" s="126"/>
      <c r="AK127" s="126"/>
      <c r="AL127" s="126"/>
      <c r="AM127" s="126"/>
      <c r="AN127" s="126"/>
      <c r="AO127" s="126"/>
    </row>
    <row r="128" spans="1:41" ht="12.75" customHeight="1" x14ac:dyDescent="0.25">
      <c r="A128" s="126"/>
      <c r="B128" s="640"/>
      <c r="C128" s="141"/>
      <c r="D128" s="141"/>
      <c r="E128" s="141"/>
      <c r="F128" s="141"/>
      <c r="G128" s="141"/>
      <c r="H128" s="141"/>
      <c r="I128" s="141"/>
      <c r="J128" s="126"/>
      <c r="K128" s="141"/>
      <c r="L128" s="141"/>
      <c r="M128" s="141"/>
      <c r="N128" s="142"/>
      <c r="O128" s="142"/>
      <c r="P128" s="142"/>
      <c r="Q128" s="142"/>
      <c r="R128" s="142"/>
      <c r="S128" s="142"/>
      <c r="T128" s="142"/>
      <c r="U128" s="142"/>
      <c r="V128" s="141"/>
      <c r="W128" s="126"/>
      <c r="X128" s="126"/>
      <c r="Y128" s="126"/>
      <c r="Z128" s="126"/>
      <c r="AA128" s="126"/>
      <c r="AB128" s="126"/>
      <c r="AC128" s="126"/>
      <c r="AD128" s="126"/>
      <c r="AE128" s="126"/>
      <c r="AF128" s="126"/>
      <c r="AG128" s="126"/>
      <c r="AH128" s="126"/>
      <c r="AI128" s="126"/>
      <c r="AJ128" s="126"/>
      <c r="AK128" s="126"/>
      <c r="AL128" s="126"/>
      <c r="AM128" s="126"/>
      <c r="AN128" s="126"/>
      <c r="AO128" s="126"/>
    </row>
    <row r="129" spans="1:41" ht="12.75" customHeight="1" x14ac:dyDescent="0.25">
      <c r="A129" s="126"/>
      <c r="B129" s="640"/>
      <c r="C129" s="141"/>
      <c r="D129" s="141"/>
      <c r="E129" s="141"/>
      <c r="F129" s="141"/>
      <c r="G129" s="141"/>
      <c r="H129" s="141"/>
      <c r="I129" s="141"/>
      <c r="J129" s="126"/>
      <c r="K129" s="141"/>
      <c r="L129" s="141"/>
      <c r="M129" s="141"/>
      <c r="N129" s="142"/>
      <c r="O129" s="142"/>
      <c r="P129" s="142"/>
      <c r="Q129" s="142"/>
      <c r="R129" s="142"/>
      <c r="S129" s="142"/>
      <c r="T129" s="142"/>
      <c r="U129" s="142"/>
      <c r="V129" s="141"/>
      <c r="W129" s="126"/>
      <c r="X129" s="126"/>
      <c r="Y129" s="126"/>
      <c r="Z129" s="126"/>
      <c r="AA129" s="126"/>
      <c r="AB129" s="126"/>
      <c r="AC129" s="126"/>
      <c r="AD129" s="126"/>
      <c r="AE129" s="126"/>
      <c r="AF129" s="126"/>
      <c r="AG129" s="126"/>
      <c r="AH129" s="126"/>
      <c r="AI129" s="126"/>
      <c r="AJ129" s="126"/>
      <c r="AK129" s="126"/>
      <c r="AL129" s="126"/>
      <c r="AM129" s="126"/>
      <c r="AN129" s="126"/>
      <c r="AO129" s="126"/>
    </row>
    <row r="130" spans="1:41" ht="12.75" customHeight="1" x14ac:dyDescent="0.25">
      <c r="A130" s="126"/>
      <c r="B130" s="640"/>
      <c r="C130" s="141"/>
      <c r="D130" s="141"/>
      <c r="E130" s="141"/>
      <c r="F130" s="141"/>
      <c r="G130" s="141"/>
      <c r="H130" s="141"/>
      <c r="I130" s="141"/>
      <c r="J130" s="126"/>
      <c r="K130" s="141"/>
      <c r="L130" s="141"/>
      <c r="M130" s="141"/>
      <c r="N130" s="142"/>
      <c r="O130" s="142"/>
      <c r="P130" s="142"/>
      <c r="Q130" s="142"/>
      <c r="R130" s="142"/>
      <c r="S130" s="142"/>
      <c r="T130" s="142"/>
      <c r="U130" s="142"/>
      <c r="V130" s="141"/>
      <c r="W130" s="126"/>
      <c r="X130" s="126"/>
      <c r="Y130" s="126"/>
      <c r="Z130" s="126"/>
      <c r="AA130" s="126"/>
      <c r="AB130" s="126"/>
      <c r="AC130" s="126"/>
      <c r="AD130" s="126"/>
      <c r="AE130" s="126"/>
      <c r="AF130" s="126"/>
      <c r="AG130" s="126"/>
      <c r="AH130" s="126"/>
      <c r="AI130" s="126"/>
      <c r="AJ130" s="126"/>
      <c r="AK130" s="126"/>
      <c r="AL130" s="126"/>
      <c r="AM130" s="126"/>
      <c r="AN130" s="126"/>
      <c r="AO130" s="126"/>
    </row>
    <row r="131" spans="1:41" ht="12.75" customHeight="1" x14ac:dyDescent="0.25">
      <c r="A131" s="126"/>
      <c r="B131" s="640"/>
      <c r="C131" s="141"/>
      <c r="D131" s="141"/>
      <c r="E131" s="141"/>
      <c r="F131" s="141"/>
      <c r="G131" s="141"/>
      <c r="H131" s="141"/>
      <c r="I131" s="141"/>
      <c r="J131" s="126"/>
      <c r="K131" s="141"/>
      <c r="L131" s="141"/>
      <c r="M131" s="141"/>
      <c r="N131" s="142"/>
      <c r="O131" s="142"/>
      <c r="P131" s="142"/>
      <c r="Q131" s="142"/>
      <c r="R131" s="142"/>
      <c r="S131" s="142"/>
      <c r="T131" s="142"/>
      <c r="U131" s="142"/>
      <c r="V131" s="141"/>
      <c r="W131" s="126"/>
      <c r="X131" s="126"/>
      <c r="Y131" s="126"/>
      <c r="Z131" s="126"/>
      <c r="AA131" s="126"/>
      <c r="AB131" s="126"/>
      <c r="AC131" s="126"/>
      <c r="AD131" s="126"/>
      <c r="AE131" s="126"/>
      <c r="AF131" s="126"/>
      <c r="AG131" s="126"/>
      <c r="AH131" s="126"/>
      <c r="AI131" s="126"/>
      <c r="AJ131" s="126"/>
      <c r="AK131" s="126"/>
      <c r="AL131" s="126"/>
      <c r="AM131" s="126"/>
      <c r="AN131" s="126"/>
      <c r="AO131" s="126"/>
    </row>
    <row r="132" spans="1:41" ht="12.75" customHeight="1" x14ac:dyDescent="0.25">
      <c r="A132" s="126"/>
      <c r="B132" s="640"/>
      <c r="C132" s="141"/>
      <c r="D132" s="141"/>
      <c r="E132" s="141"/>
      <c r="F132" s="141"/>
      <c r="G132" s="141"/>
      <c r="H132" s="141"/>
      <c r="I132" s="141"/>
      <c r="J132" s="126"/>
      <c r="K132" s="141"/>
      <c r="L132" s="141"/>
      <c r="M132" s="141"/>
      <c r="N132" s="142"/>
      <c r="O132" s="142"/>
      <c r="P132" s="142"/>
      <c r="Q132" s="142"/>
      <c r="R132" s="142"/>
      <c r="S132" s="142"/>
      <c r="T132" s="142"/>
      <c r="U132" s="142"/>
      <c r="V132" s="141"/>
      <c r="W132" s="126"/>
      <c r="X132" s="126"/>
      <c r="Y132" s="126"/>
      <c r="Z132" s="126"/>
      <c r="AA132" s="126"/>
      <c r="AB132" s="126"/>
      <c r="AC132" s="126"/>
      <c r="AD132" s="126"/>
      <c r="AE132" s="126"/>
      <c r="AF132" s="126"/>
      <c r="AG132" s="126"/>
      <c r="AH132" s="126"/>
      <c r="AI132" s="126"/>
      <c r="AJ132" s="126"/>
      <c r="AK132" s="126"/>
      <c r="AL132" s="126"/>
      <c r="AM132" s="126"/>
      <c r="AN132" s="126"/>
      <c r="AO132" s="126"/>
    </row>
    <row r="133" spans="1:41" ht="12.75" customHeight="1" x14ac:dyDescent="0.25">
      <c r="A133" s="126"/>
      <c r="B133" s="640"/>
      <c r="C133" s="141"/>
      <c r="D133" s="141"/>
      <c r="E133" s="141"/>
      <c r="F133" s="141"/>
      <c r="G133" s="141"/>
      <c r="H133" s="141"/>
      <c r="I133" s="141"/>
      <c r="J133" s="126"/>
      <c r="K133" s="141"/>
      <c r="L133" s="141"/>
      <c r="M133" s="141"/>
      <c r="N133" s="142"/>
      <c r="O133" s="142"/>
      <c r="P133" s="142"/>
      <c r="Q133" s="142"/>
      <c r="R133" s="142"/>
      <c r="S133" s="142"/>
      <c r="T133" s="142"/>
      <c r="U133" s="142"/>
      <c r="V133" s="141"/>
      <c r="W133" s="126"/>
      <c r="X133" s="126"/>
      <c r="Y133" s="126"/>
      <c r="Z133" s="126"/>
      <c r="AA133" s="126"/>
      <c r="AB133" s="126"/>
      <c r="AC133" s="126"/>
      <c r="AD133" s="126"/>
      <c r="AE133" s="126"/>
      <c r="AF133" s="126"/>
      <c r="AG133" s="126"/>
      <c r="AH133" s="126"/>
      <c r="AI133" s="126"/>
      <c r="AJ133" s="126"/>
      <c r="AK133" s="126"/>
      <c r="AL133" s="126"/>
      <c r="AM133" s="126"/>
      <c r="AN133" s="126"/>
      <c r="AO133" s="126"/>
    </row>
    <row r="134" spans="1:41" ht="12.75" customHeight="1" x14ac:dyDescent="0.25">
      <c r="A134" s="126"/>
      <c r="B134" s="640"/>
      <c r="C134" s="141"/>
      <c r="D134" s="141"/>
      <c r="E134" s="141"/>
      <c r="F134" s="141"/>
      <c r="G134" s="141"/>
      <c r="H134" s="141"/>
      <c r="I134" s="141"/>
      <c r="J134" s="126"/>
      <c r="K134" s="141"/>
      <c r="L134" s="141"/>
      <c r="M134" s="141"/>
      <c r="N134" s="142"/>
      <c r="O134" s="142"/>
      <c r="P134" s="142"/>
      <c r="Q134" s="142"/>
      <c r="R134" s="142"/>
      <c r="S134" s="142"/>
      <c r="T134" s="142"/>
      <c r="U134" s="142"/>
      <c r="V134" s="141"/>
      <c r="W134" s="126"/>
      <c r="X134" s="126"/>
      <c r="Y134" s="126"/>
      <c r="Z134" s="126"/>
      <c r="AA134" s="126"/>
      <c r="AB134" s="126"/>
      <c r="AC134" s="126"/>
      <c r="AD134" s="126"/>
      <c r="AE134" s="126"/>
      <c r="AF134" s="126"/>
      <c r="AG134" s="126"/>
      <c r="AH134" s="126"/>
      <c r="AI134" s="126"/>
      <c r="AJ134" s="126"/>
      <c r="AK134" s="126"/>
      <c r="AL134" s="126"/>
      <c r="AM134" s="126"/>
      <c r="AN134" s="126"/>
      <c r="AO134" s="126"/>
    </row>
    <row r="135" spans="1:41" ht="12.75" customHeight="1" x14ac:dyDescent="0.25">
      <c r="A135" s="126"/>
      <c r="B135" s="640"/>
      <c r="C135" s="141"/>
      <c r="D135" s="141"/>
      <c r="E135" s="141"/>
      <c r="F135" s="141"/>
      <c r="G135" s="141"/>
      <c r="H135" s="141"/>
      <c r="I135" s="141"/>
      <c r="J135" s="126"/>
      <c r="K135" s="141"/>
      <c r="L135" s="141"/>
      <c r="M135" s="141"/>
      <c r="N135" s="142"/>
      <c r="O135" s="142"/>
      <c r="P135" s="142"/>
      <c r="Q135" s="142"/>
      <c r="R135" s="142"/>
      <c r="S135" s="142"/>
      <c r="T135" s="142"/>
      <c r="U135" s="142"/>
      <c r="V135" s="141"/>
      <c r="W135" s="126"/>
      <c r="X135" s="126"/>
      <c r="Y135" s="126"/>
      <c r="Z135" s="126"/>
      <c r="AA135" s="126"/>
      <c r="AB135" s="126"/>
      <c r="AC135" s="126"/>
      <c r="AD135" s="126"/>
      <c r="AE135" s="126"/>
      <c r="AF135" s="126"/>
      <c r="AG135" s="126"/>
      <c r="AH135" s="126"/>
      <c r="AI135" s="126"/>
      <c r="AJ135" s="126"/>
      <c r="AK135" s="126"/>
      <c r="AL135" s="126"/>
      <c r="AM135" s="126"/>
      <c r="AN135" s="126"/>
      <c r="AO135" s="126"/>
    </row>
    <row r="136" spans="1:41" ht="12.75" customHeight="1" x14ac:dyDescent="0.25">
      <c r="A136" s="126"/>
      <c r="B136" s="640"/>
      <c r="C136" s="141"/>
      <c r="D136" s="141"/>
      <c r="E136" s="141"/>
      <c r="F136" s="141"/>
      <c r="G136" s="141"/>
      <c r="H136" s="141"/>
      <c r="I136" s="141"/>
      <c r="J136" s="126"/>
      <c r="K136" s="141"/>
      <c r="L136" s="141"/>
      <c r="M136" s="141"/>
      <c r="N136" s="142"/>
      <c r="O136" s="142"/>
      <c r="P136" s="142"/>
      <c r="Q136" s="142"/>
      <c r="R136" s="142"/>
      <c r="S136" s="142"/>
      <c r="T136" s="142"/>
      <c r="U136" s="142"/>
      <c r="V136" s="141"/>
      <c r="W136" s="126"/>
      <c r="X136" s="126"/>
      <c r="Y136" s="126"/>
      <c r="Z136" s="126"/>
      <c r="AA136" s="126"/>
      <c r="AB136" s="126"/>
      <c r="AC136" s="126"/>
      <c r="AD136" s="126"/>
      <c r="AE136" s="126"/>
      <c r="AF136" s="126"/>
      <c r="AG136" s="126"/>
      <c r="AH136" s="126"/>
      <c r="AI136" s="126"/>
      <c r="AJ136" s="126"/>
      <c r="AK136" s="126"/>
      <c r="AL136" s="126"/>
      <c r="AM136" s="126"/>
      <c r="AN136" s="126"/>
      <c r="AO136" s="126"/>
    </row>
    <row r="137" spans="1:41" ht="12.75" customHeight="1" x14ac:dyDescent="0.25">
      <c r="A137" s="126"/>
      <c r="B137" s="640"/>
      <c r="C137" s="141"/>
      <c r="D137" s="141"/>
      <c r="E137" s="141"/>
      <c r="F137" s="141"/>
      <c r="G137" s="141"/>
      <c r="H137" s="141"/>
      <c r="I137" s="141"/>
      <c r="J137" s="126"/>
      <c r="K137" s="141"/>
      <c r="L137" s="141"/>
      <c r="M137" s="141"/>
      <c r="N137" s="142"/>
      <c r="O137" s="142"/>
      <c r="P137" s="142"/>
      <c r="Q137" s="142"/>
      <c r="R137" s="142"/>
      <c r="S137" s="142"/>
      <c r="T137" s="142"/>
      <c r="U137" s="142"/>
      <c r="V137" s="141"/>
      <c r="W137" s="126"/>
      <c r="X137" s="126"/>
      <c r="Y137" s="126"/>
      <c r="Z137" s="126"/>
      <c r="AA137" s="126"/>
      <c r="AB137" s="126"/>
      <c r="AC137" s="126"/>
      <c r="AD137" s="126"/>
      <c r="AE137" s="126"/>
      <c r="AF137" s="126"/>
      <c r="AG137" s="126"/>
      <c r="AH137" s="126"/>
      <c r="AI137" s="126"/>
      <c r="AJ137" s="126"/>
      <c r="AK137" s="126"/>
      <c r="AL137" s="126"/>
      <c r="AM137" s="126"/>
      <c r="AN137" s="126"/>
      <c r="AO137" s="126"/>
    </row>
    <row r="138" spans="1:41" ht="12.75" customHeight="1" x14ac:dyDescent="0.25">
      <c r="A138" s="126"/>
      <c r="B138" s="640"/>
      <c r="C138" s="141"/>
      <c r="D138" s="141"/>
      <c r="E138" s="141"/>
      <c r="F138" s="141"/>
      <c r="G138" s="141"/>
      <c r="H138" s="141"/>
      <c r="I138" s="141"/>
      <c r="J138" s="126"/>
      <c r="K138" s="141"/>
      <c r="L138" s="141"/>
      <c r="M138" s="141"/>
      <c r="N138" s="142"/>
      <c r="O138" s="142"/>
      <c r="P138" s="142"/>
      <c r="Q138" s="142"/>
      <c r="R138" s="142"/>
      <c r="S138" s="142"/>
      <c r="T138" s="142"/>
      <c r="U138" s="142"/>
      <c r="V138" s="141"/>
      <c r="W138" s="126"/>
      <c r="X138" s="126"/>
      <c r="Y138" s="126"/>
      <c r="Z138" s="126"/>
      <c r="AA138" s="126"/>
      <c r="AB138" s="126"/>
      <c r="AC138" s="126"/>
      <c r="AD138" s="126"/>
      <c r="AE138" s="126"/>
      <c r="AF138" s="126"/>
      <c r="AG138" s="126"/>
      <c r="AH138" s="126"/>
      <c r="AI138" s="126"/>
      <c r="AJ138" s="126"/>
      <c r="AK138" s="126"/>
      <c r="AL138" s="126"/>
      <c r="AM138" s="126"/>
      <c r="AN138" s="126"/>
      <c r="AO138" s="126"/>
    </row>
    <row r="139" spans="1:41" ht="12.75" customHeight="1" x14ac:dyDescent="0.25">
      <c r="A139" s="126"/>
      <c r="B139" s="640"/>
      <c r="C139" s="141"/>
      <c r="D139" s="141"/>
      <c r="E139" s="141"/>
      <c r="F139" s="141"/>
      <c r="G139" s="141"/>
      <c r="H139" s="141"/>
      <c r="I139" s="141"/>
      <c r="J139" s="126"/>
      <c r="K139" s="141"/>
      <c r="L139" s="141"/>
      <c r="M139" s="141"/>
      <c r="N139" s="142"/>
      <c r="O139" s="142"/>
      <c r="P139" s="142"/>
      <c r="Q139" s="142"/>
      <c r="R139" s="142"/>
      <c r="S139" s="142"/>
      <c r="T139" s="142"/>
      <c r="U139" s="142"/>
      <c r="V139" s="141"/>
      <c r="W139" s="126"/>
      <c r="X139" s="126"/>
      <c r="Y139" s="126"/>
      <c r="Z139" s="126"/>
      <c r="AA139" s="126"/>
      <c r="AB139" s="126"/>
      <c r="AC139" s="126"/>
      <c r="AD139" s="126"/>
      <c r="AE139" s="126"/>
      <c r="AF139" s="126"/>
      <c r="AG139" s="126"/>
      <c r="AH139" s="126"/>
      <c r="AI139" s="126"/>
      <c r="AJ139" s="126"/>
      <c r="AK139" s="126"/>
      <c r="AL139" s="126"/>
      <c r="AM139" s="126"/>
      <c r="AN139" s="126"/>
      <c r="AO139" s="126"/>
    </row>
    <row r="140" spans="1:41" ht="12.75" customHeight="1" x14ac:dyDescent="0.25">
      <c r="A140" s="126"/>
      <c r="B140" s="640"/>
      <c r="C140" s="141"/>
      <c r="D140" s="141"/>
      <c r="E140" s="141"/>
      <c r="F140" s="141"/>
      <c r="G140" s="141"/>
      <c r="H140" s="141"/>
      <c r="I140" s="141"/>
      <c r="J140" s="126"/>
      <c r="K140" s="141"/>
      <c r="L140" s="141"/>
      <c r="M140" s="141"/>
      <c r="N140" s="142"/>
      <c r="O140" s="142"/>
      <c r="P140" s="142"/>
      <c r="Q140" s="142"/>
      <c r="R140" s="142"/>
      <c r="S140" s="142"/>
      <c r="T140" s="142"/>
      <c r="U140" s="142"/>
      <c r="V140" s="141"/>
      <c r="W140" s="126"/>
      <c r="X140" s="126"/>
      <c r="Y140" s="126"/>
      <c r="Z140" s="126"/>
      <c r="AA140" s="126"/>
      <c r="AB140" s="126"/>
      <c r="AC140" s="126"/>
      <c r="AD140" s="126"/>
      <c r="AE140" s="126"/>
      <c r="AF140" s="126"/>
      <c r="AG140" s="126"/>
      <c r="AH140" s="126"/>
      <c r="AI140" s="126"/>
      <c r="AJ140" s="126"/>
      <c r="AK140" s="126"/>
      <c r="AL140" s="126"/>
      <c r="AM140" s="126"/>
      <c r="AN140" s="126"/>
      <c r="AO140" s="126"/>
    </row>
    <row r="141" spans="1:41" ht="12.75" customHeight="1" x14ac:dyDescent="0.25">
      <c r="A141" s="126"/>
      <c r="B141" s="640"/>
      <c r="C141" s="141"/>
      <c r="D141" s="141"/>
      <c r="E141" s="141"/>
      <c r="F141" s="141"/>
      <c r="G141" s="141"/>
      <c r="H141" s="141"/>
      <c r="I141" s="141"/>
      <c r="J141" s="126"/>
      <c r="K141" s="141"/>
      <c r="L141" s="141"/>
      <c r="M141" s="141"/>
      <c r="N141" s="142"/>
      <c r="O141" s="142"/>
      <c r="P141" s="142"/>
      <c r="Q141" s="142"/>
      <c r="R141" s="142"/>
      <c r="S141" s="142"/>
      <c r="T141" s="142"/>
      <c r="U141" s="142"/>
      <c r="V141" s="141"/>
      <c r="W141" s="126"/>
      <c r="X141" s="126"/>
      <c r="Y141" s="126"/>
      <c r="Z141" s="126"/>
      <c r="AA141" s="126"/>
      <c r="AB141" s="126"/>
      <c r="AC141" s="126"/>
      <c r="AD141" s="126"/>
      <c r="AE141" s="126"/>
      <c r="AF141" s="126"/>
      <c r="AG141" s="126"/>
      <c r="AH141" s="126"/>
      <c r="AI141" s="126"/>
      <c r="AJ141" s="126"/>
      <c r="AK141" s="126"/>
      <c r="AL141" s="126"/>
      <c r="AM141" s="126"/>
      <c r="AN141" s="126"/>
      <c r="AO141" s="126"/>
    </row>
    <row r="142" spans="1:41" ht="12.75" customHeight="1" x14ac:dyDescent="0.25">
      <c r="A142" s="126"/>
      <c r="B142" s="640"/>
      <c r="C142" s="141"/>
      <c r="D142" s="141"/>
      <c r="E142" s="141"/>
      <c r="F142" s="141"/>
      <c r="G142" s="141"/>
      <c r="H142" s="141"/>
      <c r="I142" s="141"/>
      <c r="J142" s="126"/>
      <c r="K142" s="141"/>
      <c r="L142" s="141"/>
      <c r="M142" s="141"/>
      <c r="N142" s="142"/>
      <c r="O142" s="142"/>
      <c r="P142" s="142"/>
      <c r="Q142" s="142"/>
      <c r="R142" s="142"/>
      <c r="S142" s="142"/>
      <c r="T142" s="142"/>
      <c r="U142" s="142"/>
      <c r="V142" s="141"/>
      <c r="W142" s="126"/>
      <c r="X142" s="126"/>
      <c r="Y142" s="126"/>
      <c r="Z142" s="126"/>
      <c r="AA142" s="126"/>
      <c r="AB142" s="126"/>
      <c r="AC142" s="126"/>
      <c r="AD142" s="126"/>
      <c r="AE142" s="126"/>
      <c r="AF142" s="126"/>
      <c r="AG142" s="126"/>
      <c r="AH142" s="126"/>
      <c r="AI142" s="126"/>
      <c r="AJ142" s="126"/>
      <c r="AK142" s="126"/>
      <c r="AL142" s="126"/>
      <c r="AM142" s="126"/>
      <c r="AN142" s="126"/>
      <c r="AO142" s="126"/>
    </row>
    <row r="143" spans="1:41" ht="12.75" customHeight="1" x14ac:dyDescent="0.25">
      <c r="A143" s="126"/>
      <c r="B143" s="640"/>
      <c r="C143" s="141"/>
      <c r="D143" s="141"/>
      <c r="E143" s="141"/>
      <c r="F143" s="141"/>
      <c r="G143" s="141"/>
      <c r="H143" s="141"/>
      <c r="I143" s="141"/>
      <c r="J143" s="126"/>
      <c r="K143" s="141"/>
      <c r="L143" s="141"/>
      <c r="M143" s="141"/>
      <c r="N143" s="142"/>
      <c r="O143" s="142"/>
      <c r="P143" s="142"/>
      <c r="Q143" s="142"/>
      <c r="R143" s="142"/>
      <c r="S143" s="142"/>
      <c r="T143" s="142"/>
      <c r="U143" s="142"/>
      <c r="V143" s="141"/>
      <c r="W143" s="126"/>
      <c r="X143" s="126"/>
      <c r="Y143" s="126"/>
      <c r="Z143" s="126"/>
      <c r="AA143" s="126"/>
      <c r="AB143" s="126"/>
      <c r="AC143" s="126"/>
      <c r="AD143" s="126"/>
      <c r="AE143" s="126"/>
      <c r="AF143" s="126"/>
      <c r="AG143" s="126"/>
      <c r="AH143" s="126"/>
      <c r="AI143" s="126"/>
      <c r="AJ143" s="126"/>
      <c r="AK143" s="126"/>
      <c r="AL143" s="126"/>
      <c r="AM143" s="126"/>
      <c r="AN143" s="126"/>
      <c r="AO143" s="126"/>
    </row>
    <row r="144" spans="1:41" ht="12.75" customHeight="1" x14ac:dyDescent="0.25">
      <c r="A144" s="126"/>
      <c r="B144" s="640"/>
      <c r="C144" s="141"/>
      <c r="D144" s="141"/>
      <c r="E144" s="141"/>
      <c r="F144" s="141"/>
      <c r="G144" s="141"/>
      <c r="H144" s="141"/>
      <c r="I144" s="141"/>
      <c r="J144" s="126"/>
      <c r="K144" s="141"/>
      <c r="L144" s="141"/>
      <c r="M144" s="141"/>
      <c r="N144" s="142"/>
      <c r="O144" s="142"/>
      <c r="P144" s="142"/>
      <c r="Q144" s="142"/>
      <c r="R144" s="142"/>
      <c r="S144" s="142"/>
      <c r="T144" s="142"/>
      <c r="U144" s="142"/>
      <c r="V144" s="141"/>
      <c r="W144" s="126"/>
      <c r="X144" s="126"/>
      <c r="Y144" s="126"/>
      <c r="Z144" s="126"/>
      <c r="AA144" s="126"/>
      <c r="AB144" s="126"/>
      <c r="AC144" s="126"/>
      <c r="AD144" s="126"/>
      <c r="AE144" s="126"/>
      <c r="AF144" s="126"/>
      <c r="AG144" s="126"/>
      <c r="AH144" s="126"/>
      <c r="AI144" s="126"/>
      <c r="AJ144" s="126"/>
      <c r="AK144" s="126"/>
      <c r="AL144" s="126"/>
      <c r="AM144" s="126"/>
      <c r="AN144" s="126"/>
      <c r="AO144" s="126"/>
    </row>
    <row r="145" spans="1:41" ht="12.75" customHeight="1" x14ac:dyDescent="0.25">
      <c r="A145" s="126"/>
      <c r="B145" s="640"/>
      <c r="C145" s="141"/>
      <c r="D145" s="141"/>
      <c r="E145" s="141"/>
      <c r="F145" s="141"/>
      <c r="G145" s="141"/>
      <c r="H145" s="141"/>
      <c r="I145" s="141"/>
      <c r="J145" s="126"/>
      <c r="K145" s="141"/>
      <c r="L145" s="141"/>
      <c r="M145" s="141"/>
      <c r="N145" s="142"/>
      <c r="O145" s="142"/>
      <c r="P145" s="142"/>
      <c r="Q145" s="142"/>
      <c r="R145" s="142"/>
      <c r="S145" s="142"/>
      <c r="T145" s="142"/>
      <c r="U145" s="142"/>
      <c r="V145" s="141"/>
      <c r="W145" s="126"/>
      <c r="X145" s="126"/>
      <c r="Y145" s="126"/>
      <c r="Z145" s="126"/>
      <c r="AA145" s="126"/>
      <c r="AB145" s="126"/>
      <c r="AC145" s="126"/>
      <c r="AD145" s="126"/>
      <c r="AE145" s="126"/>
      <c r="AF145" s="126"/>
      <c r="AG145" s="126"/>
      <c r="AH145" s="126"/>
      <c r="AI145" s="126"/>
      <c r="AJ145" s="126"/>
      <c r="AK145" s="126"/>
      <c r="AL145" s="126"/>
      <c r="AM145" s="126"/>
      <c r="AN145" s="126"/>
      <c r="AO145" s="126"/>
    </row>
    <row r="146" spans="1:41" ht="12.75" customHeight="1" x14ac:dyDescent="0.25">
      <c r="A146" s="126"/>
      <c r="B146" s="640"/>
      <c r="C146" s="141"/>
      <c r="D146" s="141"/>
      <c r="E146" s="141"/>
      <c r="F146" s="141"/>
      <c r="G146" s="141"/>
      <c r="H146" s="141"/>
      <c r="I146" s="141"/>
      <c r="J146" s="126"/>
      <c r="K146" s="141"/>
      <c r="L146" s="141"/>
      <c r="M146" s="141"/>
      <c r="N146" s="142"/>
      <c r="O146" s="142"/>
      <c r="P146" s="142"/>
      <c r="Q146" s="142"/>
      <c r="R146" s="142"/>
      <c r="S146" s="142"/>
      <c r="T146" s="142"/>
      <c r="U146" s="142"/>
      <c r="V146" s="141"/>
      <c r="W146" s="126"/>
      <c r="X146" s="126"/>
      <c r="Y146" s="126"/>
      <c r="Z146" s="126"/>
      <c r="AA146" s="126"/>
      <c r="AB146" s="126"/>
      <c r="AC146" s="126"/>
      <c r="AD146" s="126"/>
      <c r="AE146" s="126"/>
      <c r="AF146" s="126"/>
      <c r="AG146" s="126"/>
      <c r="AH146" s="126"/>
      <c r="AI146" s="126"/>
      <c r="AJ146" s="126"/>
      <c r="AK146" s="126"/>
      <c r="AL146" s="126"/>
      <c r="AM146" s="126"/>
      <c r="AN146" s="126"/>
      <c r="AO146" s="126"/>
    </row>
    <row r="147" spans="1:41" ht="12.75" customHeight="1" x14ac:dyDescent="0.25">
      <c r="A147" s="126"/>
      <c r="B147" s="640"/>
      <c r="C147" s="141"/>
      <c r="D147" s="141"/>
      <c r="E147" s="141"/>
      <c r="F147" s="141"/>
      <c r="G147" s="141"/>
      <c r="H147" s="141"/>
      <c r="I147" s="141"/>
      <c r="J147" s="126"/>
      <c r="K147" s="141"/>
      <c r="L147" s="141"/>
      <c r="M147" s="141"/>
      <c r="N147" s="142"/>
      <c r="O147" s="142"/>
      <c r="P147" s="142"/>
      <c r="Q147" s="142"/>
      <c r="R147" s="142"/>
      <c r="S147" s="142"/>
      <c r="T147" s="142"/>
      <c r="U147" s="142"/>
      <c r="V147" s="141"/>
      <c r="W147" s="126"/>
      <c r="X147" s="126"/>
      <c r="Y147" s="126"/>
      <c r="Z147" s="126"/>
      <c r="AA147" s="126"/>
      <c r="AB147" s="126"/>
      <c r="AC147" s="126"/>
      <c r="AD147" s="126"/>
      <c r="AE147" s="126"/>
      <c r="AF147" s="126"/>
      <c r="AG147" s="126"/>
      <c r="AH147" s="126"/>
      <c r="AI147" s="126"/>
      <c r="AJ147" s="126"/>
      <c r="AK147" s="126"/>
      <c r="AL147" s="126"/>
      <c r="AM147" s="126"/>
      <c r="AN147" s="126"/>
      <c r="AO147" s="126"/>
    </row>
    <row r="148" spans="1:41" ht="12.75" customHeight="1" x14ac:dyDescent="0.25">
      <c r="A148" s="126"/>
      <c r="B148" s="640"/>
      <c r="C148" s="141"/>
      <c r="D148" s="141"/>
      <c r="E148" s="141"/>
      <c r="F148" s="141"/>
      <c r="G148" s="141"/>
      <c r="H148" s="141"/>
      <c r="I148" s="141"/>
      <c r="J148" s="126"/>
      <c r="K148" s="141"/>
      <c r="L148" s="141"/>
      <c r="M148" s="141"/>
      <c r="N148" s="142"/>
      <c r="O148" s="142"/>
      <c r="P148" s="142"/>
      <c r="Q148" s="142"/>
      <c r="R148" s="142"/>
      <c r="S148" s="142"/>
      <c r="T148" s="142"/>
      <c r="U148" s="142"/>
      <c r="V148" s="141"/>
      <c r="W148" s="126"/>
      <c r="X148" s="126"/>
      <c r="Y148" s="126"/>
      <c r="Z148" s="126"/>
      <c r="AA148" s="126"/>
      <c r="AB148" s="126"/>
      <c r="AC148" s="126"/>
      <c r="AD148" s="126"/>
      <c r="AE148" s="126"/>
      <c r="AF148" s="126"/>
      <c r="AG148" s="126"/>
      <c r="AH148" s="126"/>
      <c r="AI148" s="126"/>
      <c r="AJ148" s="126"/>
      <c r="AK148" s="126"/>
      <c r="AL148" s="126"/>
      <c r="AM148" s="126"/>
      <c r="AN148" s="126"/>
      <c r="AO148" s="126"/>
    </row>
    <row r="149" spans="1:41" ht="12.75" customHeight="1" x14ac:dyDescent="0.25">
      <c r="A149" s="126"/>
      <c r="B149" s="640"/>
      <c r="C149" s="141"/>
      <c r="D149" s="141"/>
      <c r="E149" s="141"/>
      <c r="F149" s="141"/>
      <c r="G149" s="141"/>
      <c r="H149" s="141"/>
      <c r="I149" s="141"/>
      <c r="J149" s="126"/>
      <c r="K149" s="141"/>
      <c r="L149" s="141"/>
      <c r="M149" s="141"/>
      <c r="N149" s="142"/>
      <c r="O149" s="142"/>
      <c r="P149" s="142"/>
      <c r="Q149" s="142"/>
      <c r="R149" s="142"/>
      <c r="S149" s="142"/>
      <c r="T149" s="142"/>
      <c r="U149" s="142"/>
      <c r="V149" s="141"/>
      <c r="W149" s="126"/>
      <c r="X149" s="126"/>
      <c r="Y149" s="126"/>
      <c r="Z149" s="126"/>
      <c r="AA149" s="126"/>
      <c r="AB149" s="126"/>
      <c r="AC149" s="126"/>
      <c r="AD149" s="126"/>
      <c r="AE149" s="126"/>
      <c r="AF149" s="126"/>
      <c r="AG149" s="126"/>
      <c r="AH149" s="126"/>
      <c r="AI149" s="126"/>
      <c r="AJ149" s="126"/>
      <c r="AK149" s="126"/>
      <c r="AL149" s="126"/>
      <c r="AM149" s="126"/>
      <c r="AN149" s="126"/>
      <c r="AO149" s="126"/>
    </row>
    <row r="150" spans="1:41" ht="12.75" customHeight="1" x14ac:dyDescent="0.25">
      <c r="A150" s="126"/>
      <c r="B150" s="640"/>
      <c r="C150" s="141"/>
      <c r="D150" s="141"/>
      <c r="E150" s="141"/>
      <c r="F150" s="141"/>
      <c r="G150" s="141"/>
      <c r="H150" s="141"/>
      <c r="I150" s="141"/>
      <c r="J150" s="126"/>
      <c r="K150" s="141"/>
      <c r="L150" s="141"/>
      <c r="M150" s="141"/>
      <c r="N150" s="142"/>
      <c r="O150" s="142"/>
      <c r="P150" s="142"/>
      <c r="Q150" s="142"/>
      <c r="R150" s="142"/>
      <c r="S150" s="142"/>
      <c r="T150" s="142"/>
      <c r="U150" s="142"/>
      <c r="V150" s="141"/>
      <c r="W150" s="126"/>
      <c r="X150" s="126"/>
      <c r="Y150" s="126"/>
      <c r="Z150" s="126"/>
      <c r="AA150" s="126"/>
      <c r="AB150" s="126"/>
      <c r="AC150" s="126"/>
      <c r="AD150" s="126"/>
      <c r="AE150" s="126"/>
      <c r="AF150" s="126"/>
      <c r="AG150" s="126"/>
      <c r="AH150" s="126"/>
      <c r="AI150" s="126"/>
      <c r="AJ150" s="126"/>
      <c r="AK150" s="126"/>
      <c r="AL150" s="126"/>
      <c r="AM150" s="126"/>
      <c r="AN150" s="126"/>
      <c r="AO150" s="126"/>
    </row>
    <row r="151" spans="1:41" ht="12.75" customHeight="1" x14ac:dyDescent="0.25">
      <c r="A151" s="126"/>
      <c r="B151" s="640"/>
      <c r="C151" s="141"/>
      <c r="D151" s="141"/>
      <c r="E151" s="141"/>
      <c r="F151" s="141"/>
      <c r="G151" s="141"/>
      <c r="H151" s="141"/>
      <c r="I151" s="141"/>
      <c r="J151" s="126"/>
      <c r="K151" s="141"/>
      <c r="L151" s="141"/>
      <c r="M151" s="141"/>
      <c r="N151" s="142"/>
      <c r="O151" s="142"/>
      <c r="P151" s="142"/>
      <c r="Q151" s="142"/>
      <c r="R151" s="142"/>
      <c r="S151" s="142"/>
      <c r="T151" s="142"/>
      <c r="U151" s="142"/>
      <c r="V151" s="141"/>
      <c r="W151" s="126"/>
      <c r="X151" s="126"/>
      <c r="Y151" s="126"/>
      <c r="Z151" s="126"/>
      <c r="AA151" s="126"/>
      <c r="AB151" s="126"/>
      <c r="AC151" s="126"/>
      <c r="AD151" s="126"/>
      <c r="AE151" s="126"/>
      <c r="AF151" s="126"/>
      <c r="AG151" s="126"/>
      <c r="AH151" s="126"/>
      <c r="AI151" s="126"/>
      <c r="AJ151" s="126"/>
      <c r="AK151" s="126"/>
      <c r="AL151" s="126"/>
      <c r="AM151" s="126"/>
      <c r="AN151" s="126"/>
      <c r="AO151" s="126"/>
    </row>
    <row r="152" spans="1:41" ht="12.75" customHeight="1" x14ac:dyDescent="0.25">
      <c r="A152" s="126"/>
      <c r="B152" s="640"/>
      <c r="C152" s="141"/>
      <c r="D152" s="141"/>
      <c r="E152" s="141"/>
      <c r="F152" s="141"/>
      <c r="G152" s="141"/>
      <c r="H152" s="141"/>
      <c r="I152" s="141"/>
      <c r="J152" s="126"/>
      <c r="K152" s="141"/>
      <c r="L152" s="141"/>
      <c r="M152" s="141"/>
      <c r="N152" s="142"/>
      <c r="O152" s="142"/>
      <c r="P152" s="142"/>
      <c r="Q152" s="142"/>
      <c r="R152" s="142"/>
      <c r="S152" s="142"/>
      <c r="T152" s="142"/>
      <c r="U152" s="142"/>
      <c r="V152" s="141"/>
      <c r="W152" s="126"/>
      <c r="X152" s="126"/>
      <c r="Y152" s="126"/>
      <c r="Z152" s="126"/>
      <c r="AA152" s="126"/>
      <c r="AB152" s="126"/>
      <c r="AC152" s="126"/>
      <c r="AD152" s="126"/>
      <c r="AE152" s="126"/>
      <c r="AF152" s="126"/>
      <c r="AG152" s="126"/>
      <c r="AH152" s="126"/>
      <c r="AI152" s="126"/>
      <c r="AJ152" s="126"/>
      <c r="AK152" s="126"/>
      <c r="AL152" s="126"/>
      <c r="AM152" s="126"/>
      <c r="AN152" s="126"/>
      <c r="AO152" s="126"/>
    </row>
    <row r="153" spans="1:41" ht="12.75" customHeight="1" x14ac:dyDescent="0.25">
      <c r="A153" s="126"/>
      <c r="B153" s="640"/>
      <c r="C153" s="141"/>
      <c r="D153" s="141"/>
      <c r="E153" s="141"/>
      <c r="F153" s="141"/>
      <c r="G153" s="141"/>
      <c r="H153" s="141"/>
      <c r="I153" s="141"/>
      <c r="J153" s="126"/>
      <c r="K153" s="141"/>
      <c r="L153" s="141"/>
      <c r="M153" s="141"/>
      <c r="N153" s="142"/>
      <c r="O153" s="142"/>
      <c r="P153" s="142"/>
      <c r="Q153" s="142"/>
      <c r="R153" s="142"/>
      <c r="S153" s="142"/>
      <c r="T153" s="142"/>
      <c r="U153" s="142"/>
      <c r="V153" s="141"/>
      <c r="W153" s="126"/>
      <c r="X153" s="126"/>
      <c r="Y153" s="126"/>
      <c r="Z153" s="126"/>
      <c r="AA153" s="126"/>
      <c r="AB153" s="126"/>
      <c r="AC153" s="126"/>
      <c r="AD153" s="126"/>
      <c r="AE153" s="126"/>
      <c r="AF153" s="126"/>
      <c r="AG153" s="126"/>
      <c r="AH153" s="126"/>
      <c r="AI153" s="126"/>
      <c r="AJ153" s="126"/>
      <c r="AK153" s="126"/>
      <c r="AL153" s="126"/>
      <c r="AM153" s="126"/>
      <c r="AN153" s="126"/>
      <c r="AO153" s="126"/>
    </row>
    <row r="154" spans="1:41" ht="12.75" customHeight="1" x14ac:dyDescent="0.25">
      <c r="A154" s="126"/>
      <c r="B154" s="640"/>
      <c r="C154" s="141"/>
      <c r="D154" s="141"/>
      <c r="E154" s="141"/>
      <c r="F154" s="141"/>
      <c r="G154" s="141"/>
      <c r="H154" s="141"/>
      <c r="I154" s="141"/>
      <c r="J154" s="126"/>
      <c r="K154" s="141"/>
      <c r="L154" s="141"/>
      <c r="M154" s="141"/>
      <c r="N154" s="142"/>
      <c r="O154" s="142"/>
      <c r="P154" s="142"/>
      <c r="Q154" s="142"/>
      <c r="R154" s="142"/>
      <c r="S154" s="142"/>
      <c r="T154" s="142"/>
      <c r="U154" s="142"/>
      <c r="V154" s="141"/>
      <c r="W154" s="126"/>
      <c r="X154" s="126"/>
      <c r="Y154" s="126"/>
      <c r="Z154" s="126"/>
      <c r="AA154" s="126"/>
      <c r="AB154" s="126"/>
      <c r="AC154" s="126"/>
      <c r="AD154" s="126"/>
      <c r="AE154" s="126"/>
      <c r="AF154" s="126"/>
      <c r="AG154" s="126"/>
      <c r="AH154" s="126"/>
      <c r="AI154" s="126"/>
      <c r="AJ154" s="126"/>
      <c r="AK154" s="126"/>
      <c r="AL154" s="126"/>
      <c r="AM154" s="126"/>
      <c r="AN154" s="126"/>
      <c r="AO154" s="126"/>
    </row>
    <row r="155" spans="1:41" ht="12.75" customHeight="1" x14ac:dyDescent="0.25">
      <c r="A155" s="126"/>
      <c r="B155" s="640"/>
      <c r="C155" s="141"/>
      <c r="D155" s="141"/>
      <c r="E155" s="141"/>
      <c r="F155" s="141"/>
      <c r="G155" s="141"/>
      <c r="H155" s="141"/>
      <c r="I155" s="141"/>
      <c r="J155" s="126"/>
      <c r="K155" s="141"/>
      <c r="L155" s="141"/>
      <c r="M155" s="141"/>
      <c r="N155" s="142"/>
      <c r="O155" s="142"/>
      <c r="P155" s="142"/>
      <c r="Q155" s="142"/>
      <c r="R155" s="142"/>
      <c r="S155" s="142"/>
      <c r="T155" s="142"/>
      <c r="U155" s="142"/>
      <c r="V155" s="141"/>
      <c r="W155" s="126"/>
      <c r="X155" s="126"/>
      <c r="Y155" s="126"/>
      <c r="Z155" s="126"/>
      <c r="AA155" s="126"/>
      <c r="AB155" s="126"/>
      <c r="AC155" s="126"/>
      <c r="AD155" s="126"/>
      <c r="AE155" s="126"/>
      <c r="AF155" s="126"/>
      <c r="AG155" s="126"/>
      <c r="AH155" s="126"/>
      <c r="AI155" s="126"/>
      <c r="AJ155" s="126"/>
      <c r="AK155" s="126"/>
      <c r="AL155" s="126"/>
      <c r="AM155" s="126"/>
      <c r="AN155" s="126"/>
      <c r="AO155" s="126"/>
    </row>
    <row r="156" spans="1:41" ht="12.75" customHeight="1" x14ac:dyDescent="0.25">
      <c r="A156" s="126"/>
      <c r="B156" s="640"/>
      <c r="C156" s="141"/>
      <c r="D156" s="141"/>
      <c r="E156" s="141"/>
      <c r="F156" s="141"/>
      <c r="G156" s="141"/>
      <c r="H156" s="141"/>
      <c r="I156" s="141"/>
      <c r="J156" s="126"/>
      <c r="K156" s="141"/>
      <c r="L156" s="141"/>
      <c r="M156" s="141"/>
      <c r="N156" s="142"/>
      <c r="O156" s="142"/>
      <c r="P156" s="142"/>
      <c r="Q156" s="142"/>
      <c r="R156" s="142"/>
      <c r="S156" s="142"/>
      <c r="T156" s="142"/>
      <c r="U156" s="142"/>
      <c r="V156" s="141"/>
      <c r="W156" s="126"/>
      <c r="X156" s="126"/>
      <c r="Y156" s="126"/>
      <c r="Z156" s="126"/>
      <c r="AA156" s="126"/>
      <c r="AB156" s="126"/>
      <c r="AC156" s="126"/>
      <c r="AD156" s="126"/>
      <c r="AE156" s="126"/>
      <c r="AF156" s="126"/>
      <c r="AG156" s="126"/>
      <c r="AH156" s="126"/>
      <c r="AI156" s="126"/>
      <c r="AJ156" s="126"/>
      <c r="AK156" s="126"/>
      <c r="AL156" s="126"/>
      <c r="AM156" s="126"/>
      <c r="AN156" s="126"/>
      <c r="AO156" s="126"/>
    </row>
    <row r="157" spans="1:41" ht="12.75" customHeight="1" x14ac:dyDescent="0.25">
      <c r="A157" s="126"/>
      <c r="B157" s="640"/>
      <c r="C157" s="141"/>
      <c r="D157" s="141"/>
      <c r="E157" s="141"/>
      <c r="F157" s="141"/>
      <c r="G157" s="141"/>
      <c r="H157" s="141"/>
      <c r="I157" s="141"/>
      <c r="J157" s="126"/>
      <c r="K157" s="141"/>
      <c r="L157" s="141"/>
      <c r="M157" s="141"/>
      <c r="N157" s="142"/>
      <c r="O157" s="142"/>
      <c r="P157" s="142"/>
      <c r="Q157" s="142"/>
      <c r="R157" s="142"/>
      <c r="S157" s="142"/>
      <c r="T157" s="142"/>
      <c r="U157" s="142"/>
      <c r="V157" s="141"/>
      <c r="W157" s="126"/>
      <c r="X157" s="126"/>
      <c r="Y157" s="126"/>
      <c r="Z157" s="126"/>
      <c r="AA157" s="126"/>
      <c r="AB157" s="126"/>
      <c r="AC157" s="126"/>
      <c r="AD157" s="126"/>
      <c r="AE157" s="126"/>
      <c r="AF157" s="126"/>
      <c r="AG157" s="126"/>
      <c r="AH157" s="126"/>
      <c r="AI157" s="126"/>
      <c r="AJ157" s="126"/>
      <c r="AK157" s="126"/>
      <c r="AL157" s="126"/>
      <c r="AM157" s="126"/>
      <c r="AN157" s="126"/>
      <c r="AO157" s="126"/>
    </row>
    <row r="158" spans="1:41" ht="12.75" customHeight="1" x14ac:dyDescent="0.25">
      <c r="A158" s="126"/>
      <c r="B158" s="640"/>
      <c r="C158" s="141"/>
      <c r="D158" s="141"/>
      <c r="E158" s="141"/>
      <c r="F158" s="141"/>
      <c r="G158" s="141"/>
      <c r="H158" s="141"/>
      <c r="I158" s="141"/>
      <c r="J158" s="126"/>
      <c r="K158" s="141"/>
      <c r="L158" s="141"/>
      <c r="M158" s="141"/>
      <c r="N158" s="142"/>
      <c r="O158" s="142"/>
      <c r="P158" s="142"/>
      <c r="Q158" s="142"/>
      <c r="R158" s="142"/>
      <c r="S158" s="142"/>
      <c r="T158" s="142"/>
      <c r="U158" s="142"/>
      <c r="V158" s="141"/>
      <c r="W158" s="126"/>
      <c r="X158" s="126"/>
      <c r="Y158" s="126"/>
      <c r="Z158" s="126"/>
      <c r="AA158" s="126"/>
      <c r="AB158" s="126"/>
      <c r="AC158" s="126"/>
      <c r="AD158" s="126"/>
      <c r="AE158" s="126"/>
      <c r="AF158" s="126"/>
      <c r="AG158" s="126"/>
      <c r="AH158" s="126"/>
      <c r="AI158" s="126"/>
      <c r="AJ158" s="126"/>
      <c r="AK158" s="126"/>
      <c r="AL158" s="126"/>
      <c r="AM158" s="126"/>
      <c r="AN158" s="126"/>
      <c r="AO158" s="126"/>
    </row>
    <row r="159" spans="1:41" ht="12.75" customHeight="1" x14ac:dyDescent="0.25">
      <c r="A159" s="126"/>
      <c r="B159" s="640"/>
      <c r="C159" s="141"/>
      <c r="D159" s="141"/>
      <c r="E159" s="141"/>
      <c r="F159" s="141"/>
      <c r="G159" s="141"/>
      <c r="H159" s="141"/>
      <c r="I159" s="141"/>
      <c r="J159" s="126"/>
      <c r="K159" s="141"/>
      <c r="L159" s="141"/>
      <c r="M159" s="141"/>
      <c r="N159" s="142"/>
      <c r="O159" s="142"/>
      <c r="P159" s="142"/>
      <c r="Q159" s="142"/>
      <c r="R159" s="142"/>
      <c r="S159" s="142"/>
      <c r="T159" s="142"/>
      <c r="U159" s="142"/>
      <c r="V159" s="141"/>
      <c r="W159" s="126"/>
      <c r="X159" s="126"/>
      <c r="Y159" s="126"/>
      <c r="Z159" s="126"/>
      <c r="AA159" s="126"/>
      <c r="AB159" s="126"/>
      <c r="AC159" s="126"/>
      <c r="AD159" s="126"/>
      <c r="AE159" s="126"/>
      <c r="AF159" s="126"/>
      <c r="AG159" s="126"/>
      <c r="AH159" s="126"/>
      <c r="AI159" s="126"/>
      <c r="AJ159" s="126"/>
      <c r="AK159" s="126"/>
      <c r="AL159" s="126"/>
      <c r="AM159" s="126"/>
      <c r="AN159" s="126"/>
      <c r="AO159" s="126"/>
    </row>
    <row r="160" spans="1:41" ht="12.75" customHeight="1" x14ac:dyDescent="0.25">
      <c r="A160" s="126"/>
      <c r="B160" s="640"/>
      <c r="C160" s="141"/>
      <c r="D160" s="141"/>
      <c r="E160" s="141"/>
      <c r="F160" s="141"/>
      <c r="G160" s="141"/>
      <c r="H160" s="141"/>
      <c r="I160" s="141"/>
      <c r="J160" s="126"/>
      <c r="K160" s="141"/>
      <c r="L160" s="141"/>
      <c r="M160" s="141"/>
      <c r="N160" s="142"/>
      <c r="O160" s="142"/>
      <c r="P160" s="142"/>
      <c r="Q160" s="142"/>
      <c r="R160" s="142"/>
      <c r="S160" s="142"/>
      <c r="T160" s="142"/>
      <c r="U160" s="142"/>
      <c r="V160" s="141"/>
      <c r="W160" s="126"/>
      <c r="X160" s="126"/>
      <c r="Y160" s="126"/>
      <c r="Z160" s="126"/>
      <c r="AA160" s="126"/>
      <c r="AB160" s="126"/>
      <c r="AC160" s="126"/>
      <c r="AD160" s="126"/>
      <c r="AE160" s="126"/>
      <c r="AF160" s="126"/>
      <c r="AG160" s="126"/>
      <c r="AH160" s="126"/>
      <c r="AI160" s="126"/>
      <c r="AJ160" s="126"/>
      <c r="AK160" s="126"/>
      <c r="AL160" s="126"/>
      <c r="AM160" s="126"/>
      <c r="AN160" s="126"/>
      <c r="AO160" s="126"/>
    </row>
    <row r="161" spans="1:41" ht="12.75" customHeight="1" x14ac:dyDescent="0.25">
      <c r="A161" s="126"/>
      <c r="B161" s="640"/>
      <c r="C161" s="141"/>
      <c r="D161" s="141"/>
      <c r="E161" s="141"/>
      <c r="F161" s="141"/>
      <c r="G161" s="141"/>
      <c r="H161" s="141"/>
      <c r="I161" s="141"/>
      <c r="J161" s="126"/>
      <c r="K161" s="141"/>
      <c r="L161" s="141"/>
      <c r="M161" s="141"/>
      <c r="N161" s="142"/>
      <c r="O161" s="142"/>
      <c r="P161" s="142"/>
      <c r="Q161" s="142"/>
      <c r="R161" s="142"/>
      <c r="S161" s="142"/>
      <c r="T161" s="142"/>
      <c r="U161" s="142"/>
      <c r="V161" s="141"/>
      <c r="W161" s="126"/>
      <c r="X161" s="126"/>
      <c r="Y161" s="126"/>
      <c r="Z161" s="126"/>
      <c r="AA161" s="126"/>
      <c r="AB161" s="126"/>
      <c r="AC161" s="126"/>
      <c r="AD161" s="126"/>
      <c r="AE161" s="126"/>
      <c r="AF161" s="126"/>
      <c r="AG161" s="126"/>
      <c r="AH161" s="126"/>
      <c r="AI161" s="126"/>
      <c r="AJ161" s="126"/>
      <c r="AK161" s="126"/>
      <c r="AL161" s="126"/>
      <c r="AM161" s="126"/>
      <c r="AN161" s="126"/>
      <c r="AO161" s="126"/>
    </row>
    <row r="162" spans="1:41" ht="12.75" customHeight="1" x14ac:dyDescent="0.25">
      <c r="A162" s="126"/>
      <c r="B162" s="640"/>
      <c r="C162" s="141"/>
      <c r="D162" s="141"/>
      <c r="E162" s="141"/>
      <c r="F162" s="141"/>
      <c r="G162" s="141"/>
      <c r="H162" s="141"/>
      <c r="I162" s="141"/>
      <c r="J162" s="126"/>
      <c r="K162" s="141"/>
      <c r="L162" s="141"/>
      <c r="M162" s="141"/>
      <c r="N162" s="142"/>
      <c r="O162" s="142"/>
      <c r="P162" s="142"/>
      <c r="Q162" s="142"/>
      <c r="R162" s="142"/>
      <c r="S162" s="142"/>
      <c r="T162" s="142"/>
      <c r="U162" s="142"/>
      <c r="V162" s="141"/>
      <c r="W162" s="126"/>
      <c r="X162" s="126"/>
      <c r="Y162" s="126"/>
      <c r="Z162" s="126"/>
      <c r="AA162" s="126"/>
      <c r="AB162" s="126"/>
      <c r="AC162" s="126"/>
      <c r="AD162" s="126"/>
      <c r="AE162" s="126"/>
      <c r="AF162" s="126"/>
      <c r="AG162" s="126"/>
      <c r="AH162" s="126"/>
      <c r="AI162" s="126"/>
      <c r="AJ162" s="126"/>
      <c r="AK162" s="126"/>
      <c r="AL162" s="126"/>
      <c r="AM162" s="126"/>
      <c r="AN162" s="126"/>
      <c r="AO162" s="126"/>
    </row>
    <row r="163" spans="1:41" ht="12.75" customHeight="1" x14ac:dyDescent="0.25">
      <c r="A163" s="126"/>
      <c r="B163" s="640"/>
      <c r="C163" s="141"/>
      <c r="D163" s="141"/>
      <c r="E163" s="141"/>
      <c r="F163" s="141"/>
      <c r="G163" s="141"/>
      <c r="H163" s="141"/>
      <c r="I163" s="141"/>
      <c r="J163" s="126"/>
      <c r="K163" s="141"/>
      <c r="L163" s="141"/>
      <c r="M163" s="141"/>
      <c r="N163" s="142"/>
      <c r="O163" s="142"/>
      <c r="P163" s="142"/>
      <c r="Q163" s="142"/>
      <c r="R163" s="142"/>
      <c r="S163" s="142"/>
      <c r="T163" s="142"/>
      <c r="U163" s="142"/>
      <c r="V163" s="141"/>
      <c r="W163" s="126"/>
      <c r="X163" s="126"/>
      <c r="Y163" s="126"/>
      <c r="Z163" s="126"/>
      <c r="AA163" s="126"/>
      <c r="AB163" s="126"/>
      <c r="AC163" s="126"/>
      <c r="AD163" s="126"/>
      <c r="AE163" s="126"/>
      <c r="AF163" s="126"/>
      <c r="AG163" s="126"/>
      <c r="AH163" s="126"/>
      <c r="AI163" s="126"/>
      <c r="AJ163" s="126"/>
      <c r="AK163" s="126"/>
      <c r="AL163" s="126"/>
      <c r="AM163" s="126"/>
      <c r="AN163" s="126"/>
      <c r="AO163" s="126"/>
    </row>
    <row r="164" spans="1:41" ht="12.75" customHeight="1" x14ac:dyDescent="0.25">
      <c r="A164" s="126"/>
      <c r="B164" s="640"/>
      <c r="C164" s="141"/>
      <c r="D164" s="141"/>
      <c r="E164" s="141"/>
      <c r="F164" s="141"/>
      <c r="G164" s="141"/>
      <c r="H164" s="141"/>
      <c r="I164" s="141"/>
      <c r="J164" s="126"/>
      <c r="K164" s="141"/>
      <c r="L164" s="141"/>
      <c r="M164" s="141"/>
      <c r="N164" s="142"/>
      <c r="O164" s="142"/>
      <c r="P164" s="142"/>
      <c r="Q164" s="142"/>
      <c r="R164" s="142"/>
      <c r="S164" s="142"/>
      <c r="T164" s="142"/>
      <c r="U164" s="142"/>
      <c r="V164" s="141"/>
      <c r="W164" s="126"/>
      <c r="X164" s="126"/>
      <c r="Y164" s="126"/>
      <c r="Z164" s="126"/>
      <c r="AA164" s="126"/>
      <c r="AB164" s="126"/>
      <c r="AC164" s="126"/>
      <c r="AD164" s="126"/>
      <c r="AE164" s="126"/>
      <c r="AF164" s="126"/>
      <c r="AG164" s="126"/>
      <c r="AH164" s="126"/>
      <c r="AI164" s="126"/>
      <c r="AJ164" s="126"/>
      <c r="AK164" s="126"/>
      <c r="AL164" s="126"/>
      <c r="AM164" s="126"/>
      <c r="AN164" s="126"/>
      <c r="AO164" s="126"/>
    </row>
    <row r="165" spans="1:41" ht="12.75" customHeight="1" x14ac:dyDescent="0.25">
      <c r="A165" s="126"/>
      <c r="B165" s="640"/>
      <c r="C165" s="141"/>
      <c r="D165" s="141"/>
      <c r="E165" s="141"/>
      <c r="F165" s="141"/>
      <c r="G165" s="141"/>
      <c r="H165" s="141"/>
      <c r="I165" s="141"/>
      <c r="J165" s="126"/>
      <c r="K165" s="141"/>
      <c r="L165" s="141"/>
      <c r="M165" s="141"/>
      <c r="N165" s="142"/>
      <c r="O165" s="142"/>
      <c r="P165" s="142"/>
      <c r="Q165" s="142"/>
      <c r="R165" s="142"/>
      <c r="S165" s="142"/>
      <c r="T165" s="142"/>
      <c r="U165" s="142"/>
      <c r="V165" s="141"/>
      <c r="W165" s="126"/>
      <c r="X165" s="126"/>
      <c r="Y165" s="126"/>
      <c r="Z165" s="126"/>
      <c r="AA165" s="126"/>
      <c r="AB165" s="126"/>
      <c r="AC165" s="126"/>
      <c r="AD165" s="126"/>
      <c r="AE165" s="126"/>
      <c r="AF165" s="126"/>
      <c r="AG165" s="126"/>
      <c r="AH165" s="126"/>
      <c r="AI165" s="126"/>
      <c r="AJ165" s="126"/>
      <c r="AK165" s="126"/>
      <c r="AL165" s="126"/>
      <c r="AM165" s="126"/>
      <c r="AN165" s="126"/>
      <c r="AO165" s="126"/>
    </row>
    <row r="166" spans="1:41" ht="12.75" customHeight="1" x14ac:dyDescent="0.25">
      <c r="A166" s="126"/>
      <c r="B166" s="640"/>
      <c r="C166" s="141"/>
      <c r="D166" s="141"/>
      <c r="E166" s="141"/>
      <c r="F166" s="141"/>
      <c r="G166" s="141"/>
      <c r="H166" s="141"/>
      <c r="I166" s="141"/>
      <c r="J166" s="126"/>
      <c r="K166" s="141"/>
      <c r="L166" s="141"/>
      <c r="M166" s="141"/>
      <c r="N166" s="142"/>
      <c r="O166" s="142"/>
      <c r="P166" s="142"/>
      <c r="Q166" s="142"/>
      <c r="R166" s="142"/>
      <c r="S166" s="142"/>
      <c r="T166" s="142"/>
      <c r="U166" s="142"/>
      <c r="V166" s="141"/>
      <c r="W166" s="126"/>
      <c r="X166" s="126"/>
      <c r="Y166" s="126"/>
      <c r="Z166" s="126"/>
      <c r="AA166" s="126"/>
      <c r="AB166" s="126"/>
      <c r="AC166" s="126"/>
      <c r="AD166" s="126"/>
      <c r="AE166" s="126"/>
      <c r="AF166" s="126"/>
      <c r="AG166" s="126"/>
      <c r="AH166" s="126"/>
      <c r="AI166" s="126"/>
      <c r="AJ166" s="126"/>
      <c r="AK166" s="126"/>
      <c r="AL166" s="126"/>
      <c r="AM166" s="126"/>
      <c r="AN166" s="126"/>
      <c r="AO166" s="126"/>
    </row>
    <row r="167" spans="1:41" ht="12.75" customHeight="1" x14ac:dyDescent="0.25">
      <c r="A167" s="126"/>
      <c r="B167" s="640"/>
      <c r="C167" s="141"/>
      <c r="D167" s="141"/>
      <c r="E167" s="141"/>
      <c r="F167" s="141"/>
      <c r="G167" s="141"/>
      <c r="H167" s="141"/>
      <c r="I167" s="141"/>
      <c r="J167" s="126"/>
      <c r="K167" s="141"/>
      <c r="L167" s="141"/>
      <c r="M167" s="141"/>
      <c r="N167" s="142"/>
      <c r="O167" s="142"/>
      <c r="P167" s="142"/>
      <c r="Q167" s="142"/>
      <c r="R167" s="142"/>
      <c r="S167" s="142"/>
      <c r="T167" s="142"/>
      <c r="U167" s="142"/>
      <c r="V167" s="141"/>
      <c r="W167" s="126"/>
      <c r="X167" s="126"/>
      <c r="Y167" s="126"/>
      <c r="Z167" s="126"/>
      <c r="AA167" s="126"/>
      <c r="AB167" s="126"/>
      <c r="AC167" s="126"/>
      <c r="AD167" s="126"/>
      <c r="AE167" s="126"/>
      <c r="AF167" s="126"/>
      <c r="AG167" s="126"/>
      <c r="AH167" s="126"/>
      <c r="AI167" s="126"/>
      <c r="AJ167" s="126"/>
      <c r="AK167" s="126"/>
      <c r="AL167" s="126"/>
      <c r="AM167" s="126"/>
      <c r="AN167" s="126"/>
      <c r="AO167" s="126"/>
    </row>
    <row r="168" spans="1:41" ht="12.75" customHeight="1" x14ac:dyDescent="0.25">
      <c r="A168" s="126"/>
      <c r="B168" s="640"/>
      <c r="C168" s="141"/>
      <c r="D168" s="141"/>
      <c r="E168" s="141"/>
      <c r="F168" s="141"/>
      <c r="G168" s="141"/>
      <c r="H168" s="141"/>
      <c r="I168" s="141"/>
      <c r="J168" s="126"/>
      <c r="K168" s="141"/>
      <c r="L168" s="141"/>
      <c r="M168" s="141"/>
      <c r="N168" s="142"/>
      <c r="O168" s="142"/>
      <c r="P168" s="142"/>
      <c r="Q168" s="142"/>
      <c r="R168" s="142"/>
      <c r="S168" s="142"/>
      <c r="T168" s="142"/>
      <c r="U168" s="142"/>
      <c r="V168" s="141"/>
      <c r="W168" s="126"/>
      <c r="X168" s="126"/>
      <c r="Y168" s="126"/>
      <c r="Z168" s="126"/>
      <c r="AA168" s="126"/>
      <c r="AB168" s="126"/>
      <c r="AC168" s="126"/>
      <c r="AD168" s="126"/>
      <c r="AE168" s="126"/>
      <c r="AF168" s="126"/>
      <c r="AG168" s="126"/>
      <c r="AH168" s="126"/>
      <c r="AI168" s="126"/>
      <c r="AJ168" s="126"/>
      <c r="AK168" s="126"/>
      <c r="AL168" s="126"/>
      <c r="AM168" s="126"/>
      <c r="AN168" s="126"/>
      <c r="AO168" s="126"/>
    </row>
    <row r="169" spans="1:41" ht="12.75" customHeight="1" x14ac:dyDescent="0.25">
      <c r="A169" s="126"/>
      <c r="B169" s="640"/>
      <c r="C169" s="141"/>
      <c r="D169" s="141"/>
      <c r="E169" s="141"/>
      <c r="F169" s="141"/>
      <c r="G169" s="141"/>
      <c r="H169" s="141"/>
      <c r="I169" s="141"/>
      <c r="J169" s="126"/>
      <c r="K169" s="141"/>
      <c r="L169" s="141"/>
      <c r="M169" s="141"/>
      <c r="N169" s="142"/>
      <c r="O169" s="142"/>
      <c r="P169" s="142"/>
      <c r="Q169" s="142"/>
      <c r="R169" s="142"/>
      <c r="S169" s="142"/>
      <c r="T169" s="142"/>
      <c r="U169" s="142"/>
      <c r="V169" s="141"/>
      <c r="W169" s="126"/>
      <c r="X169" s="126"/>
      <c r="Y169" s="126"/>
      <c r="Z169" s="126"/>
      <c r="AA169" s="126"/>
      <c r="AB169" s="126"/>
      <c r="AC169" s="126"/>
      <c r="AD169" s="126"/>
      <c r="AE169" s="126"/>
      <c r="AF169" s="126"/>
      <c r="AG169" s="126"/>
      <c r="AH169" s="126"/>
      <c r="AI169" s="126"/>
      <c r="AJ169" s="126"/>
      <c r="AK169" s="126"/>
      <c r="AL169" s="126"/>
      <c r="AM169" s="126"/>
      <c r="AN169" s="126"/>
      <c r="AO169" s="126"/>
    </row>
    <row r="170" spans="1:41" ht="12.75" customHeight="1" x14ac:dyDescent="0.25">
      <c r="A170" s="126"/>
      <c r="B170" s="640"/>
      <c r="C170" s="141"/>
      <c r="D170" s="141"/>
      <c r="E170" s="141"/>
      <c r="F170" s="141"/>
      <c r="G170" s="141"/>
      <c r="H170" s="141"/>
      <c r="I170" s="141"/>
      <c r="J170" s="126"/>
      <c r="K170" s="141"/>
      <c r="L170" s="141"/>
      <c r="M170" s="141"/>
      <c r="N170" s="142"/>
      <c r="O170" s="142"/>
      <c r="P170" s="142"/>
      <c r="Q170" s="142"/>
      <c r="R170" s="142"/>
      <c r="S170" s="142"/>
      <c r="T170" s="142"/>
      <c r="U170" s="142"/>
      <c r="V170" s="141"/>
      <c r="W170" s="126"/>
      <c r="X170" s="126"/>
      <c r="Y170" s="126"/>
      <c r="Z170" s="126"/>
      <c r="AA170" s="126"/>
      <c r="AB170" s="126"/>
      <c r="AC170" s="126"/>
      <c r="AD170" s="126"/>
      <c r="AE170" s="126"/>
      <c r="AF170" s="126"/>
      <c r="AG170" s="126"/>
      <c r="AH170" s="126"/>
      <c r="AI170" s="126"/>
      <c r="AJ170" s="126"/>
      <c r="AK170" s="126"/>
      <c r="AL170" s="126"/>
      <c r="AM170" s="126"/>
      <c r="AN170" s="126"/>
      <c r="AO170" s="126"/>
    </row>
    <row r="171" spans="1:41" ht="12.75" customHeight="1" x14ac:dyDescent="0.25">
      <c r="A171" s="126"/>
      <c r="B171" s="640"/>
      <c r="C171" s="141"/>
      <c r="D171" s="141"/>
      <c r="E171" s="141"/>
      <c r="F171" s="141"/>
      <c r="G171" s="141"/>
      <c r="H171" s="141"/>
      <c r="I171" s="141"/>
      <c r="J171" s="126"/>
      <c r="K171" s="141"/>
      <c r="L171" s="141"/>
      <c r="M171" s="141"/>
      <c r="N171" s="142"/>
      <c r="O171" s="142"/>
      <c r="P171" s="142"/>
      <c r="Q171" s="142"/>
      <c r="R171" s="142"/>
      <c r="S171" s="142"/>
      <c r="T171" s="142"/>
      <c r="U171" s="142"/>
      <c r="V171" s="141"/>
      <c r="W171" s="126"/>
      <c r="X171" s="126"/>
      <c r="Y171" s="126"/>
      <c r="Z171" s="126"/>
      <c r="AA171" s="126"/>
      <c r="AB171" s="126"/>
      <c r="AC171" s="126"/>
      <c r="AD171" s="126"/>
      <c r="AE171" s="126"/>
      <c r="AF171" s="126"/>
      <c r="AG171" s="126"/>
      <c r="AH171" s="126"/>
      <c r="AI171" s="126"/>
      <c r="AJ171" s="126"/>
      <c r="AK171" s="126"/>
      <c r="AL171" s="126"/>
      <c r="AM171" s="126"/>
      <c r="AN171" s="126"/>
      <c r="AO171" s="126"/>
    </row>
    <row r="172" spans="1:41" ht="12.75" customHeight="1" x14ac:dyDescent="0.25">
      <c r="A172" s="126"/>
      <c r="B172" s="640"/>
      <c r="C172" s="141"/>
      <c r="D172" s="141"/>
      <c r="E172" s="141"/>
      <c r="F172" s="141"/>
      <c r="G172" s="141"/>
      <c r="H172" s="141"/>
      <c r="I172" s="141"/>
      <c r="J172" s="126"/>
      <c r="K172" s="141"/>
      <c r="L172" s="141"/>
      <c r="M172" s="141"/>
      <c r="N172" s="142"/>
      <c r="O172" s="142"/>
      <c r="P172" s="142"/>
      <c r="Q172" s="142"/>
      <c r="R172" s="142"/>
      <c r="S172" s="142"/>
      <c r="T172" s="142"/>
      <c r="U172" s="142"/>
      <c r="V172" s="141"/>
      <c r="W172" s="126"/>
      <c r="X172" s="126"/>
      <c r="Y172" s="126"/>
      <c r="Z172" s="126"/>
      <c r="AA172" s="126"/>
      <c r="AB172" s="126"/>
      <c r="AC172" s="126"/>
      <c r="AD172" s="126"/>
      <c r="AE172" s="126"/>
      <c r="AF172" s="126"/>
      <c r="AG172" s="126"/>
      <c r="AH172" s="126"/>
      <c r="AI172" s="126"/>
      <c r="AJ172" s="126"/>
      <c r="AK172" s="126"/>
      <c r="AL172" s="126"/>
      <c r="AM172" s="126"/>
      <c r="AN172" s="126"/>
      <c r="AO172" s="126"/>
    </row>
    <row r="173" spans="1:41" ht="12.75" customHeight="1" x14ac:dyDescent="0.25">
      <c r="A173" s="126"/>
      <c r="B173" s="640"/>
      <c r="C173" s="141"/>
      <c r="D173" s="141"/>
      <c r="E173" s="141"/>
      <c r="F173" s="141"/>
      <c r="G173" s="141"/>
      <c r="H173" s="141"/>
      <c r="I173" s="141"/>
      <c r="J173" s="126"/>
      <c r="K173" s="141"/>
      <c r="L173" s="141"/>
      <c r="M173" s="141"/>
      <c r="N173" s="142"/>
      <c r="O173" s="142"/>
      <c r="P173" s="142"/>
      <c r="Q173" s="142"/>
      <c r="R173" s="142"/>
      <c r="S173" s="142"/>
      <c r="T173" s="142"/>
      <c r="U173" s="142"/>
      <c r="V173" s="141"/>
      <c r="W173" s="126"/>
      <c r="X173" s="126"/>
      <c r="Y173" s="126"/>
      <c r="Z173" s="126"/>
      <c r="AA173" s="126"/>
      <c r="AB173" s="126"/>
      <c r="AC173" s="126"/>
      <c r="AD173" s="126"/>
      <c r="AE173" s="126"/>
      <c r="AF173" s="126"/>
      <c r="AG173" s="126"/>
      <c r="AH173" s="126"/>
      <c r="AI173" s="126"/>
      <c r="AJ173" s="126"/>
      <c r="AK173" s="126"/>
      <c r="AL173" s="126"/>
      <c r="AM173" s="126"/>
      <c r="AN173" s="126"/>
      <c r="AO173" s="126"/>
    </row>
    <row r="174" spans="1:41" ht="12.75" customHeight="1" x14ac:dyDescent="0.25">
      <c r="A174" s="126"/>
      <c r="B174" s="640"/>
      <c r="C174" s="141"/>
      <c r="D174" s="141"/>
      <c r="E174" s="141"/>
      <c r="F174" s="141"/>
      <c r="G174" s="141"/>
      <c r="H174" s="141"/>
      <c r="I174" s="141"/>
      <c r="J174" s="126"/>
      <c r="K174" s="141"/>
      <c r="L174" s="141"/>
      <c r="M174" s="141"/>
      <c r="N174" s="142"/>
      <c r="O174" s="142"/>
      <c r="P174" s="142"/>
      <c r="Q174" s="142"/>
      <c r="R174" s="142"/>
      <c r="S174" s="142"/>
      <c r="T174" s="142"/>
      <c r="U174" s="142"/>
      <c r="V174" s="141"/>
      <c r="W174" s="126"/>
      <c r="X174" s="126"/>
      <c r="Y174" s="126"/>
      <c r="Z174" s="126"/>
      <c r="AA174" s="126"/>
      <c r="AB174" s="126"/>
      <c r="AC174" s="126"/>
      <c r="AD174" s="126"/>
      <c r="AE174" s="126"/>
      <c r="AF174" s="126"/>
      <c r="AG174" s="126"/>
      <c r="AH174" s="126"/>
      <c r="AI174" s="126"/>
      <c r="AJ174" s="126"/>
      <c r="AK174" s="126"/>
      <c r="AL174" s="126"/>
      <c r="AM174" s="126"/>
      <c r="AN174" s="126"/>
      <c r="AO174" s="126"/>
    </row>
    <row r="175" spans="1:41" ht="12.75" customHeight="1" x14ac:dyDescent="0.25">
      <c r="A175" s="126"/>
      <c r="B175" s="640"/>
      <c r="C175" s="141"/>
      <c r="D175" s="141"/>
      <c r="E175" s="141"/>
      <c r="F175" s="141"/>
      <c r="G175" s="141"/>
      <c r="H175" s="141"/>
      <c r="I175" s="141"/>
      <c r="J175" s="126"/>
      <c r="K175" s="141"/>
      <c r="L175" s="141"/>
      <c r="M175" s="141"/>
      <c r="N175" s="142"/>
      <c r="O175" s="142"/>
      <c r="P175" s="142"/>
      <c r="Q175" s="142"/>
      <c r="R175" s="142"/>
      <c r="S175" s="142"/>
      <c r="T175" s="142"/>
      <c r="U175" s="142"/>
      <c r="V175" s="141"/>
      <c r="W175" s="126"/>
      <c r="X175" s="126"/>
      <c r="Y175" s="126"/>
      <c r="Z175" s="126"/>
      <c r="AA175" s="126"/>
      <c r="AB175" s="126"/>
      <c r="AC175" s="126"/>
      <c r="AD175" s="126"/>
      <c r="AE175" s="126"/>
      <c r="AF175" s="126"/>
      <c r="AG175" s="126"/>
      <c r="AH175" s="126"/>
      <c r="AI175" s="126"/>
      <c r="AJ175" s="126"/>
      <c r="AK175" s="126"/>
      <c r="AL175" s="126"/>
      <c r="AM175" s="126"/>
      <c r="AN175" s="126"/>
      <c r="AO175" s="126"/>
    </row>
    <row r="176" spans="1:41" ht="12.75" customHeight="1" x14ac:dyDescent="0.25">
      <c r="A176" s="126"/>
      <c r="B176" s="640"/>
      <c r="C176" s="141"/>
      <c r="D176" s="141"/>
      <c r="E176" s="141"/>
      <c r="F176" s="141"/>
      <c r="G176" s="141"/>
      <c r="H176" s="141"/>
      <c r="I176" s="141"/>
      <c r="J176" s="126"/>
      <c r="K176" s="141"/>
      <c r="L176" s="141"/>
      <c r="M176" s="141"/>
      <c r="N176" s="142"/>
      <c r="O176" s="142"/>
      <c r="P176" s="142"/>
      <c r="Q176" s="142"/>
      <c r="R176" s="142"/>
      <c r="S176" s="142"/>
      <c r="T176" s="142"/>
      <c r="U176" s="142"/>
      <c r="V176" s="141"/>
      <c r="W176" s="126"/>
      <c r="X176" s="126"/>
      <c r="Y176" s="126"/>
      <c r="Z176" s="126"/>
      <c r="AA176" s="126"/>
      <c r="AB176" s="126"/>
      <c r="AC176" s="126"/>
      <c r="AD176" s="126"/>
      <c r="AE176" s="126"/>
      <c r="AF176" s="126"/>
      <c r="AG176" s="126"/>
      <c r="AH176" s="126"/>
      <c r="AI176" s="126"/>
      <c r="AJ176" s="126"/>
      <c r="AK176" s="126"/>
      <c r="AL176" s="126"/>
      <c r="AM176" s="126"/>
      <c r="AN176" s="126"/>
      <c r="AO176" s="126"/>
    </row>
    <row r="177" spans="1:41" ht="12.75" customHeight="1" x14ac:dyDescent="0.25">
      <c r="A177" s="126"/>
      <c r="B177" s="640"/>
      <c r="C177" s="141"/>
      <c r="D177" s="141"/>
      <c r="E177" s="141"/>
      <c r="F177" s="141"/>
      <c r="G177" s="141"/>
      <c r="H177" s="141"/>
      <c r="I177" s="141"/>
      <c r="J177" s="126"/>
      <c r="K177" s="141"/>
      <c r="L177" s="141"/>
      <c r="M177" s="141"/>
      <c r="N177" s="142"/>
      <c r="O177" s="142"/>
      <c r="P177" s="142"/>
      <c r="Q177" s="142"/>
      <c r="R177" s="142"/>
      <c r="S177" s="142"/>
      <c r="T177" s="142"/>
      <c r="U177" s="142"/>
      <c r="V177" s="141"/>
      <c r="W177" s="126"/>
      <c r="X177" s="126"/>
      <c r="Y177" s="126"/>
      <c r="Z177" s="126"/>
      <c r="AA177" s="126"/>
      <c r="AB177" s="126"/>
      <c r="AC177" s="126"/>
      <c r="AD177" s="126"/>
      <c r="AE177" s="126"/>
      <c r="AF177" s="126"/>
      <c r="AG177" s="126"/>
      <c r="AH177" s="126"/>
      <c r="AI177" s="126"/>
      <c r="AJ177" s="126"/>
      <c r="AK177" s="126"/>
      <c r="AL177" s="126"/>
      <c r="AM177" s="126"/>
      <c r="AN177" s="126"/>
      <c r="AO177" s="126"/>
    </row>
    <row r="178" spans="1:41" ht="12.75" customHeight="1" x14ac:dyDescent="0.25">
      <c r="A178" s="126"/>
      <c r="B178" s="640"/>
      <c r="C178" s="141"/>
      <c r="D178" s="141"/>
      <c r="E178" s="141"/>
      <c r="F178" s="141"/>
      <c r="G178" s="141"/>
      <c r="H178" s="141"/>
      <c r="I178" s="141"/>
      <c r="J178" s="126"/>
      <c r="K178" s="141"/>
      <c r="L178" s="141"/>
      <c r="M178" s="141"/>
      <c r="N178" s="142"/>
      <c r="O178" s="142"/>
      <c r="P178" s="142"/>
      <c r="Q178" s="142"/>
      <c r="R178" s="142"/>
      <c r="S178" s="142"/>
      <c r="T178" s="142"/>
      <c r="U178" s="142"/>
      <c r="V178" s="141"/>
      <c r="W178" s="126"/>
      <c r="X178" s="126"/>
      <c r="Y178" s="126"/>
      <c r="Z178" s="126"/>
      <c r="AA178" s="126"/>
      <c r="AB178" s="126"/>
      <c r="AC178" s="126"/>
      <c r="AD178" s="126"/>
      <c r="AE178" s="126"/>
      <c r="AF178" s="126"/>
      <c r="AG178" s="126"/>
      <c r="AH178" s="126"/>
      <c r="AI178" s="126"/>
      <c r="AJ178" s="126"/>
      <c r="AK178" s="126"/>
      <c r="AL178" s="126"/>
      <c r="AM178" s="126"/>
      <c r="AN178" s="126"/>
      <c r="AO178" s="126"/>
    </row>
    <row r="179" spans="1:41" ht="12.75" customHeight="1" x14ac:dyDescent="0.25">
      <c r="A179" s="126"/>
      <c r="B179" s="640"/>
      <c r="C179" s="141"/>
      <c r="D179" s="141"/>
      <c r="E179" s="141"/>
      <c r="F179" s="141"/>
      <c r="G179" s="141"/>
      <c r="H179" s="141"/>
      <c r="I179" s="141"/>
      <c r="J179" s="126"/>
      <c r="K179" s="141"/>
      <c r="L179" s="141"/>
      <c r="M179" s="141"/>
      <c r="N179" s="142"/>
      <c r="O179" s="142"/>
      <c r="P179" s="142"/>
      <c r="Q179" s="142"/>
      <c r="R179" s="142"/>
      <c r="S179" s="142"/>
      <c r="T179" s="142"/>
      <c r="U179" s="142"/>
      <c r="V179" s="141"/>
      <c r="W179" s="126"/>
      <c r="X179" s="126"/>
      <c r="Y179" s="126"/>
      <c r="Z179" s="126"/>
      <c r="AA179" s="126"/>
      <c r="AB179" s="126"/>
      <c r="AC179" s="126"/>
      <c r="AD179" s="126"/>
      <c r="AE179" s="126"/>
      <c r="AF179" s="126"/>
      <c r="AG179" s="126"/>
      <c r="AH179" s="126"/>
      <c r="AI179" s="126"/>
      <c r="AJ179" s="126"/>
      <c r="AK179" s="126"/>
      <c r="AL179" s="126"/>
      <c r="AM179" s="126"/>
      <c r="AN179" s="126"/>
      <c r="AO179" s="126"/>
    </row>
    <row r="180" spans="1:41" ht="12.75" customHeight="1" x14ac:dyDescent="0.25">
      <c r="A180" s="126"/>
      <c r="B180" s="640"/>
      <c r="C180" s="141"/>
      <c r="D180" s="141"/>
      <c r="E180" s="141"/>
      <c r="F180" s="141"/>
      <c r="G180" s="141"/>
      <c r="H180" s="141"/>
      <c r="I180" s="141"/>
      <c r="J180" s="126"/>
      <c r="K180" s="141"/>
      <c r="L180" s="141"/>
      <c r="M180" s="141"/>
      <c r="N180" s="142"/>
      <c r="O180" s="142"/>
      <c r="P180" s="142"/>
      <c r="Q180" s="142"/>
      <c r="R180" s="142"/>
      <c r="S180" s="142"/>
      <c r="T180" s="142"/>
      <c r="U180" s="142"/>
      <c r="V180" s="141"/>
      <c r="W180" s="126"/>
      <c r="X180" s="126"/>
      <c r="Y180" s="126"/>
      <c r="Z180" s="126"/>
      <c r="AA180" s="126"/>
      <c r="AB180" s="126"/>
      <c r="AC180" s="126"/>
      <c r="AD180" s="126"/>
      <c r="AE180" s="126"/>
      <c r="AF180" s="126"/>
      <c r="AG180" s="126"/>
      <c r="AH180" s="126"/>
      <c r="AI180" s="126"/>
      <c r="AJ180" s="126"/>
      <c r="AK180" s="126"/>
      <c r="AL180" s="126"/>
      <c r="AM180" s="126"/>
      <c r="AN180" s="126"/>
      <c r="AO180" s="126"/>
    </row>
    <row r="181" spans="1:41" ht="12.75" customHeight="1" x14ac:dyDescent="0.25">
      <c r="A181" s="126"/>
      <c r="B181" s="640"/>
      <c r="C181" s="141"/>
      <c r="D181" s="141"/>
      <c r="E181" s="141"/>
      <c r="F181" s="141"/>
      <c r="G181" s="141"/>
      <c r="H181" s="141"/>
      <c r="I181" s="141"/>
      <c r="J181" s="126"/>
      <c r="K181" s="141"/>
      <c r="L181" s="141"/>
      <c r="M181" s="141"/>
      <c r="N181" s="142"/>
      <c r="O181" s="142"/>
      <c r="P181" s="142"/>
      <c r="Q181" s="142"/>
      <c r="R181" s="142"/>
      <c r="S181" s="142"/>
      <c r="T181" s="142"/>
      <c r="U181" s="142"/>
      <c r="V181" s="141"/>
      <c r="W181" s="126"/>
      <c r="X181" s="126"/>
      <c r="Y181" s="126"/>
      <c r="Z181" s="126"/>
      <c r="AA181" s="126"/>
      <c r="AB181" s="126"/>
      <c r="AC181" s="126"/>
      <c r="AD181" s="126"/>
      <c r="AE181" s="126"/>
      <c r="AF181" s="126"/>
      <c r="AG181" s="126"/>
      <c r="AH181" s="126"/>
      <c r="AI181" s="126"/>
      <c r="AJ181" s="126"/>
      <c r="AK181" s="126"/>
      <c r="AL181" s="126"/>
      <c r="AM181" s="126"/>
      <c r="AN181" s="126"/>
      <c r="AO181" s="126"/>
    </row>
    <row r="182" spans="1:41" ht="12.75" customHeight="1" x14ac:dyDescent="0.25">
      <c r="A182" s="126"/>
      <c r="B182" s="640"/>
      <c r="C182" s="141"/>
      <c r="D182" s="141"/>
      <c r="E182" s="141"/>
      <c r="F182" s="141"/>
      <c r="G182" s="141"/>
      <c r="H182" s="141"/>
      <c r="I182" s="141"/>
      <c r="J182" s="126"/>
      <c r="K182" s="141"/>
      <c r="L182" s="141"/>
      <c r="M182" s="141"/>
      <c r="N182" s="142"/>
      <c r="O182" s="142"/>
      <c r="P182" s="142"/>
      <c r="Q182" s="142"/>
      <c r="R182" s="142"/>
      <c r="S182" s="142"/>
      <c r="T182" s="142"/>
      <c r="U182" s="142"/>
      <c r="V182" s="141"/>
      <c r="W182" s="126"/>
      <c r="X182" s="126"/>
      <c r="Y182" s="126"/>
      <c r="Z182" s="126"/>
      <c r="AA182" s="126"/>
      <c r="AB182" s="126"/>
      <c r="AC182" s="126"/>
      <c r="AD182" s="126"/>
      <c r="AE182" s="126"/>
      <c r="AF182" s="126"/>
      <c r="AG182" s="126"/>
      <c r="AH182" s="126"/>
      <c r="AI182" s="126"/>
      <c r="AJ182" s="126"/>
      <c r="AK182" s="126"/>
      <c r="AL182" s="126"/>
      <c r="AM182" s="126"/>
      <c r="AN182" s="126"/>
      <c r="AO182" s="126"/>
    </row>
    <row r="183" spans="1:41" ht="12.75" customHeight="1" x14ac:dyDescent="0.25">
      <c r="A183" s="126"/>
      <c r="B183" s="640"/>
      <c r="C183" s="141"/>
      <c r="D183" s="141"/>
      <c r="E183" s="141"/>
      <c r="F183" s="141"/>
      <c r="G183" s="141"/>
      <c r="H183" s="141"/>
      <c r="I183" s="141"/>
      <c r="J183" s="126"/>
      <c r="K183" s="141"/>
      <c r="L183" s="141"/>
      <c r="M183" s="141"/>
      <c r="N183" s="142"/>
      <c r="O183" s="142"/>
      <c r="P183" s="142"/>
      <c r="Q183" s="142"/>
      <c r="R183" s="142"/>
      <c r="S183" s="142"/>
      <c r="T183" s="142"/>
      <c r="U183" s="142"/>
      <c r="V183" s="141"/>
      <c r="W183" s="126"/>
      <c r="X183" s="126"/>
      <c r="Y183" s="126"/>
      <c r="Z183" s="126"/>
      <c r="AA183" s="126"/>
      <c r="AB183" s="126"/>
      <c r="AC183" s="126"/>
      <c r="AD183" s="126"/>
      <c r="AE183" s="126"/>
      <c r="AF183" s="126"/>
      <c r="AG183" s="126"/>
      <c r="AH183" s="126"/>
      <c r="AI183" s="126"/>
      <c r="AJ183" s="126"/>
      <c r="AK183" s="126"/>
      <c r="AL183" s="126"/>
      <c r="AM183" s="126"/>
      <c r="AN183" s="126"/>
      <c r="AO183" s="126"/>
    </row>
    <row r="184" spans="1:41" ht="12.75" customHeight="1" x14ac:dyDescent="0.25">
      <c r="A184" s="126"/>
      <c r="B184" s="640"/>
      <c r="C184" s="141"/>
      <c r="D184" s="141"/>
      <c r="E184" s="141"/>
      <c r="F184" s="141"/>
      <c r="G184" s="141"/>
      <c r="H184" s="141"/>
      <c r="I184" s="141"/>
      <c r="J184" s="126"/>
      <c r="K184" s="141"/>
      <c r="L184" s="141"/>
      <c r="M184" s="141"/>
      <c r="N184" s="142"/>
      <c r="O184" s="142"/>
      <c r="P184" s="142"/>
      <c r="Q184" s="142"/>
      <c r="R184" s="142"/>
      <c r="S184" s="142"/>
      <c r="T184" s="142"/>
      <c r="U184" s="142"/>
      <c r="V184" s="141"/>
      <c r="W184" s="126"/>
      <c r="X184" s="126"/>
      <c r="Y184" s="126"/>
      <c r="Z184" s="126"/>
      <c r="AA184" s="126"/>
      <c r="AB184" s="126"/>
      <c r="AC184" s="126"/>
      <c r="AD184" s="126"/>
      <c r="AE184" s="126"/>
      <c r="AF184" s="126"/>
      <c r="AG184" s="126"/>
      <c r="AH184" s="126"/>
      <c r="AI184" s="126"/>
      <c r="AJ184" s="126"/>
      <c r="AK184" s="126"/>
      <c r="AL184" s="126"/>
      <c r="AM184" s="126"/>
      <c r="AN184" s="126"/>
      <c r="AO184" s="126"/>
    </row>
    <row r="185" spans="1:41" ht="12.75" customHeight="1" x14ac:dyDescent="0.25">
      <c r="A185" s="126"/>
      <c r="B185" s="640"/>
      <c r="C185" s="141"/>
      <c r="D185" s="141"/>
      <c r="E185" s="141"/>
      <c r="F185" s="141"/>
      <c r="G185" s="141"/>
      <c r="H185" s="141"/>
      <c r="I185" s="141"/>
      <c r="J185" s="126"/>
      <c r="K185" s="141"/>
      <c r="L185" s="141"/>
      <c r="M185" s="141"/>
      <c r="N185" s="142"/>
      <c r="O185" s="142"/>
      <c r="P185" s="142"/>
      <c r="Q185" s="142"/>
      <c r="R185" s="142"/>
      <c r="S185" s="142"/>
      <c r="T185" s="142"/>
      <c r="U185" s="142"/>
      <c r="V185" s="141"/>
      <c r="W185" s="126"/>
      <c r="X185" s="126"/>
      <c r="Y185" s="126"/>
      <c r="Z185" s="126"/>
      <c r="AA185" s="126"/>
      <c r="AB185" s="126"/>
      <c r="AC185" s="126"/>
      <c r="AD185" s="126"/>
      <c r="AE185" s="126"/>
      <c r="AF185" s="126"/>
      <c r="AG185" s="126"/>
      <c r="AH185" s="126"/>
      <c r="AI185" s="126"/>
      <c r="AJ185" s="126"/>
      <c r="AK185" s="126"/>
      <c r="AL185" s="126"/>
      <c r="AM185" s="126"/>
      <c r="AN185" s="126"/>
      <c r="AO185" s="126"/>
    </row>
    <row r="186" spans="1:41" ht="12.75" customHeight="1" x14ac:dyDescent="0.25">
      <c r="A186" s="126"/>
      <c r="B186" s="640"/>
      <c r="C186" s="141"/>
      <c r="D186" s="141"/>
      <c r="E186" s="141"/>
      <c r="F186" s="141"/>
      <c r="G186" s="141"/>
      <c r="H186" s="141"/>
      <c r="I186" s="141"/>
      <c r="J186" s="126"/>
      <c r="K186" s="141"/>
      <c r="L186" s="141"/>
      <c r="M186" s="141"/>
      <c r="N186" s="142"/>
      <c r="O186" s="142"/>
      <c r="P186" s="142"/>
      <c r="Q186" s="142"/>
      <c r="R186" s="142"/>
      <c r="S186" s="142"/>
      <c r="T186" s="142"/>
      <c r="U186" s="142"/>
      <c r="V186" s="141"/>
      <c r="W186" s="126"/>
      <c r="X186" s="126"/>
      <c r="Y186" s="126"/>
      <c r="Z186" s="126"/>
      <c r="AA186" s="126"/>
      <c r="AB186" s="126"/>
      <c r="AC186" s="126"/>
      <c r="AD186" s="126"/>
      <c r="AE186" s="126"/>
      <c r="AF186" s="126"/>
      <c r="AG186" s="126"/>
      <c r="AH186" s="126"/>
      <c r="AI186" s="126"/>
      <c r="AJ186" s="126"/>
      <c r="AK186" s="126"/>
      <c r="AL186" s="126"/>
      <c r="AM186" s="126"/>
      <c r="AN186" s="126"/>
      <c r="AO186" s="126"/>
    </row>
    <row r="187" spans="1:41" ht="12.75" customHeight="1" x14ac:dyDescent="0.25">
      <c r="A187" s="126"/>
      <c r="B187" s="640"/>
      <c r="C187" s="141"/>
      <c r="D187" s="141"/>
      <c r="E187" s="141"/>
      <c r="F187" s="141"/>
      <c r="G187" s="141"/>
      <c r="H187" s="141"/>
      <c r="I187" s="141"/>
      <c r="J187" s="126"/>
      <c r="K187" s="141"/>
      <c r="L187" s="141"/>
      <c r="M187" s="141"/>
      <c r="N187" s="142"/>
      <c r="O187" s="142"/>
      <c r="P187" s="142"/>
      <c r="Q187" s="142"/>
      <c r="R187" s="142"/>
      <c r="S187" s="142"/>
      <c r="T187" s="142"/>
      <c r="U187" s="142"/>
      <c r="V187" s="141"/>
      <c r="W187" s="126"/>
      <c r="X187" s="126"/>
      <c r="Y187" s="126"/>
      <c r="Z187" s="126"/>
      <c r="AA187" s="126"/>
      <c r="AB187" s="126"/>
      <c r="AC187" s="126"/>
      <c r="AD187" s="126"/>
      <c r="AE187" s="126"/>
      <c r="AF187" s="126"/>
      <c r="AG187" s="126"/>
      <c r="AH187" s="126"/>
      <c r="AI187" s="126"/>
      <c r="AJ187" s="126"/>
      <c r="AK187" s="126"/>
      <c r="AL187" s="126"/>
      <c r="AM187" s="126"/>
      <c r="AN187" s="126"/>
      <c r="AO187" s="126"/>
    </row>
    <row r="188" spans="1:41" ht="12.75" customHeight="1" x14ac:dyDescent="0.25">
      <c r="A188" s="126"/>
      <c r="B188" s="640"/>
      <c r="C188" s="141"/>
      <c r="D188" s="141"/>
      <c r="E188" s="141"/>
      <c r="F188" s="141"/>
      <c r="G188" s="141"/>
      <c r="H188" s="141"/>
      <c r="I188" s="141"/>
      <c r="J188" s="126"/>
      <c r="K188" s="141"/>
      <c r="L188" s="141"/>
      <c r="M188" s="141"/>
      <c r="N188" s="142"/>
      <c r="O188" s="142"/>
      <c r="P188" s="142"/>
      <c r="Q188" s="142"/>
      <c r="R188" s="142"/>
      <c r="S188" s="142"/>
      <c r="T188" s="142"/>
      <c r="U188" s="142"/>
      <c r="V188" s="141"/>
      <c r="W188" s="126"/>
      <c r="X188" s="126"/>
      <c r="Y188" s="126"/>
      <c r="Z188" s="126"/>
      <c r="AA188" s="126"/>
      <c r="AB188" s="126"/>
      <c r="AC188" s="126"/>
      <c r="AD188" s="126"/>
      <c r="AE188" s="126"/>
      <c r="AF188" s="126"/>
      <c r="AG188" s="126"/>
      <c r="AH188" s="126"/>
      <c r="AI188" s="126"/>
      <c r="AJ188" s="126"/>
      <c r="AK188" s="126"/>
      <c r="AL188" s="126"/>
      <c r="AM188" s="126"/>
      <c r="AN188" s="126"/>
      <c r="AO188" s="126"/>
    </row>
    <row r="189" spans="1:41" ht="12.75" customHeight="1" x14ac:dyDescent="0.25">
      <c r="A189" s="126"/>
      <c r="B189" s="640"/>
      <c r="C189" s="141"/>
      <c r="D189" s="141"/>
      <c r="E189" s="141"/>
      <c r="F189" s="141"/>
      <c r="G189" s="141"/>
      <c r="H189" s="141"/>
      <c r="I189" s="141"/>
      <c r="J189" s="126"/>
      <c r="K189" s="141"/>
      <c r="L189" s="141"/>
      <c r="M189" s="141"/>
      <c r="N189" s="142"/>
      <c r="O189" s="142"/>
      <c r="P189" s="142"/>
      <c r="Q189" s="142"/>
      <c r="R189" s="142"/>
      <c r="S189" s="142"/>
      <c r="T189" s="142"/>
      <c r="U189" s="142"/>
      <c r="V189" s="141"/>
      <c r="W189" s="126"/>
      <c r="X189" s="126"/>
      <c r="Y189" s="126"/>
      <c r="Z189" s="126"/>
      <c r="AA189" s="126"/>
      <c r="AB189" s="126"/>
      <c r="AC189" s="126"/>
      <c r="AD189" s="126"/>
      <c r="AE189" s="126"/>
      <c r="AF189" s="126"/>
      <c r="AG189" s="126"/>
      <c r="AH189" s="126"/>
      <c r="AI189" s="126"/>
      <c r="AJ189" s="126"/>
      <c r="AK189" s="126"/>
      <c r="AL189" s="126"/>
      <c r="AM189" s="126"/>
      <c r="AN189" s="126"/>
      <c r="AO189" s="126"/>
    </row>
    <row r="190" spans="1:41" ht="12.75" customHeight="1" x14ac:dyDescent="0.25">
      <c r="A190" s="126"/>
      <c r="B190" s="640"/>
      <c r="C190" s="141"/>
      <c r="D190" s="141"/>
      <c r="E190" s="141"/>
      <c r="F190" s="141"/>
      <c r="G190" s="141"/>
      <c r="H190" s="141"/>
      <c r="I190" s="141"/>
      <c r="J190" s="126"/>
      <c r="K190" s="141"/>
      <c r="L190" s="141"/>
      <c r="M190" s="141"/>
      <c r="N190" s="142"/>
      <c r="O190" s="142"/>
      <c r="P190" s="142"/>
      <c r="Q190" s="142"/>
      <c r="R190" s="142"/>
      <c r="S190" s="142"/>
      <c r="T190" s="142"/>
      <c r="U190" s="142"/>
      <c r="V190" s="141"/>
      <c r="W190" s="126"/>
      <c r="X190" s="126"/>
      <c r="Y190" s="126"/>
      <c r="Z190" s="126"/>
      <c r="AA190" s="126"/>
      <c r="AB190" s="126"/>
      <c r="AC190" s="126"/>
      <c r="AD190" s="126"/>
      <c r="AE190" s="126"/>
      <c r="AF190" s="126"/>
      <c r="AG190" s="126"/>
      <c r="AH190" s="126"/>
      <c r="AI190" s="126"/>
      <c r="AJ190" s="126"/>
      <c r="AK190" s="126"/>
      <c r="AL190" s="126"/>
      <c r="AM190" s="126"/>
      <c r="AN190" s="126"/>
      <c r="AO190" s="126"/>
    </row>
    <row r="191" spans="1:41" ht="12.75" customHeight="1" x14ac:dyDescent="0.25">
      <c r="A191" s="126"/>
      <c r="B191" s="640"/>
      <c r="C191" s="141"/>
      <c r="D191" s="141"/>
      <c r="E191" s="141"/>
      <c r="F191" s="141"/>
      <c r="G191" s="141"/>
      <c r="H191" s="141"/>
      <c r="I191" s="141"/>
      <c r="J191" s="126"/>
      <c r="K191" s="141"/>
      <c r="L191" s="141"/>
      <c r="M191" s="141"/>
      <c r="N191" s="142"/>
      <c r="O191" s="142"/>
      <c r="P191" s="142"/>
      <c r="Q191" s="142"/>
      <c r="R191" s="142"/>
      <c r="S191" s="142"/>
      <c r="T191" s="142"/>
      <c r="U191" s="142"/>
      <c r="V191" s="141"/>
      <c r="W191" s="126"/>
      <c r="X191" s="126"/>
      <c r="Y191" s="126"/>
      <c r="Z191" s="126"/>
      <c r="AA191" s="126"/>
      <c r="AB191" s="126"/>
      <c r="AC191" s="126"/>
      <c r="AD191" s="126"/>
      <c r="AE191" s="126"/>
      <c r="AF191" s="126"/>
      <c r="AG191" s="126"/>
      <c r="AH191" s="126"/>
      <c r="AI191" s="126"/>
      <c r="AJ191" s="126"/>
      <c r="AK191" s="126"/>
      <c r="AL191" s="126"/>
      <c r="AM191" s="126"/>
      <c r="AN191" s="126"/>
      <c r="AO191" s="126"/>
    </row>
    <row r="192" spans="1:41" ht="12.75" customHeight="1" x14ac:dyDescent="0.25">
      <c r="A192" s="126"/>
      <c r="B192" s="640"/>
      <c r="C192" s="141"/>
      <c r="D192" s="141"/>
      <c r="E192" s="141"/>
      <c r="F192" s="141"/>
      <c r="G192" s="141"/>
      <c r="H192" s="141"/>
      <c r="I192" s="141"/>
      <c r="J192" s="126"/>
      <c r="K192" s="141"/>
      <c r="L192" s="141"/>
      <c r="M192" s="141"/>
      <c r="N192" s="142"/>
      <c r="O192" s="142"/>
      <c r="P192" s="142"/>
      <c r="Q192" s="142"/>
      <c r="R192" s="142"/>
      <c r="S192" s="142"/>
      <c r="T192" s="142"/>
      <c r="U192" s="142"/>
      <c r="V192" s="141"/>
      <c r="W192" s="126"/>
      <c r="X192" s="126"/>
      <c r="Y192" s="126"/>
      <c r="Z192" s="126"/>
      <c r="AA192" s="126"/>
      <c r="AB192" s="126"/>
      <c r="AC192" s="126"/>
      <c r="AD192" s="126"/>
      <c r="AE192" s="126"/>
      <c r="AF192" s="126"/>
      <c r="AG192" s="126"/>
      <c r="AH192" s="126"/>
      <c r="AI192" s="126"/>
      <c r="AJ192" s="126"/>
      <c r="AK192" s="126"/>
      <c r="AL192" s="126"/>
      <c r="AM192" s="126"/>
      <c r="AN192" s="126"/>
      <c r="AO192" s="126"/>
    </row>
    <row r="193" spans="1:41" ht="12.75" customHeight="1" x14ac:dyDescent="0.25">
      <c r="A193" s="126"/>
      <c r="B193" s="640"/>
      <c r="C193" s="141"/>
      <c r="D193" s="141"/>
      <c r="E193" s="141"/>
      <c r="F193" s="141"/>
      <c r="G193" s="141"/>
      <c r="H193" s="141"/>
      <c r="I193" s="141"/>
      <c r="J193" s="126"/>
      <c r="K193" s="141"/>
      <c r="L193" s="141"/>
      <c r="M193" s="141"/>
      <c r="N193" s="142"/>
      <c r="O193" s="142"/>
      <c r="P193" s="142"/>
      <c r="Q193" s="142"/>
      <c r="R193" s="142"/>
      <c r="S193" s="142"/>
      <c r="T193" s="142"/>
      <c r="U193" s="142"/>
      <c r="V193" s="141"/>
      <c r="W193" s="126"/>
      <c r="X193" s="126"/>
      <c r="Y193" s="126"/>
      <c r="Z193" s="126"/>
      <c r="AA193" s="126"/>
      <c r="AB193" s="126"/>
      <c r="AC193" s="126"/>
      <c r="AD193" s="126"/>
      <c r="AE193" s="126"/>
      <c r="AF193" s="126"/>
      <c r="AG193" s="126"/>
      <c r="AH193" s="126"/>
      <c r="AI193" s="126"/>
      <c r="AJ193" s="126"/>
      <c r="AK193" s="126"/>
      <c r="AL193" s="126"/>
      <c r="AM193" s="126"/>
      <c r="AN193" s="126"/>
      <c r="AO193" s="126"/>
    </row>
    <row r="194" spans="1:41" ht="12.75" customHeight="1" x14ac:dyDescent="0.25">
      <c r="A194" s="126"/>
      <c r="B194" s="640"/>
      <c r="C194" s="141"/>
      <c r="D194" s="141"/>
      <c r="E194" s="141"/>
      <c r="F194" s="141"/>
      <c r="G194" s="141"/>
      <c r="H194" s="141"/>
      <c r="I194" s="141"/>
      <c r="J194" s="126"/>
      <c r="K194" s="141"/>
      <c r="L194" s="141"/>
      <c r="M194" s="141"/>
      <c r="N194" s="142"/>
      <c r="O194" s="142"/>
      <c r="P194" s="142"/>
      <c r="Q194" s="142"/>
      <c r="R194" s="142"/>
      <c r="S194" s="142"/>
      <c r="T194" s="142"/>
      <c r="U194" s="142"/>
      <c r="V194" s="141"/>
      <c r="W194" s="126"/>
      <c r="X194" s="126"/>
      <c r="Y194" s="126"/>
      <c r="Z194" s="126"/>
      <c r="AA194" s="126"/>
      <c r="AB194" s="126"/>
      <c r="AC194" s="126"/>
      <c r="AD194" s="126"/>
      <c r="AE194" s="126"/>
      <c r="AF194" s="126"/>
      <c r="AG194" s="126"/>
      <c r="AH194" s="126"/>
      <c r="AI194" s="126"/>
      <c r="AJ194" s="126"/>
      <c r="AK194" s="126"/>
      <c r="AL194" s="126"/>
      <c r="AM194" s="126"/>
      <c r="AN194" s="126"/>
      <c r="AO194" s="126"/>
    </row>
    <row r="195" spans="1:41" ht="12.75" customHeight="1" x14ac:dyDescent="0.25">
      <c r="A195" s="126"/>
      <c r="B195" s="640"/>
      <c r="C195" s="141"/>
      <c r="D195" s="141"/>
      <c r="E195" s="141"/>
      <c r="F195" s="141"/>
      <c r="G195" s="141"/>
      <c r="H195" s="141"/>
      <c r="I195" s="141"/>
      <c r="J195" s="126"/>
      <c r="K195" s="141"/>
      <c r="L195" s="141"/>
      <c r="M195" s="141"/>
      <c r="N195" s="142"/>
      <c r="O195" s="142"/>
      <c r="P195" s="142"/>
      <c r="Q195" s="142"/>
      <c r="R195" s="142"/>
      <c r="S195" s="142"/>
      <c r="T195" s="142"/>
      <c r="U195" s="142"/>
      <c r="V195" s="141"/>
      <c r="W195" s="126"/>
      <c r="X195" s="126"/>
      <c r="Y195" s="126"/>
      <c r="Z195" s="126"/>
      <c r="AA195" s="126"/>
      <c r="AB195" s="126"/>
      <c r="AC195" s="126"/>
      <c r="AD195" s="126"/>
      <c r="AE195" s="126"/>
      <c r="AF195" s="126"/>
      <c r="AG195" s="126"/>
      <c r="AH195" s="126"/>
      <c r="AI195" s="126"/>
      <c r="AJ195" s="126"/>
      <c r="AK195" s="126"/>
      <c r="AL195" s="126"/>
      <c r="AM195" s="126"/>
      <c r="AN195" s="126"/>
      <c r="AO195" s="126"/>
    </row>
    <row r="196" spans="1:41" ht="12.75" customHeight="1" x14ac:dyDescent="0.25">
      <c r="A196" s="126"/>
      <c r="B196" s="640"/>
      <c r="C196" s="141"/>
      <c r="D196" s="141"/>
      <c r="E196" s="141"/>
      <c r="F196" s="141"/>
      <c r="G196" s="141"/>
      <c r="H196" s="141"/>
      <c r="I196" s="141"/>
      <c r="J196" s="126"/>
      <c r="K196" s="141"/>
      <c r="L196" s="141"/>
      <c r="M196" s="141"/>
      <c r="N196" s="142"/>
      <c r="O196" s="142"/>
      <c r="P196" s="142"/>
      <c r="Q196" s="142"/>
      <c r="R196" s="142"/>
      <c r="S196" s="142"/>
      <c r="T196" s="142"/>
      <c r="U196" s="142"/>
      <c r="V196" s="141"/>
      <c r="W196" s="126"/>
      <c r="X196" s="126"/>
      <c r="Y196" s="126"/>
      <c r="Z196" s="126"/>
      <c r="AA196" s="126"/>
      <c r="AB196" s="126"/>
      <c r="AC196" s="126"/>
      <c r="AD196" s="126"/>
      <c r="AE196" s="126"/>
      <c r="AF196" s="126"/>
      <c r="AG196" s="126"/>
      <c r="AH196" s="126"/>
      <c r="AI196" s="126"/>
      <c r="AJ196" s="126"/>
      <c r="AK196" s="126"/>
      <c r="AL196" s="126"/>
      <c r="AM196" s="126"/>
      <c r="AN196" s="126"/>
      <c r="AO196" s="126"/>
    </row>
    <row r="197" spans="1:41" ht="12.75" customHeight="1" x14ac:dyDescent="0.25">
      <c r="A197" s="126"/>
      <c r="B197" s="640"/>
      <c r="C197" s="141"/>
      <c r="D197" s="141"/>
      <c r="E197" s="141"/>
      <c r="F197" s="141"/>
      <c r="G197" s="141"/>
      <c r="H197" s="141"/>
      <c r="I197" s="141"/>
      <c r="J197" s="126"/>
      <c r="K197" s="141"/>
      <c r="L197" s="141"/>
      <c r="M197" s="141"/>
      <c r="N197" s="142"/>
      <c r="O197" s="142"/>
      <c r="P197" s="142"/>
      <c r="Q197" s="142"/>
      <c r="R197" s="142"/>
      <c r="S197" s="142"/>
      <c r="T197" s="142"/>
      <c r="U197" s="142"/>
      <c r="V197" s="141"/>
      <c r="W197" s="126"/>
      <c r="X197" s="126"/>
      <c r="Y197" s="126"/>
      <c r="Z197" s="126"/>
      <c r="AA197" s="126"/>
      <c r="AB197" s="126"/>
      <c r="AC197" s="126"/>
      <c r="AD197" s="126"/>
      <c r="AE197" s="126"/>
      <c r="AF197" s="126"/>
      <c r="AG197" s="126"/>
      <c r="AH197" s="126"/>
      <c r="AI197" s="126"/>
      <c r="AJ197" s="126"/>
      <c r="AK197" s="126"/>
      <c r="AL197" s="126"/>
      <c r="AM197" s="126"/>
      <c r="AN197" s="126"/>
      <c r="AO197" s="126"/>
    </row>
    <row r="198" spans="1:41" ht="12.75" customHeight="1" x14ac:dyDescent="0.25">
      <c r="A198" s="126"/>
      <c r="B198" s="640"/>
      <c r="C198" s="141"/>
      <c r="D198" s="141"/>
      <c r="E198" s="141"/>
      <c r="F198" s="141"/>
      <c r="G198" s="141"/>
      <c r="H198" s="141"/>
      <c r="I198" s="141"/>
      <c r="J198" s="126"/>
      <c r="K198" s="141"/>
      <c r="L198" s="141"/>
      <c r="M198" s="141"/>
      <c r="N198" s="142"/>
      <c r="O198" s="142"/>
      <c r="P198" s="142"/>
      <c r="Q198" s="142"/>
      <c r="R198" s="142"/>
      <c r="S198" s="142"/>
      <c r="T198" s="142"/>
      <c r="U198" s="142"/>
      <c r="V198" s="141"/>
      <c r="W198" s="126"/>
      <c r="X198" s="126"/>
      <c r="Y198" s="126"/>
      <c r="Z198" s="126"/>
      <c r="AA198" s="126"/>
      <c r="AB198" s="126"/>
      <c r="AC198" s="126"/>
      <c r="AD198" s="126"/>
      <c r="AE198" s="126"/>
      <c r="AF198" s="126"/>
      <c r="AG198" s="126"/>
      <c r="AH198" s="126"/>
      <c r="AI198" s="126"/>
      <c r="AJ198" s="126"/>
      <c r="AK198" s="126"/>
      <c r="AL198" s="126"/>
      <c r="AM198" s="126"/>
      <c r="AN198" s="126"/>
      <c r="AO198" s="126"/>
    </row>
    <row r="199" spans="1:41" ht="12.75" customHeight="1" x14ac:dyDescent="0.25">
      <c r="A199" s="126"/>
      <c r="B199" s="640"/>
      <c r="C199" s="141"/>
      <c r="D199" s="141"/>
      <c r="E199" s="141"/>
      <c r="F199" s="141"/>
      <c r="G199" s="141"/>
      <c r="H199" s="141"/>
      <c r="I199" s="141"/>
      <c r="J199" s="126"/>
      <c r="K199" s="141"/>
      <c r="L199" s="141"/>
      <c r="M199" s="141"/>
      <c r="N199" s="142"/>
      <c r="O199" s="142"/>
      <c r="P199" s="142"/>
      <c r="Q199" s="142"/>
      <c r="R199" s="142"/>
      <c r="S199" s="142"/>
      <c r="T199" s="142"/>
      <c r="U199" s="142"/>
      <c r="V199" s="141"/>
      <c r="W199" s="126"/>
      <c r="X199" s="126"/>
      <c r="Y199" s="126"/>
      <c r="Z199" s="126"/>
      <c r="AA199" s="126"/>
      <c r="AB199" s="126"/>
      <c r="AC199" s="126"/>
      <c r="AD199" s="126"/>
      <c r="AE199" s="126"/>
      <c r="AF199" s="126"/>
      <c r="AG199" s="126"/>
      <c r="AH199" s="126"/>
      <c r="AI199" s="126"/>
      <c r="AJ199" s="126"/>
      <c r="AK199" s="126"/>
      <c r="AL199" s="126"/>
      <c r="AM199" s="126"/>
      <c r="AN199" s="126"/>
      <c r="AO199" s="126"/>
    </row>
    <row r="200" spans="1:41" ht="12.75" customHeight="1" x14ac:dyDescent="0.25">
      <c r="A200" s="126"/>
      <c r="B200" s="640"/>
      <c r="C200" s="141"/>
      <c r="D200" s="141"/>
      <c r="E200" s="141"/>
      <c r="F200" s="141"/>
      <c r="G200" s="141"/>
      <c r="H200" s="141"/>
      <c r="I200" s="141"/>
      <c r="J200" s="126"/>
      <c r="K200" s="141"/>
      <c r="L200" s="141"/>
      <c r="M200" s="141"/>
      <c r="N200" s="142"/>
      <c r="O200" s="142"/>
      <c r="P200" s="142"/>
      <c r="Q200" s="142"/>
      <c r="R200" s="142"/>
      <c r="S200" s="142"/>
      <c r="T200" s="142"/>
      <c r="U200" s="142"/>
      <c r="V200" s="141"/>
      <c r="W200" s="126"/>
      <c r="X200" s="126"/>
      <c r="Y200" s="126"/>
      <c r="Z200" s="126"/>
      <c r="AA200" s="126"/>
      <c r="AB200" s="126"/>
      <c r="AC200" s="126"/>
      <c r="AD200" s="126"/>
      <c r="AE200" s="126"/>
      <c r="AF200" s="126"/>
      <c r="AG200" s="126"/>
      <c r="AH200" s="126"/>
      <c r="AI200" s="126"/>
      <c r="AJ200" s="126"/>
      <c r="AK200" s="126"/>
      <c r="AL200" s="126"/>
      <c r="AM200" s="126"/>
      <c r="AN200" s="126"/>
      <c r="AO200" s="126"/>
    </row>
    <row r="201" spans="1:41" ht="12.75" customHeight="1" x14ac:dyDescent="0.25">
      <c r="A201" s="126"/>
      <c r="B201" s="640"/>
      <c r="C201" s="141"/>
      <c r="D201" s="141"/>
      <c r="E201" s="141"/>
      <c r="F201" s="141"/>
      <c r="G201" s="141"/>
      <c r="H201" s="141"/>
      <c r="I201" s="141"/>
      <c r="J201" s="126"/>
      <c r="K201" s="141"/>
      <c r="L201" s="141"/>
      <c r="M201" s="141"/>
      <c r="N201" s="142"/>
      <c r="O201" s="142"/>
      <c r="P201" s="142"/>
      <c r="Q201" s="142"/>
      <c r="R201" s="142"/>
      <c r="S201" s="142"/>
      <c r="T201" s="142"/>
      <c r="U201" s="142"/>
      <c r="V201" s="141"/>
      <c r="W201" s="126"/>
      <c r="X201" s="126"/>
      <c r="Y201" s="126"/>
      <c r="Z201" s="126"/>
      <c r="AA201" s="126"/>
      <c r="AB201" s="126"/>
      <c r="AC201" s="126"/>
      <c r="AD201" s="126"/>
      <c r="AE201" s="126"/>
      <c r="AF201" s="126"/>
      <c r="AG201" s="126"/>
      <c r="AH201" s="126"/>
      <c r="AI201" s="126"/>
      <c r="AJ201" s="126"/>
      <c r="AK201" s="126"/>
      <c r="AL201" s="126"/>
      <c r="AM201" s="126"/>
      <c r="AN201" s="126"/>
      <c r="AO201" s="126"/>
    </row>
    <row r="202" spans="1:41" ht="12.75" customHeight="1" x14ac:dyDescent="0.25">
      <c r="A202" s="126"/>
      <c r="B202" s="640"/>
      <c r="C202" s="141"/>
      <c r="D202" s="141"/>
      <c r="E202" s="141"/>
      <c r="F202" s="141"/>
      <c r="G202" s="141"/>
      <c r="H202" s="141"/>
      <c r="I202" s="141"/>
      <c r="J202" s="126"/>
      <c r="K202" s="141"/>
      <c r="L202" s="141"/>
      <c r="M202" s="141"/>
      <c r="N202" s="142"/>
      <c r="O202" s="142"/>
      <c r="P202" s="142"/>
      <c r="Q202" s="142"/>
      <c r="R202" s="142"/>
      <c r="S202" s="142"/>
      <c r="T202" s="142"/>
      <c r="U202" s="142"/>
      <c r="V202" s="141"/>
      <c r="W202" s="126"/>
      <c r="X202" s="126"/>
      <c r="Y202" s="126"/>
      <c r="Z202" s="126"/>
      <c r="AA202" s="126"/>
      <c r="AB202" s="126"/>
      <c r="AC202" s="126"/>
      <c r="AD202" s="126"/>
      <c r="AE202" s="126"/>
      <c r="AF202" s="126"/>
      <c r="AG202" s="126"/>
      <c r="AH202" s="126"/>
      <c r="AI202" s="126"/>
      <c r="AJ202" s="126"/>
      <c r="AK202" s="126"/>
      <c r="AL202" s="126"/>
      <c r="AM202" s="126"/>
      <c r="AN202" s="126"/>
      <c r="AO202" s="126"/>
    </row>
    <row r="203" spans="1:41" ht="12.75" customHeight="1" x14ac:dyDescent="0.25">
      <c r="A203" s="126"/>
      <c r="B203" s="640"/>
      <c r="C203" s="141"/>
      <c r="D203" s="141"/>
      <c r="E203" s="141"/>
      <c r="F203" s="141"/>
      <c r="G203" s="141"/>
      <c r="H203" s="141"/>
      <c r="I203" s="141"/>
      <c r="J203" s="126"/>
      <c r="K203" s="141"/>
      <c r="L203" s="141"/>
      <c r="M203" s="141"/>
      <c r="N203" s="142"/>
      <c r="O203" s="142"/>
      <c r="P203" s="142"/>
      <c r="Q203" s="142"/>
      <c r="R203" s="142"/>
      <c r="S203" s="142"/>
      <c r="T203" s="142"/>
      <c r="U203" s="142"/>
      <c r="V203" s="141"/>
      <c r="W203" s="126"/>
      <c r="X203" s="126"/>
      <c r="Y203" s="126"/>
      <c r="Z203" s="126"/>
      <c r="AA203" s="126"/>
      <c r="AB203" s="126"/>
      <c r="AC203" s="126"/>
      <c r="AD203" s="126"/>
      <c r="AE203" s="126"/>
      <c r="AF203" s="126"/>
      <c r="AG203" s="126"/>
      <c r="AH203" s="126"/>
      <c r="AI203" s="126"/>
      <c r="AJ203" s="126"/>
      <c r="AK203" s="126"/>
      <c r="AL203" s="126"/>
      <c r="AM203" s="126"/>
      <c r="AN203" s="126"/>
      <c r="AO203" s="126"/>
    </row>
    <row r="204" spans="1:41" ht="12.75" customHeight="1" x14ac:dyDescent="0.25">
      <c r="A204" s="126"/>
      <c r="B204" s="640"/>
      <c r="C204" s="141"/>
      <c r="D204" s="141"/>
      <c r="E204" s="141"/>
      <c r="F204" s="141"/>
      <c r="G204" s="141"/>
      <c r="H204" s="141"/>
      <c r="I204" s="141"/>
      <c r="J204" s="126"/>
      <c r="K204" s="141"/>
      <c r="L204" s="141"/>
      <c r="M204" s="141"/>
      <c r="N204" s="142"/>
      <c r="O204" s="142"/>
      <c r="P204" s="142"/>
      <c r="Q204" s="142"/>
      <c r="R204" s="142"/>
      <c r="S204" s="142"/>
      <c r="T204" s="142"/>
      <c r="U204" s="142"/>
      <c r="V204" s="141"/>
      <c r="W204" s="126"/>
      <c r="X204" s="126"/>
      <c r="Y204" s="126"/>
      <c r="Z204" s="126"/>
      <c r="AA204" s="126"/>
      <c r="AB204" s="126"/>
      <c r="AC204" s="126"/>
      <c r="AD204" s="126"/>
      <c r="AE204" s="126"/>
      <c r="AF204" s="126"/>
      <c r="AG204" s="126"/>
      <c r="AH204" s="126"/>
      <c r="AI204" s="126"/>
      <c r="AJ204" s="126"/>
      <c r="AK204" s="126"/>
      <c r="AL204" s="126"/>
      <c r="AM204" s="126"/>
      <c r="AN204" s="126"/>
      <c r="AO204" s="126"/>
    </row>
    <row r="205" spans="1:41" ht="12.75" customHeight="1" x14ac:dyDescent="0.25">
      <c r="A205" s="126"/>
      <c r="B205" s="640"/>
      <c r="C205" s="141"/>
      <c r="D205" s="141"/>
      <c r="E205" s="141"/>
      <c r="F205" s="141"/>
      <c r="G205" s="141"/>
      <c r="H205" s="141"/>
      <c r="I205" s="141"/>
      <c r="J205" s="126"/>
      <c r="K205" s="141"/>
      <c r="L205" s="141"/>
      <c r="M205" s="141"/>
      <c r="N205" s="142"/>
      <c r="O205" s="142"/>
      <c r="P205" s="142"/>
      <c r="Q205" s="142"/>
      <c r="R205" s="142"/>
      <c r="S205" s="142"/>
      <c r="T205" s="142"/>
      <c r="U205" s="142"/>
      <c r="V205" s="141"/>
      <c r="W205" s="126"/>
      <c r="X205" s="126"/>
      <c r="Y205" s="126"/>
      <c r="Z205" s="126"/>
      <c r="AA205" s="126"/>
      <c r="AB205" s="126"/>
      <c r="AC205" s="126"/>
      <c r="AD205" s="126"/>
      <c r="AE205" s="126"/>
      <c r="AF205" s="126"/>
      <c r="AG205" s="126"/>
      <c r="AH205" s="126"/>
      <c r="AI205" s="126"/>
      <c r="AJ205" s="126"/>
      <c r="AK205" s="126"/>
      <c r="AL205" s="126"/>
      <c r="AM205" s="126"/>
      <c r="AN205" s="126"/>
      <c r="AO205" s="126"/>
    </row>
    <row r="206" spans="1:41" ht="12.75" customHeight="1" x14ac:dyDescent="0.25">
      <c r="A206" s="126"/>
      <c r="B206" s="640"/>
      <c r="C206" s="141"/>
      <c r="D206" s="141"/>
      <c r="E206" s="141"/>
      <c r="F206" s="141"/>
      <c r="G206" s="141"/>
      <c r="H206" s="141"/>
      <c r="I206" s="141"/>
      <c r="J206" s="126"/>
      <c r="K206" s="141"/>
      <c r="L206" s="141"/>
      <c r="M206" s="141"/>
      <c r="N206" s="142"/>
      <c r="O206" s="142"/>
      <c r="P206" s="142"/>
      <c r="Q206" s="142"/>
      <c r="R206" s="142"/>
      <c r="S206" s="142"/>
      <c r="T206" s="142"/>
      <c r="U206" s="142"/>
      <c r="V206" s="141"/>
      <c r="W206" s="126"/>
      <c r="X206" s="126"/>
      <c r="Y206" s="126"/>
      <c r="Z206" s="126"/>
      <c r="AA206" s="126"/>
      <c r="AB206" s="126"/>
      <c r="AC206" s="126"/>
      <c r="AD206" s="126"/>
      <c r="AE206" s="126"/>
      <c r="AF206" s="126"/>
      <c r="AG206" s="126"/>
      <c r="AH206" s="126"/>
      <c r="AI206" s="126"/>
      <c r="AJ206" s="126"/>
      <c r="AK206" s="126"/>
      <c r="AL206" s="126"/>
      <c r="AM206" s="126"/>
      <c r="AN206" s="126"/>
      <c r="AO206" s="126"/>
    </row>
    <row r="207" spans="1:41" ht="12.75" customHeight="1" x14ac:dyDescent="0.25">
      <c r="A207" s="126"/>
      <c r="B207" s="640"/>
      <c r="C207" s="141"/>
      <c r="D207" s="141"/>
      <c r="E207" s="141"/>
      <c r="F207" s="141"/>
      <c r="G207" s="141"/>
      <c r="H207" s="141"/>
      <c r="I207" s="141"/>
      <c r="J207" s="126"/>
      <c r="K207" s="141"/>
      <c r="L207" s="141"/>
      <c r="M207" s="141"/>
      <c r="N207" s="142"/>
      <c r="O207" s="142"/>
      <c r="P207" s="142"/>
      <c r="Q207" s="142"/>
      <c r="R207" s="142"/>
      <c r="S207" s="142"/>
      <c r="T207" s="142"/>
      <c r="U207" s="142"/>
      <c r="V207" s="141"/>
      <c r="W207" s="126"/>
      <c r="X207" s="126"/>
      <c r="Y207" s="126"/>
      <c r="Z207" s="126"/>
      <c r="AA207" s="126"/>
      <c r="AB207" s="126"/>
      <c r="AC207" s="126"/>
      <c r="AD207" s="126"/>
      <c r="AE207" s="126"/>
      <c r="AF207" s="126"/>
      <c r="AG207" s="126"/>
      <c r="AH207" s="126"/>
      <c r="AI207" s="126"/>
      <c r="AJ207" s="126"/>
      <c r="AK207" s="126"/>
      <c r="AL207" s="126"/>
      <c r="AM207" s="126"/>
      <c r="AN207" s="126"/>
      <c r="AO207" s="126"/>
    </row>
    <row r="208" spans="1:41" ht="12.75" customHeight="1" x14ac:dyDescent="0.25">
      <c r="A208" s="126"/>
      <c r="B208" s="640"/>
      <c r="C208" s="141"/>
      <c r="D208" s="141"/>
      <c r="E208" s="141"/>
      <c r="F208" s="141"/>
      <c r="G208" s="141"/>
      <c r="H208" s="141"/>
      <c r="I208" s="141"/>
      <c r="J208" s="126"/>
      <c r="K208" s="141"/>
      <c r="L208" s="141"/>
      <c r="M208" s="141"/>
      <c r="N208" s="142"/>
      <c r="O208" s="142"/>
      <c r="P208" s="142"/>
      <c r="Q208" s="142"/>
      <c r="R208" s="142"/>
      <c r="S208" s="142"/>
      <c r="T208" s="142"/>
      <c r="U208" s="142"/>
      <c r="V208" s="141"/>
      <c r="W208" s="126"/>
      <c r="X208" s="126"/>
      <c r="Y208" s="126"/>
      <c r="Z208" s="126"/>
      <c r="AA208" s="126"/>
      <c r="AB208" s="126"/>
      <c r="AC208" s="126"/>
      <c r="AD208" s="126"/>
      <c r="AE208" s="126"/>
      <c r="AF208" s="126"/>
      <c r="AG208" s="126"/>
      <c r="AH208" s="126"/>
      <c r="AI208" s="126"/>
      <c r="AJ208" s="126"/>
      <c r="AK208" s="126"/>
      <c r="AL208" s="126"/>
      <c r="AM208" s="126"/>
      <c r="AN208" s="126"/>
      <c r="AO208" s="126"/>
    </row>
    <row r="209" spans="1:41" ht="12.75" customHeight="1" x14ac:dyDescent="0.25">
      <c r="A209" s="126"/>
      <c r="B209" s="640"/>
      <c r="C209" s="141"/>
      <c r="D209" s="141"/>
      <c r="E209" s="141"/>
      <c r="F209" s="141"/>
      <c r="G209" s="141"/>
      <c r="H209" s="141"/>
      <c r="I209" s="141"/>
      <c r="J209" s="126"/>
      <c r="K209" s="141"/>
      <c r="L209" s="141"/>
      <c r="M209" s="141"/>
      <c r="N209" s="142"/>
      <c r="O209" s="142"/>
      <c r="P209" s="142"/>
      <c r="Q209" s="142"/>
      <c r="R209" s="142"/>
      <c r="S209" s="142"/>
      <c r="T209" s="142"/>
      <c r="U209" s="142"/>
      <c r="V209" s="141"/>
      <c r="W209" s="126"/>
      <c r="X209" s="126"/>
      <c r="Y209" s="126"/>
      <c r="Z209" s="126"/>
      <c r="AA209" s="126"/>
      <c r="AB209" s="126"/>
      <c r="AC209" s="126"/>
      <c r="AD209" s="126"/>
      <c r="AE209" s="126"/>
      <c r="AF209" s="126"/>
      <c r="AG209" s="126"/>
      <c r="AH209" s="126"/>
      <c r="AI209" s="126"/>
      <c r="AJ209" s="126"/>
      <c r="AK209" s="126"/>
      <c r="AL209" s="126"/>
      <c r="AM209" s="126"/>
      <c r="AN209" s="126"/>
      <c r="AO209" s="126"/>
    </row>
    <row r="210" spans="1:41" ht="12.75" customHeight="1" x14ac:dyDescent="0.25">
      <c r="A210" s="126"/>
      <c r="B210" s="640"/>
      <c r="C210" s="141"/>
      <c r="D210" s="141"/>
      <c r="E210" s="141"/>
      <c r="F210" s="141"/>
      <c r="G210" s="141"/>
      <c r="H210" s="141"/>
      <c r="I210" s="141"/>
      <c r="J210" s="126"/>
      <c r="K210" s="141"/>
      <c r="L210" s="141"/>
      <c r="M210" s="141"/>
      <c r="N210" s="142"/>
      <c r="O210" s="142"/>
      <c r="P210" s="142"/>
      <c r="Q210" s="142"/>
      <c r="R210" s="142"/>
      <c r="S210" s="142"/>
      <c r="T210" s="142"/>
      <c r="U210" s="142"/>
      <c r="V210" s="141"/>
      <c r="W210" s="126"/>
      <c r="X210" s="126"/>
      <c r="Y210" s="126"/>
      <c r="Z210" s="126"/>
      <c r="AA210" s="126"/>
      <c r="AB210" s="126"/>
      <c r="AC210" s="126"/>
      <c r="AD210" s="126"/>
      <c r="AE210" s="126"/>
      <c r="AF210" s="126"/>
      <c r="AG210" s="126"/>
      <c r="AH210" s="126"/>
      <c r="AI210" s="126"/>
      <c r="AJ210" s="126"/>
      <c r="AK210" s="126"/>
      <c r="AL210" s="126"/>
      <c r="AM210" s="126"/>
      <c r="AN210" s="126"/>
      <c r="AO210" s="126"/>
    </row>
    <row r="211" spans="1:41" ht="12.75" customHeight="1" x14ac:dyDescent="0.25">
      <c r="A211" s="126"/>
      <c r="B211" s="640"/>
      <c r="C211" s="141"/>
      <c r="D211" s="141"/>
      <c r="E211" s="141"/>
      <c r="F211" s="141"/>
      <c r="G211" s="141"/>
      <c r="H211" s="141"/>
      <c r="I211" s="141"/>
      <c r="J211" s="126"/>
      <c r="K211" s="141"/>
      <c r="L211" s="141"/>
      <c r="M211" s="141"/>
      <c r="N211" s="142"/>
      <c r="O211" s="142"/>
      <c r="P211" s="142"/>
      <c r="Q211" s="142"/>
      <c r="R211" s="142"/>
      <c r="S211" s="142"/>
      <c r="T211" s="142"/>
      <c r="U211" s="142"/>
      <c r="V211" s="141"/>
      <c r="W211" s="126"/>
      <c r="X211" s="126"/>
      <c r="Y211" s="126"/>
      <c r="Z211" s="126"/>
      <c r="AA211" s="126"/>
      <c r="AB211" s="126"/>
      <c r="AC211" s="126"/>
      <c r="AD211" s="126"/>
      <c r="AE211" s="126"/>
      <c r="AF211" s="126"/>
      <c r="AG211" s="126"/>
      <c r="AH211" s="126"/>
      <c r="AI211" s="126"/>
      <c r="AJ211" s="126"/>
      <c r="AK211" s="126"/>
      <c r="AL211" s="126"/>
      <c r="AM211" s="126"/>
      <c r="AN211" s="126"/>
      <c r="AO211" s="126"/>
    </row>
    <row r="212" spans="1:41" ht="12.75" customHeight="1" x14ac:dyDescent="0.25">
      <c r="A212" s="126"/>
      <c r="B212" s="640"/>
      <c r="C212" s="141"/>
      <c r="D212" s="141"/>
      <c r="E212" s="141"/>
      <c r="F212" s="141"/>
      <c r="G212" s="141"/>
      <c r="H212" s="141"/>
      <c r="I212" s="141"/>
      <c r="J212" s="126"/>
      <c r="K212" s="141"/>
      <c r="L212" s="141"/>
      <c r="M212" s="141"/>
      <c r="N212" s="142"/>
      <c r="O212" s="142"/>
      <c r="P212" s="142"/>
      <c r="Q212" s="142"/>
      <c r="R212" s="142"/>
      <c r="S212" s="142"/>
      <c r="T212" s="142"/>
      <c r="U212" s="142"/>
      <c r="V212" s="141"/>
      <c r="W212" s="126"/>
      <c r="X212" s="126"/>
      <c r="Y212" s="126"/>
      <c r="Z212" s="126"/>
      <c r="AA212" s="126"/>
      <c r="AB212" s="126"/>
      <c r="AC212" s="126"/>
      <c r="AD212" s="126"/>
      <c r="AE212" s="126"/>
      <c r="AF212" s="126"/>
      <c r="AG212" s="126"/>
      <c r="AH212" s="126"/>
      <c r="AI212" s="126"/>
      <c r="AJ212" s="126"/>
      <c r="AK212" s="126"/>
      <c r="AL212" s="126"/>
      <c r="AM212" s="126"/>
      <c r="AN212" s="126"/>
      <c r="AO212" s="126"/>
    </row>
    <row r="213" spans="1:41" ht="12.75" customHeight="1" x14ac:dyDescent="0.25">
      <c r="A213" s="126"/>
      <c r="B213" s="640"/>
      <c r="C213" s="141"/>
      <c r="D213" s="141"/>
      <c r="E213" s="141"/>
      <c r="F213" s="141"/>
      <c r="G213" s="141"/>
      <c r="H213" s="141"/>
      <c r="I213" s="141"/>
      <c r="J213" s="126"/>
      <c r="K213" s="141"/>
      <c r="L213" s="141"/>
      <c r="M213" s="141"/>
      <c r="N213" s="142"/>
      <c r="O213" s="142"/>
      <c r="P213" s="142"/>
      <c r="Q213" s="142"/>
      <c r="R213" s="142"/>
      <c r="S213" s="142"/>
      <c r="T213" s="142"/>
      <c r="U213" s="142"/>
      <c r="V213" s="141"/>
      <c r="W213" s="126"/>
      <c r="X213" s="126"/>
      <c r="Y213" s="126"/>
      <c r="Z213" s="126"/>
      <c r="AA213" s="126"/>
      <c r="AB213" s="126"/>
      <c r="AC213" s="126"/>
      <c r="AD213" s="126"/>
      <c r="AE213" s="126"/>
      <c r="AF213" s="126"/>
      <c r="AG213" s="126"/>
      <c r="AH213" s="126"/>
      <c r="AI213" s="126"/>
      <c r="AJ213" s="126"/>
      <c r="AK213" s="126"/>
      <c r="AL213" s="126"/>
      <c r="AM213" s="126"/>
      <c r="AN213" s="126"/>
      <c r="AO213" s="126"/>
    </row>
    <row r="214" spans="1:41" ht="12.75" customHeight="1" x14ac:dyDescent="0.25">
      <c r="A214" s="126"/>
      <c r="B214" s="640"/>
      <c r="C214" s="141"/>
      <c r="D214" s="141"/>
      <c r="E214" s="141"/>
      <c r="F214" s="141"/>
      <c r="G214" s="141"/>
      <c r="H214" s="141"/>
      <c r="I214" s="141"/>
      <c r="J214" s="126"/>
      <c r="K214" s="141"/>
      <c r="L214" s="141"/>
      <c r="M214" s="141"/>
      <c r="N214" s="142"/>
      <c r="O214" s="142"/>
      <c r="P214" s="142"/>
      <c r="Q214" s="142"/>
      <c r="R214" s="142"/>
      <c r="S214" s="142"/>
      <c r="T214" s="142"/>
      <c r="U214" s="142"/>
      <c r="V214" s="141"/>
      <c r="W214" s="126"/>
      <c r="X214" s="126"/>
      <c r="Y214" s="126"/>
      <c r="Z214" s="126"/>
      <c r="AA214" s="126"/>
      <c r="AB214" s="126"/>
      <c r="AC214" s="126"/>
      <c r="AD214" s="126"/>
      <c r="AE214" s="126"/>
      <c r="AF214" s="126"/>
      <c r="AG214" s="126"/>
      <c r="AH214" s="126"/>
      <c r="AI214" s="126"/>
      <c r="AJ214" s="126"/>
      <c r="AK214" s="126"/>
      <c r="AL214" s="126"/>
      <c r="AM214" s="126"/>
      <c r="AN214" s="126"/>
      <c r="AO214" s="126"/>
    </row>
    <row r="215" spans="1:41" ht="12.75" customHeight="1" x14ac:dyDescent="0.25">
      <c r="A215" s="126"/>
      <c r="B215" s="640"/>
      <c r="C215" s="141"/>
      <c r="D215" s="141"/>
      <c r="E215" s="141"/>
      <c r="F215" s="141"/>
      <c r="G215" s="141"/>
      <c r="H215" s="141"/>
      <c r="I215" s="141"/>
      <c r="J215" s="126"/>
      <c r="K215" s="141"/>
      <c r="L215" s="141"/>
      <c r="M215" s="141"/>
      <c r="N215" s="142"/>
      <c r="O215" s="142"/>
      <c r="P215" s="142"/>
      <c r="Q215" s="142"/>
      <c r="R215" s="142"/>
      <c r="S215" s="142"/>
      <c r="T215" s="142"/>
      <c r="U215" s="142"/>
      <c r="V215" s="141"/>
      <c r="W215" s="126"/>
      <c r="X215" s="126"/>
      <c r="Y215" s="126"/>
      <c r="Z215" s="126"/>
      <c r="AA215" s="126"/>
      <c r="AB215" s="126"/>
      <c r="AC215" s="126"/>
      <c r="AD215" s="126"/>
      <c r="AE215" s="126"/>
      <c r="AF215" s="126"/>
      <c r="AG215" s="126"/>
      <c r="AH215" s="126"/>
      <c r="AI215" s="126"/>
      <c r="AJ215" s="126"/>
      <c r="AK215" s="126"/>
      <c r="AL215" s="126"/>
      <c r="AM215" s="126"/>
      <c r="AN215" s="126"/>
      <c r="AO215" s="126"/>
    </row>
    <row r="216" spans="1:41" ht="12.75" customHeight="1" x14ac:dyDescent="0.25">
      <c r="A216" s="126"/>
      <c r="B216" s="640"/>
      <c r="C216" s="141"/>
      <c r="D216" s="141"/>
      <c r="E216" s="141"/>
      <c r="F216" s="141"/>
      <c r="G216" s="141"/>
      <c r="H216" s="141"/>
      <c r="I216" s="141"/>
      <c r="J216" s="126"/>
      <c r="K216" s="141"/>
      <c r="L216" s="141"/>
      <c r="M216" s="141"/>
      <c r="N216" s="142"/>
      <c r="O216" s="142"/>
      <c r="P216" s="142"/>
      <c r="Q216" s="142"/>
      <c r="R216" s="142"/>
      <c r="S216" s="142"/>
      <c r="T216" s="142"/>
      <c r="U216" s="142"/>
      <c r="V216" s="141"/>
      <c r="W216" s="126"/>
      <c r="X216" s="126"/>
      <c r="Y216" s="126"/>
      <c r="Z216" s="126"/>
      <c r="AA216" s="126"/>
      <c r="AB216" s="126"/>
      <c r="AC216" s="126"/>
      <c r="AD216" s="126"/>
      <c r="AE216" s="126"/>
      <c r="AF216" s="126"/>
      <c r="AG216" s="126"/>
      <c r="AH216" s="126"/>
      <c r="AI216" s="126"/>
      <c r="AJ216" s="126"/>
      <c r="AK216" s="126"/>
      <c r="AL216" s="126"/>
      <c r="AM216" s="126"/>
      <c r="AN216" s="126"/>
      <c r="AO216" s="126"/>
    </row>
    <row r="217" spans="1:41" ht="12.75" customHeight="1" x14ac:dyDescent="0.25">
      <c r="A217" s="126"/>
      <c r="B217" s="640"/>
      <c r="C217" s="141"/>
      <c r="D217" s="141"/>
      <c r="E217" s="141"/>
      <c r="F217" s="141"/>
      <c r="G217" s="141"/>
      <c r="H217" s="141"/>
      <c r="I217" s="141"/>
      <c r="J217" s="126"/>
      <c r="K217" s="141"/>
      <c r="L217" s="141"/>
      <c r="M217" s="141"/>
      <c r="N217" s="142"/>
      <c r="O217" s="142"/>
      <c r="P217" s="142"/>
      <c r="Q217" s="142"/>
      <c r="R217" s="142"/>
      <c r="S217" s="142"/>
      <c r="T217" s="142"/>
      <c r="U217" s="142"/>
      <c r="V217" s="141"/>
      <c r="W217" s="126"/>
      <c r="X217" s="126"/>
      <c r="Y217" s="126"/>
      <c r="Z217" s="126"/>
      <c r="AA217" s="126"/>
      <c r="AB217" s="126"/>
      <c r="AC217" s="126"/>
      <c r="AD217" s="126"/>
      <c r="AE217" s="126"/>
      <c r="AF217" s="126"/>
      <c r="AG217" s="126"/>
      <c r="AH217" s="126"/>
      <c r="AI217" s="126"/>
      <c r="AJ217" s="126"/>
      <c r="AK217" s="126"/>
      <c r="AL217" s="126"/>
      <c r="AM217" s="126"/>
      <c r="AN217" s="126"/>
      <c r="AO217" s="126"/>
    </row>
    <row r="218" spans="1:41" ht="12.75" customHeight="1" x14ac:dyDescent="0.25">
      <c r="A218" s="126"/>
      <c r="B218" s="640"/>
      <c r="C218" s="141"/>
      <c r="D218" s="141"/>
      <c r="E218" s="141"/>
      <c r="F218" s="141"/>
      <c r="G218" s="141"/>
      <c r="H218" s="141"/>
      <c r="I218" s="141"/>
      <c r="J218" s="126"/>
      <c r="K218" s="141"/>
      <c r="L218" s="141"/>
      <c r="M218" s="141"/>
      <c r="N218" s="142"/>
      <c r="O218" s="142"/>
      <c r="P218" s="142"/>
      <c r="Q218" s="142"/>
      <c r="R218" s="142"/>
      <c r="S218" s="142"/>
      <c r="T218" s="142"/>
      <c r="U218" s="142"/>
      <c r="V218" s="141"/>
      <c r="W218" s="126"/>
      <c r="X218" s="126"/>
      <c r="Y218" s="126"/>
      <c r="Z218" s="126"/>
      <c r="AA218" s="126"/>
      <c r="AB218" s="126"/>
      <c r="AC218" s="126"/>
      <c r="AD218" s="126"/>
      <c r="AE218" s="126"/>
      <c r="AF218" s="126"/>
      <c r="AG218" s="126"/>
      <c r="AH218" s="126"/>
      <c r="AI218" s="126"/>
      <c r="AJ218" s="126"/>
      <c r="AK218" s="126"/>
      <c r="AL218" s="126"/>
      <c r="AM218" s="126"/>
      <c r="AN218" s="126"/>
      <c r="AO218" s="126"/>
    </row>
    <row r="219" spans="1:41" ht="12.75" customHeight="1" x14ac:dyDescent="0.25">
      <c r="A219" s="126"/>
      <c r="B219" s="640"/>
      <c r="C219" s="141"/>
      <c r="D219" s="141"/>
      <c r="E219" s="141"/>
      <c r="F219" s="141"/>
      <c r="G219" s="141"/>
      <c r="H219" s="141"/>
      <c r="I219" s="141"/>
      <c r="J219" s="126"/>
      <c r="K219" s="141"/>
      <c r="L219" s="141"/>
      <c r="M219" s="141"/>
      <c r="N219" s="142"/>
      <c r="O219" s="142"/>
      <c r="P219" s="142"/>
      <c r="Q219" s="142"/>
      <c r="R219" s="142"/>
      <c r="S219" s="142"/>
      <c r="T219" s="142"/>
      <c r="U219" s="142"/>
      <c r="V219" s="141"/>
      <c r="W219" s="126"/>
      <c r="X219" s="126"/>
      <c r="Y219" s="126"/>
      <c r="Z219" s="126"/>
      <c r="AA219" s="126"/>
      <c r="AB219" s="126"/>
      <c r="AC219" s="126"/>
      <c r="AD219" s="126"/>
      <c r="AE219" s="126"/>
      <c r="AF219" s="126"/>
      <c r="AG219" s="126"/>
      <c r="AH219" s="126"/>
      <c r="AI219" s="126"/>
      <c r="AJ219" s="126"/>
      <c r="AK219" s="126"/>
      <c r="AL219" s="126"/>
      <c r="AM219" s="126"/>
      <c r="AN219" s="126"/>
      <c r="AO219" s="126"/>
    </row>
    <row r="220" spans="1:41" ht="12.75" customHeight="1" x14ac:dyDescent="0.25">
      <c r="A220" s="126"/>
      <c r="B220" s="640"/>
      <c r="C220" s="141"/>
      <c r="D220" s="141"/>
      <c r="E220" s="141"/>
      <c r="F220" s="141"/>
      <c r="G220" s="141"/>
      <c r="H220" s="141"/>
      <c r="I220" s="141"/>
      <c r="J220" s="126"/>
      <c r="K220" s="141"/>
      <c r="L220" s="141"/>
      <c r="M220" s="141"/>
      <c r="N220" s="142"/>
      <c r="O220" s="142"/>
      <c r="P220" s="142"/>
      <c r="Q220" s="142"/>
      <c r="R220" s="142"/>
      <c r="S220" s="142"/>
      <c r="T220" s="142"/>
      <c r="U220" s="142"/>
      <c r="V220" s="141"/>
      <c r="W220" s="126"/>
      <c r="X220" s="126"/>
      <c r="Y220" s="126"/>
      <c r="Z220" s="126"/>
      <c r="AA220" s="126"/>
      <c r="AB220" s="126"/>
      <c r="AC220" s="126"/>
      <c r="AD220" s="126"/>
      <c r="AE220" s="126"/>
      <c r="AF220" s="126"/>
      <c r="AG220" s="126"/>
      <c r="AH220" s="126"/>
      <c r="AI220" s="126"/>
      <c r="AJ220" s="126"/>
      <c r="AK220" s="126"/>
      <c r="AL220" s="126"/>
      <c r="AM220" s="126"/>
      <c r="AN220" s="126"/>
      <c r="AO220" s="126"/>
    </row>
    <row r="221" spans="1:41" ht="12.75" customHeight="1" x14ac:dyDescent="0.25">
      <c r="A221" s="126"/>
      <c r="B221" s="640"/>
      <c r="C221" s="141"/>
      <c r="D221" s="141"/>
      <c r="E221" s="141"/>
      <c r="F221" s="141"/>
      <c r="G221" s="141"/>
      <c r="H221" s="141"/>
      <c r="I221" s="141"/>
      <c r="J221" s="126"/>
      <c r="K221" s="141"/>
      <c r="L221" s="141"/>
      <c r="M221" s="141"/>
      <c r="N221" s="142"/>
      <c r="O221" s="142"/>
      <c r="P221" s="142"/>
      <c r="Q221" s="142"/>
      <c r="R221" s="142"/>
      <c r="S221" s="142"/>
      <c r="T221" s="142"/>
      <c r="U221" s="142"/>
      <c r="V221" s="141"/>
      <c r="W221" s="126"/>
      <c r="X221" s="126"/>
      <c r="Y221" s="126"/>
      <c r="Z221" s="126"/>
      <c r="AA221" s="126"/>
      <c r="AB221" s="126"/>
      <c r="AC221" s="126"/>
      <c r="AD221" s="126"/>
      <c r="AE221" s="126"/>
      <c r="AF221" s="126"/>
      <c r="AG221" s="126"/>
      <c r="AH221" s="126"/>
      <c r="AI221" s="126"/>
      <c r="AJ221" s="126"/>
      <c r="AK221" s="126"/>
      <c r="AL221" s="126"/>
      <c r="AM221" s="126"/>
      <c r="AN221" s="126"/>
      <c r="AO221" s="126"/>
    </row>
    <row r="222" spans="1:41" ht="12.75" customHeight="1" x14ac:dyDescent="0.25">
      <c r="A222" s="126"/>
      <c r="B222" s="640"/>
      <c r="C222" s="141"/>
      <c r="D222" s="141"/>
      <c r="E222" s="141"/>
      <c r="F222" s="141"/>
      <c r="G222" s="141"/>
      <c r="H222" s="141"/>
      <c r="I222" s="141"/>
      <c r="J222" s="126"/>
      <c r="K222" s="141"/>
      <c r="L222" s="141"/>
      <c r="M222" s="141"/>
      <c r="N222" s="142"/>
      <c r="O222" s="142"/>
      <c r="P222" s="142"/>
      <c r="Q222" s="142"/>
      <c r="R222" s="142"/>
      <c r="S222" s="142"/>
      <c r="T222" s="142"/>
      <c r="U222" s="142"/>
      <c r="V222" s="141"/>
      <c r="W222" s="126"/>
      <c r="X222" s="126"/>
      <c r="Y222" s="126"/>
      <c r="Z222" s="126"/>
      <c r="AA222" s="126"/>
      <c r="AB222" s="126"/>
      <c r="AC222" s="126"/>
      <c r="AD222" s="126"/>
      <c r="AE222" s="126"/>
      <c r="AF222" s="126"/>
      <c r="AG222" s="126"/>
      <c r="AH222" s="126"/>
      <c r="AI222" s="126"/>
      <c r="AJ222" s="126"/>
      <c r="AK222" s="126"/>
      <c r="AL222" s="126"/>
      <c r="AM222" s="126"/>
      <c r="AN222" s="126"/>
      <c r="AO222" s="126"/>
    </row>
    <row r="223" spans="1:41" ht="12.75" customHeight="1" x14ac:dyDescent="0.25">
      <c r="A223" s="126"/>
      <c r="B223" s="640"/>
      <c r="C223" s="141"/>
      <c r="D223" s="141"/>
      <c r="E223" s="141"/>
      <c r="F223" s="141"/>
      <c r="G223" s="141"/>
      <c r="H223" s="141"/>
      <c r="I223" s="141"/>
      <c r="J223" s="126"/>
      <c r="K223" s="141"/>
      <c r="L223" s="141"/>
      <c r="M223" s="141"/>
      <c r="N223" s="142"/>
      <c r="O223" s="142"/>
      <c r="P223" s="142"/>
      <c r="Q223" s="142"/>
      <c r="R223" s="142"/>
      <c r="S223" s="142"/>
      <c r="T223" s="142"/>
      <c r="U223" s="142"/>
      <c r="V223" s="141"/>
      <c r="W223" s="126"/>
      <c r="X223" s="126"/>
      <c r="Y223" s="126"/>
      <c r="Z223" s="126"/>
      <c r="AA223" s="126"/>
      <c r="AB223" s="126"/>
      <c r="AC223" s="126"/>
      <c r="AD223" s="126"/>
      <c r="AE223" s="126"/>
      <c r="AF223" s="126"/>
      <c r="AG223" s="126"/>
      <c r="AH223" s="126"/>
      <c r="AI223" s="126"/>
      <c r="AJ223" s="126"/>
      <c r="AK223" s="126"/>
      <c r="AL223" s="126"/>
      <c r="AM223" s="126"/>
      <c r="AN223" s="126"/>
      <c r="AO223" s="126"/>
    </row>
    <row r="224" spans="1:41" ht="12.75" customHeight="1" x14ac:dyDescent="0.25">
      <c r="A224" s="126"/>
      <c r="B224" s="640"/>
      <c r="C224" s="141"/>
      <c r="D224" s="141"/>
      <c r="E224" s="141"/>
      <c r="F224" s="141"/>
      <c r="G224" s="141"/>
      <c r="H224" s="141"/>
      <c r="I224" s="141"/>
      <c r="J224" s="126"/>
      <c r="K224" s="141"/>
      <c r="L224" s="141"/>
      <c r="M224" s="141"/>
      <c r="N224" s="142"/>
      <c r="O224" s="142"/>
      <c r="P224" s="142"/>
      <c r="Q224" s="142"/>
      <c r="R224" s="142"/>
      <c r="S224" s="142"/>
      <c r="T224" s="142"/>
      <c r="U224" s="142"/>
      <c r="V224" s="141"/>
      <c r="W224" s="126"/>
      <c r="X224" s="126"/>
      <c r="Y224" s="126"/>
      <c r="Z224" s="126"/>
      <c r="AA224" s="126"/>
      <c r="AB224" s="126"/>
      <c r="AC224" s="126"/>
      <c r="AD224" s="126"/>
      <c r="AE224" s="126"/>
      <c r="AF224" s="126"/>
      <c r="AG224" s="126"/>
      <c r="AH224" s="126"/>
      <c r="AI224" s="126"/>
      <c r="AJ224" s="126"/>
      <c r="AK224" s="126"/>
      <c r="AL224" s="126"/>
      <c r="AM224" s="126"/>
      <c r="AN224" s="126"/>
      <c r="AO224" s="126"/>
    </row>
    <row r="225" spans="1:41" ht="12.75" customHeight="1" x14ac:dyDescent="0.25">
      <c r="A225" s="126"/>
      <c r="B225" s="640"/>
      <c r="C225" s="141"/>
      <c r="D225" s="141"/>
      <c r="E225" s="141"/>
      <c r="F225" s="141"/>
      <c r="G225" s="141"/>
      <c r="H225" s="141"/>
      <c r="I225" s="141"/>
      <c r="J225" s="126"/>
      <c r="K225" s="141"/>
      <c r="L225" s="141"/>
      <c r="M225" s="141"/>
      <c r="N225" s="142"/>
      <c r="O225" s="142"/>
      <c r="P225" s="142"/>
      <c r="Q225" s="142"/>
      <c r="R225" s="142"/>
      <c r="S225" s="142"/>
      <c r="T225" s="142"/>
      <c r="U225" s="142"/>
      <c r="V225" s="141"/>
      <c r="W225" s="126"/>
      <c r="X225" s="126"/>
      <c r="Y225" s="126"/>
      <c r="Z225" s="126"/>
      <c r="AA225" s="126"/>
      <c r="AB225" s="126"/>
      <c r="AC225" s="126"/>
      <c r="AD225" s="126"/>
      <c r="AE225" s="126"/>
      <c r="AF225" s="126"/>
      <c r="AG225" s="126"/>
      <c r="AH225" s="126"/>
      <c r="AI225" s="126"/>
      <c r="AJ225" s="126"/>
      <c r="AK225" s="126"/>
      <c r="AL225" s="126"/>
      <c r="AM225" s="126"/>
      <c r="AN225" s="126"/>
      <c r="AO225" s="126"/>
    </row>
    <row r="226" spans="1:41" ht="12.75" customHeight="1" x14ac:dyDescent="0.25">
      <c r="A226" s="126"/>
      <c r="B226" s="640"/>
      <c r="C226" s="141"/>
      <c r="D226" s="141"/>
      <c r="E226" s="141"/>
      <c r="F226" s="141"/>
      <c r="G226" s="141"/>
      <c r="H226" s="141"/>
      <c r="I226" s="141"/>
      <c r="J226" s="126"/>
      <c r="K226" s="141"/>
      <c r="L226" s="141"/>
      <c r="M226" s="141"/>
      <c r="N226" s="142"/>
      <c r="O226" s="142"/>
      <c r="P226" s="142"/>
      <c r="Q226" s="142"/>
      <c r="R226" s="142"/>
      <c r="S226" s="142"/>
      <c r="T226" s="142"/>
      <c r="U226" s="142"/>
      <c r="V226" s="141"/>
      <c r="W226" s="126"/>
      <c r="X226" s="126"/>
      <c r="Y226" s="126"/>
      <c r="Z226" s="126"/>
      <c r="AA226" s="126"/>
      <c r="AB226" s="126"/>
      <c r="AC226" s="126"/>
      <c r="AD226" s="126"/>
      <c r="AE226" s="126"/>
      <c r="AF226" s="126"/>
      <c r="AG226" s="126"/>
      <c r="AH226" s="126"/>
      <c r="AI226" s="126"/>
      <c r="AJ226" s="126"/>
      <c r="AK226" s="126"/>
      <c r="AL226" s="126"/>
      <c r="AM226" s="126"/>
      <c r="AN226" s="126"/>
      <c r="AO226" s="126"/>
    </row>
    <row r="227" spans="1:41" ht="12.75" customHeight="1" x14ac:dyDescent="0.25">
      <c r="A227" s="126"/>
      <c r="B227" s="640"/>
      <c r="C227" s="141"/>
      <c r="D227" s="141"/>
      <c r="E227" s="141"/>
      <c r="F227" s="141"/>
      <c r="G227" s="141"/>
      <c r="H227" s="141"/>
      <c r="I227" s="141"/>
      <c r="J227" s="126"/>
      <c r="K227" s="141"/>
      <c r="L227" s="141"/>
      <c r="M227" s="141"/>
      <c r="N227" s="142"/>
      <c r="O227" s="142"/>
      <c r="P227" s="142"/>
      <c r="Q227" s="142"/>
      <c r="R227" s="142"/>
      <c r="S227" s="142"/>
      <c r="T227" s="142"/>
      <c r="U227" s="142"/>
      <c r="V227" s="141"/>
      <c r="W227" s="126"/>
      <c r="X227" s="126"/>
      <c r="Y227" s="126"/>
      <c r="Z227" s="126"/>
      <c r="AA227" s="126"/>
      <c r="AB227" s="126"/>
      <c r="AC227" s="126"/>
      <c r="AD227" s="126"/>
      <c r="AE227" s="126"/>
      <c r="AF227" s="126"/>
      <c r="AG227" s="126"/>
      <c r="AH227" s="126"/>
      <c r="AI227" s="126"/>
      <c r="AJ227" s="126"/>
      <c r="AK227" s="126"/>
      <c r="AL227" s="126"/>
      <c r="AM227" s="126"/>
      <c r="AN227" s="126"/>
      <c r="AO227" s="126"/>
    </row>
    <row r="228" spans="1:41" ht="12.75" customHeight="1" x14ac:dyDescent="0.25">
      <c r="A228" s="126"/>
      <c r="B228" s="640"/>
      <c r="C228" s="141"/>
      <c r="D228" s="141"/>
      <c r="E228" s="141"/>
      <c r="F228" s="141"/>
      <c r="G228" s="141"/>
      <c r="H228" s="141"/>
      <c r="I228" s="141"/>
      <c r="J228" s="126"/>
      <c r="K228" s="141"/>
      <c r="L228" s="141"/>
      <c r="M228" s="141"/>
      <c r="N228" s="142"/>
      <c r="O228" s="142"/>
      <c r="P228" s="142"/>
      <c r="Q228" s="142"/>
      <c r="R228" s="142"/>
      <c r="S228" s="142"/>
      <c r="T228" s="142"/>
      <c r="U228" s="142"/>
      <c r="V228" s="141"/>
      <c r="W228" s="126"/>
      <c r="X228" s="126"/>
      <c r="Y228" s="126"/>
      <c r="Z228" s="126"/>
      <c r="AA228" s="126"/>
      <c r="AB228" s="126"/>
      <c r="AC228" s="126"/>
      <c r="AD228" s="126"/>
      <c r="AE228" s="126"/>
      <c r="AF228" s="126"/>
      <c r="AG228" s="126"/>
      <c r="AH228" s="126"/>
      <c r="AI228" s="126"/>
      <c r="AJ228" s="126"/>
      <c r="AK228" s="126"/>
      <c r="AL228" s="126"/>
      <c r="AM228" s="126"/>
      <c r="AN228" s="126"/>
      <c r="AO228" s="126"/>
    </row>
    <row r="229" spans="1:41" ht="12.75" customHeight="1" x14ac:dyDescent="0.25">
      <c r="A229" s="126"/>
      <c r="B229" s="640"/>
      <c r="C229" s="141"/>
      <c r="D229" s="141"/>
      <c r="E229" s="141"/>
      <c r="F229" s="141"/>
      <c r="G229" s="141"/>
      <c r="H229" s="141"/>
      <c r="I229" s="141"/>
      <c r="J229" s="126"/>
      <c r="K229" s="141"/>
      <c r="L229" s="141"/>
      <c r="M229" s="141"/>
      <c r="N229" s="142"/>
      <c r="O229" s="142"/>
      <c r="P229" s="142"/>
      <c r="Q229" s="142"/>
      <c r="R229" s="142"/>
      <c r="S229" s="142"/>
      <c r="T229" s="142"/>
      <c r="U229" s="142"/>
      <c r="V229" s="141"/>
      <c r="W229" s="126"/>
      <c r="X229" s="126"/>
      <c r="Y229" s="126"/>
      <c r="Z229" s="126"/>
      <c r="AA229" s="126"/>
      <c r="AB229" s="126"/>
      <c r="AC229" s="126"/>
      <c r="AD229" s="126"/>
      <c r="AE229" s="126"/>
      <c r="AF229" s="126"/>
      <c r="AG229" s="126"/>
      <c r="AH229" s="126"/>
      <c r="AI229" s="126"/>
      <c r="AJ229" s="126"/>
      <c r="AK229" s="126"/>
      <c r="AL229" s="126"/>
      <c r="AM229" s="126"/>
      <c r="AN229" s="126"/>
      <c r="AO229" s="126"/>
    </row>
    <row r="230" spans="1:41" ht="12.75" customHeight="1" x14ac:dyDescent="0.25">
      <c r="A230" s="126"/>
      <c r="B230" s="640"/>
      <c r="C230" s="141"/>
      <c r="D230" s="141"/>
      <c r="E230" s="141"/>
      <c r="F230" s="141"/>
      <c r="G230" s="141"/>
      <c r="H230" s="141"/>
      <c r="I230" s="141"/>
      <c r="J230" s="126"/>
      <c r="K230" s="141"/>
      <c r="L230" s="141"/>
      <c r="M230" s="141"/>
      <c r="N230" s="142"/>
      <c r="O230" s="142"/>
      <c r="P230" s="142"/>
      <c r="Q230" s="142"/>
      <c r="R230" s="142"/>
      <c r="S230" s="142"/>
      <c r="T230" s="142"/>
      <c r="U230" s="142"/>
      <c r="V230" s="141"/>
      <c r="W230" s="126"/>
      <c r="X230" s="126"/>
      <c r="Y230" s="126"/>
      <c r="Z230" s="126"/>
      <c r="AA230" s="126"/>
      <c r="AB230" s="126"/>
      <c r="AC230" s="126"/>
      <c r="AD230" s="126"/>
      <c r="AE230" s="126"/>
      <c r="AF230" s="126"/>
      <c r="AG230" s="126"/>
      <c r="AH230" s="126"/>
      <c r="AI230" s="126"/>
      <c r="AJ230" s="126"/>
      <c r="AK230" s="126"/>
      <c r="AL230" s="126"/>
      <c r="AM230" s="126"/>
      <c r="AN230" s="126"/>
      <c r="AO230" s="126"/>
    </row>
    <row r="231" spans="1:41" ht="12.75" customHeight="1" x14ac:dyDescent="0.25">
      <c r="A231" s="126"/>
      <c r="B231" s="640"/>
      <c r="C231" s="141"/>
      <c r="D231" s="141"/>
      <c r="E231" s="141"/>
      <c r="F231" s="141"/>
      <c r="G231" s="141"/>
      <c r="H231" s="141"/>
      <c r="I231" s="141"/>
      <c r="J231" s="126"/>
      <c r="K231" s="141"/>
      <c r="L231" s="141"/>
      <c r="M231" s="141"/>
      <c r="N231" s="142"/>
      <c r="O231" s="142"/>
      <c r="P231" s="142"/>
      <c r="Q231" s="142"/>
      <c r="R231" s="142"/>
      <c r="S231" s="142"/>
      <c r="T231" s="142"/>
      <c r="U231" s="142"/>
      <c r="V231" s="141"/>
      <c r="W231" s="126"/>
      <c r="X231" s="126"/>
      <c r="Y231" s="126"/>
      <c r="Z231" s="126"/>
      <c r="AA231" s="126"/>
      <c r="AB231" s="126"/>
      <c r="AC231" s="126"/>
      <c r="AD231" s="126"/>
      <c r="AE231" s="126"/>
      <c r="AF231" s="126"/>
      <c r="AG231" s="126"/>
      <c r="AH231" s="126"/>
      <c r="AI231" s="126"/>
      <c r="AJ231" s="126"/>
      <c r="AK231" s="126"/>
      <c r="AL231" s="126"/>
      <c r="AM231" s="126"/>
      <c r="AN231" s="126"/>
      <c r="AO231" s="126"/>
    </row>
    <row r="232" spans="1:41" ht="12.75" customHeight="1" x14ac:dyDescent="0.25">
      <c r="A232" s="126"/>
      <c r="B232" s="640"/>
      <c r="C232" s="141"/>
      <c r="D232" s="141"/>
      <c r="E232" s="141"/>
      <c r="F232" s="141"/>
      <c r="G232" s="141"/>
      <c r="H232" s="141"/>
      <c r="I232" s="141"/>
      <c r="J232" s="126"/>
      <c r="K232" s="141"/>
      <c r="L232" s="141"/>
      <c r="M232" s="141"/>
      <c r="N232" s="142"/>
      <c r="O232" s="142"/>
      <c r="P232" s="142"/>
      <c r="Q232" s="142"/>
      <c r="R232" s="142"/>
      <c r="S232" s="142"/>
      <c r="T232" s="142"/>
      <c r="U232" s="142"/>
      <c r="V232" s="141"/>
      <c r="W232" s="126"/>
      <c r="X232" s="126"/>
      <c r="Y232" s="126"/>
      <c r="Z232" s="126"/>
      <c r="AA232" s="126"/>
      <c r="AB232" s="126"/>
      <c r="AC232" s="126"/>
      <c r="AD232" s="126"/>
      <c r="AE232" s="126"/>
      <c r="AF232" s="126"/>
      <c r="AG232" s="126"/>
      <c r="AH232" s="126"/>
      <c r="AI232" s="126"/>
      <c r="AJ232" s="126"/>
      <c r="AK232" s="126"/>
      <c r="AL232" s="126"/>
      <c r="AM232" s="126"/>
      <c r="AN232" s="126"/>
      <c r="AO232" s="126"/>
    </row>
    <row r="233" spans="1:41" ht="12.75" customHeight="1" x14ac:dyDescent="0.25">
      <c r="A233" s="126"/>
      <c r="B233" s="640"/>
      <c r="C233" s="141"/>
      <c r="D233" s="141"/>
      <c r="E233" s="141"/>
      <c r="F233" s="141"/>
      <c r="G233" s="141"/>
      <c r="H233" s="141"/>
      <c r="I233" s="141"/>
      <c r="J233" s="126"/>
      <c r="K233" s="141"/>
      <c r="L233" s="141"/>
      <c r="M233" s="141"/>
      <c r="N233" s="142"/>
      <c r="O233" s="142"/>
      <c r="P233" s="142"/>
      <c r="Q233" s="142"/>
      <c r="R233" s="142"/>
      <c r="S233" s="142"/>
      <c r="T233" s="142"/>
      <c r="U233" s="142"/>
      <c r="V233" s="141"/>
      <c r="W233" s="126"/>
      <c r="X233" s="126"/>
      <c r="Y233" s="126"/>
      <c r="Z233" s="126"/>
      <c r="AA233" s="126"/>
      <c r="AB233" s="126"/>
      <c r="AC233" s="126"/>
      <c r="AD233" s="126"/>
      <c r="AE233" s="126"/>
      <c r="AF233" s="126"/>
      <c r="AG233" s="126"/>
      <c r="AH233" s="126"/>
      <c r="AI233" s="126"/>
      <c r="AJ233" s="126"/>
      <c r="AK233" s="126"/>
      <c r="AL233" s="126"/>
      <c r="AM233" s="126"/>
      <c r="AN233" s="126"/>
      <c r="AO233" s="126"/>
    </row>
    <row r="234" spans="1:41" ht="12.75" customHeight="1" x14ac:dyDescent="0.25">
      <c r="A234" s="126"/>
      <c r="B234" s="640"/>
      <c r="C234" s="141"/>
      <c r="D234" s="141"/>
      <c r="E234" s="141"/>
      <c r="F234" s="141"/>
      <c r="G234" s="141"/>
      <c r="H234" s="141"/>
      <c r="I234" s="141"/>
      <c r="J234" s="126"/>
      <c r="K234" s="141"/>
      <c r="L234" s="141"/>
      <c r="M234" s="141"/>
      <c r="N234" s="142"/>
      <c r="O234" s="142"/>
      <c r="P234" s="142"/>
      <c r="Q234" s="142"/>
      <c r="R234" s="142"/>
      <c r="S234" s="142"/>
      <c r="T234" s="142"/>
      <c r="U234" s="142"/>
      <c r="V234" s="141"/>
      <c r="W234" s="126"/>
      <c r="X234" s="126"/>
      <c r="Y234" s="126"/>
      <c r="Z234" s="126"/>
      <c r="AA234" s="126"/>
      <c r="AB234" s="126"/>
      <c r="AC234" s="126"/>
      <c r="AD234" s="126"/>
      <c r="AE234" s="126"/>
      <c r="AF234" s="126"/>
      <c r="AG234" s="126"/>
      <c r="AH234" s="126"/>
      <c r="AI234" s="126"/>
      <c r="AJ234" s="126"/>
      <c r="AK234" s="126"/>
      <c r="AL234" s="126"/>
      <c r="AM234" s="126"/>
      <c r="AN234" s="126"/>
      <c r="AO234" s="126"/>
    </row>
    <row r="235" spans="1:41" ht="12.75" customHeight="1" x14ac:dyDescent="0.25">
      <c r="A235" s="126"/>
      <c r="B235" s="640"/>
      <c r="C235" s="141"/>
      <c r="D235" s="141"/>
      <c r="E235" s="141"/>
      <c r="F235" s="141"/>
      <c r="G235" s="141"/>
      <c r="H235" s="141"/>
      <c r="I235" s="141"/>
      <c r="J235" s="126"/>
      <c r="K235" s="141"/>
      <c r="L235" s="141"/>
      <c r="M235" s="141"/>
      <c r="N235" s="142"/>
      <c r="O235" s="142"/>
      <c r="P235" s="142"/>
      <c r="Q235" s="142"/>
      <c r="R235" s="142"/>
      <c r="S235" s="142"/>
      <c r="T235" s="142"/>
      <c r="U235" s="142"/>
      <c r="V235" s="141"/>
      <c r="W235" s="126"/>
      <c r="X235" s="126"/>
      <c r="Y235" s="126"/>
      <c r="Z235" s="126"/>
      <c r="AA235" s="126"/>
      <c r="AB235" s="126"/>
      <c r="AC235" s="126"/>
      <c r="AD235" s="126"/>
      <c r="AE235" s="126"/>
      <c r="AF235" s="126"/>
      <c r="AG235" s="126"/>
      <c r="AH235" s="126"/>
      <c r="AI235" s="126"/>
      <c r="AJ235" s="126"/>
      <c r="AK235" s="126"/>
      <c r="AL235" s="126"/>
      <c r="AM235" s="126"/>
      <c r="AN235" s="126"/>
      <c r="AO235" s="126"/>
    </row>
    <row r="236" spans="1:41" ht="12.75" customHeight="1" x14ac:dyDescent="0.25">
      <c r="A236" s="126"/>
      <c r="B236" s="640"/>
      <c r="C236" s="141"/>
      <c r="D236" s="141"/>
      <c r="E236" s="141"/>
      <c r="F236" s="141"/>
      <c r="G236" s="141"/>
      <c r="H236" s="141"/>
      <c r="I236" s="141"/>
      <c r="J236" s="126"/>
      <c r="K236" s="141"/>
      <c r="L236" s="141"/>
      <c r="M236" s="141"/>
      <c r="N236" s="142"/>
      <c r="O236" s="142"/>
      <c r="P236" s="142"/>
      <c r="Q236" s="142"/>
      <c r="R236" s="142"/>
      <c r="S236" s="142"/>
      <c r="T236" s="142"/>
      <c r="U236" s="142"/>
      <c r="V236" s="141"/>
      <c r="W236" s="126"/>
      <c r="X236" s="126"/>
      <c r="Y236" s="126"/>
      <c r="Z236" s="126"/>
      <c r="AA236" s="126"/>
      <c r="AB236" s="126"/>
      <c r="AC236" s="126"/>
      <c r="AD236" s="126"/>
      <c r="AE236" s="126"/>
      <c r="AF236" s="126"/>
      <c r="AG236" s="126"/>
      <c r="AH236" s="126"/>
      <c r="AI236" s="126"/>
      <c r="AJ236" s="126"/>
      <c r="AK236" s="126"/>
      <c r="AL236" s="126"/>
      <c r="AM236" s="126"/>
      <c r="AN236" s="126"/>
      <c r="AO236" s="126"/>
    </row>
    <row r="237" spans="1:41" ht="12.75" customHeight="1" x14ac:dyDescent="0.25">
      <c r="A237" s="126"/>
      <c r="B237" s="640"/>
      <c r="C237" s="141"/>
      <c r="D237" s="141"/>
      <c r="E237" s="141"/>
      <c r="F237" s="141"/>
      <c r="G237" s="141"/>
      <c r="H237" s="141"/>
      <c r="I237" s="141"/>
      <c r="J237" s="126"/>
      <c r="K237" s="141"/>
      <c r="L237" s="141"/>
      <c r="M237" s="141"/>
      <c r="N237" s="142"/>
      <c r="O237" s="142"/>
      <c r="P237" s="142"/>
      <c r="Q237" s="142"/>
      <c r="R237" s="142"/>
      <c r="S237" s="142"/>
      <c r="T237" s="142"/>
      <c r="U237" s="142"/>
      <c r="V237" s="141"/>
      <c r="W237" s="126"/>
      <c r="X237" s="126"/>
      <c r="Y237" s="126"/>
      <c r="Z237" s="126"/>
      <c r="AA237" s="126"/>
      <c r="AB237" s="126"/>
      <c r="AC237" s="126"/>
      <c r="AD237" s="126"/>
      <c r="AE237" s="126"/>
      <c r="AF237" s="126"/>
      <c r="AG237" s="126"/>
      <c r="AH237" s="126"/>
      <c r="AI237" s="126"/>
      <c r="AJ237" s="126"/>
      <c r="AK237" s="126"/>
      <c r="AL237" s="126"/>
      <c r="AM237" s="126"/>
      <c r="AN237" s="126"/>
      <c r="AO237" s="126"/>
    </row>
    <row r="238" spans="1:41" ht="12.75" customHeight="1" x14ac:dyDescent="0.25">
      <c r="A238" s="126"/>
      <c r="B238" s="640"/>
      <c r="C238" s="141"/>
      <c r="D238" s="141"/>
      <c r="E238" s="141"/>
      <c r="F238" s="141"/>
      <c r="G238" s="141"/>
      <c r="H238" s="141"/>
      <c r="I238" s="141"/>
      <c r="J238" s="126"/>
      <c r="K238" s="141"/>
      <c r="L238" s="141"/>
      <c r="M238" s="141"/>
      <c r="N238" s="142"/>
      <c r="O238" s="142"/>
      <c r="P238" s="142"/>
      <c r="Q238" s="142"/>
      <c r="R238" s="142"/>
      <c r="S238" s="142"/>
      <c r="T238" s="142"/>
      <c r="U238" s="142"/>
      <c r="V238" s="141"/>
      <c r="W238" s="126"/>
      <c r="X238" s="126"/>
      <c r="Y238" s="126"/>
      <c r="Z238" s="126"/>
      <c r="AA238" s="126"/>
      <c r="AB238" s="126"/>
      <c r="AC238" s="126"/>
      <c r="AD238" s="126"/>
      <c r="AE238" s="126"/>
      <c r="AF238" s="126"/>
      <c r="AG238" s="126"/>
      <c r="AH238" s="126"/>
      <c r="AI238" s="126"/>
      <c r="AJ238" s="126"/>
      <c r="AK238" s="126"/>
      <c r="AL238" s="126"/>
      <c r="AM238" s="126"/>
      <c r="AN238" s="126"/>
      <c r="AO238" s="126"/>
    </row>
    <row r="239" spans="1:41" ht="12.75" customHeight="1" x14ac:dyDescent="0.25">
      <c r="A239" s="126"/>
      <c r="B239" s="640"/>
      <c r="C239" s="141"/>
      <c r="D239" s="141"/>
      <c r="E239" s="141"/>
      <c r="F239" s="141"/>
      <c r="G239" s="141"/>
      <c r="H239" s="141"/>
      <c r="I239" s="141"/>
      <c r="J239" s="126"/>
      <c r="K239" s="141"/>
      <c r="L239" s="141"/>
      <c r="M239" s="141"/>
      <c r="N239" s="142"/>
      <c r="O239" s="142"/>
      <c r="P239" s="142"/>
      <c r="Q239" s="142"/>
      <c r="R239" s="142"/>
      <c r="S239" s="142"/>
      <c r="T239" s="142"/>
      <c r="U239" s="142"/>
      <c r="V239" s="141"/>
      <c r="W239" s="126"/>
      <c r="X239" s="126"/>
      <c r="Y239" s="126"/>
      <c r="Z239" s="126"/>
      <c r="AA239" s="126"/>
      <c r="AB239" s="126"/>
      <c r="AC239" s="126"/>
      <c r="AD239" s="126"/>
      <c r="AE239" s="126"/>
      <c r="AF239" s="126"/>
      <c r="AG239" s="126"/>
      <c r="AH239" s="126"/>
      <c r="AI239" s="126"/>
      <c r="AJ239" s="126"/>
      <c r="AK239" s="126"/>
      <c r="AL239" s="126"/>
      <c r="AM239" s="126"/>
      <c r="AN239" s="126"/>
      <c r="AO239" s="126"/>
    </row>
    <row r="240" spans="1:41" ht="12.75" customHeight="1" x14ac:dyDescent="0.25">
      <c r="A240" s="126"/>
      <c r="B240" s="640"/>
      <c r="C240" s="141"/>
      <c r="D240" s="141"/>
      <c r="E240" s="141"/>
      <c r="F240" s="141"/>
      <c r="G240" s="141"/>
      <c r="H240" s="141"/>
      <c r="I240" s="141"/>
      <c r="J240" s="126"/>
      <c r="K240" s="141"/>
      <c r="L240" s="141"/>
      <c r="M240" s="141"/>
      <c r="N240" s="142"/>
      <c r="O240" s="142"/>
      <c r="P240" s="142"/>
      <c r="Q240" s="142"/>
      <c r="R240" s="142"/>
      <c r="S240" s="142"/>
      <c r="T240" s="142"/>
      <c r="U240" s="142"/>
      <c r="V240" s="141"/>
      <c r="W240" s="126"/>
      <c r="X240" s="126"/>
      <c r="Y240" s="126"/>
      <c r="Z240" s="126"/>
      <c r="AA240" s="126"/>
      <c r="AB240" s="126"/>
      <c r="AC240" s="126"/>
      <c r="AD240" s="126"/>
      <c r="AE240" s="126"/>
      <c r="AF240" s="126"/>
      <c r="AG240" s="126"/>
      <c r="AH240" s="126"/>
      <c r="AI240" s="126"/>
      <c r="AJ240" s="126"/>
      <c r="AK240" s="126"/>
      <c r="AL240" s="126"/>
      <c r="AM240" s="126"/>
      <c r="AN240" s="126"/>
      <c r="AO240" s="126"/>
    </row>
    <row r="241" spans="1:41" ht="12.75" customHeight="1" x14ac:dyDescent="0.25">
      <c r="A241" s="126"/>
      <c r="B241" s="640"/>
      <c r="C241" s="141"/>
      <c r="D241" s="141"/>
      <c r="E241" s="141"/>
      <c r="F241" s="141"/>
      <c r="G241" s="141"/>
      <c r="H241" s="141"/>
      <c r="I241" s="141"/>
      <c r="J241" s="126"/>
      <c r="K241" s="141"/>
      <c r="L241" s="141"/>
      <c r="M241" s="141"/>
      <c r="N241" s="142"/>
      <c r="O241" s="142"/>
      <c r="P241" s="142"/>
      <c r="Q241" s="142"/>
      <c r="R241" s="142"/>
      <c r="S241" s="142"/>
      <c r="T241" s="142"/>
      <c r="U241" s="142"/>
      <c r="V241" s="141"/>
      <c r="W241" s="126"/>
      <c r="X241" s="126"/>
      <c r="Y241" s="126"/>
      <c r="Z241" s="126"/>
      <c r="AA241" s="126"/>
      <c r="AB241" s="126"/>
      <c r="AC241" s="126"/>
      <c r="AD241" s="126"/>
      <c r="AE241" s="126"/>
      <c r="AF241" s="126"/>
      <c r="AG241" s="126"/>
      <c r="AH241" s="126"/>
      <c r="AI241" s="126"/>
      <c r="AJ241" s="126"/>
      <c r="AK241" s="126"/>
      <c r="AL241" s="126"/>
      <c r="AM241" s="126"/>
      <c r="AN241" s="126"/>
      <c r="AO241" s="126"/>
    </row>
    <row r="242" spans="1:41" ht="12.75" customHeight="1" x14ac:dyDescent="0.25">
      <c r="A242" s="126"/>
      <c r="B242" s="640"/>
      <c r="C242" s="141"/>
      <c r="D242" s="141"/>
      <c r="E242" s="141"/>
      <c r="F242" s="141"/>
      <c r="G242" s="141"/>
      <c r="H242" s="141"/>
      <c r="I242" s="141"/>
      <c r="J242" s="126"/>
      <c r="K242" s="141"/>
      <c r="L242" s="141"/>
      <c r="M242" s="141"/>
      <c r="N242" s="142"/>
      <c r="O242" s="142"/>
      <c r="P242" s="142"/>
      <c r="Q242" s="142"/>
      <c r="R242" s="142"/>
      <c r="S242" s="142"/>
      <c r="T242" s="142"/>
      <c r="U242" s="142"/>
      <c r="V242" s="141"/>
      <c r="W242" s="126"/>
      <c r="X242" s="126"/>
      <c r="Y242" s="126"/>
      <c r="Z242" s="126"/>
      <c r="AA242" s="126"/>
      <c r="AB242" s="126"/>
      <c r="AC242" s="126"/>
      <c r="AD242" s="126"/>
      <c r="AE242" s="126"/>
      <c r="AF242" s="126"/>
      <c r="AG242" s="126"/>
      <c r="AH242" s="126"/>
      <c r="AI242" s="126"/>
      <c r="AJ242" s="126"/>
      <c r="AK242" s="126"/>
      <c r="AL242" s="126"/>
      <c r="AM242" s="126"/>
      <c r="AN242" s="126"/>
      <c r="AO242" s="126"/>
    </row>
    <row r="243" spans="1:41" ht="12.75" customHeight="1" x14ac:dyDescent="0.25">
      <c r="A243" s="126"/>
      <c r="B243" s="640"/>
      <c r="C243" s="141"/>
      <c r="D243" s="141"/>
      <c r="E243" s="141"/>
      <c r="F243" s="141"/>
      <c r="G243" s="141"/>
      <c r="H243" s="141"/>
      <c r="I243" s="141"/>
      <c r="J243" s="126"/>
      <c r="K243" s="141"/>
      <c r="L243" s="141"/>
      <c r="M243" s="141"/>
      <c r="N243" s="142"/>
      <c r="O243" s="142"/>
      <c r="P243" s="142"/>
      <c r="Q243" s="142"/>
      <c r="R243" s="142"/>
      <c r="S243" s="142"/>
      <c r="T243" s="142"/>
      <c r="U243" s="142"/>
      <c r="V243" s="141"/>
      <c r="W243" s="126"/>
      <c r="X243" s="126"/>
      <c r="Y243" s="126"/>
      <c r="Z243" s="126"/>
      <c r="AA243" s="126"/>
      <c r="AB243" s="126"/>
      <c r="AC243" s="126"/>
      <c r="AD243" s="126"/>
      <c r="AE243" s="126"/>
      <c r="AF243" s="126"/>
      <c r="AG243" s="126"/>
      <c r="AH243" s="126"/>
      <c r="AI243" s="126"/>
      <c r="AJ243" s="126"/>
      <c r="AK243" s="126"/>
      <c r="AL243" s="126"/>
      <c r="AM243" s="126"/>
      <c r="AN243" s="126"/>
      <c r="AO243" s="126"/>
    </row>
    <row r="244" spans="1:41" ht="12.75" customHeight="1" x14ac:dyDescent="0.25">
      <c r="A244" s="126"/>
      <c r="B244" s="640"/>
      <c r="C244" s="141"/>
      <c r="D244" s="141"/>
      <c r="E244" s="141"/>
      <c r="F244" s="141"/>
      <c r="G244" s="141"/>
      <c r="H244" s="141"/>
      <c r="I244" s="141"/>
      <c r="J244" s="126"/>
      <c r="K244" s="141"/>
      <c r="L244" s="141"/>
      <c r="M244" s="141"/>
      <c r="N244" s="142"/>
      <c r="O244" s="142"/>
      <c r="P244" s="142"/>
      <c r="Q244" s="142"/>
      <c r="R244" s="142"/>
      <c r="S244" s="142"/>
      <c r="T244" s="142"/>
      <c r="U244" s="142"/>
      <c r="V244" s="141"/>
      <c r="W244" s="126"/>
      <c r="X244" s="126"/>
      <c r="Y244" s="126"/>
      <c r="Z244" s="126"/>
      <c r="AA244" s="126"/>
      <c r="AB244" s="126"/>
      <c r="AC244" s="126"/>
      <c r="AD244" s="126"/>
      <c r="AE244" s="126"/>
      <c r="AF244" s="126"/>
      <c r="AG244" s="126"/>
      <c r="AH244" s="126"/>
      <c r="AI244" s="126"/>
      <c r="AJ244" s="126"/>
      <c r="AK244" s="126"/>
      <c r="AL244" s="126"/>
      <c r="AM244" s="126"/>
      <c r="AN244" s="126"/>
      <c r="AO244" s="126"/>
    </row>
    <row r="245" spans="1:41" ht="12.75" customHeight="1" x14ac:dyDescent="0.25">
      <c r="A245" s="126"/>
      <c r="B245" s="640"/>
      <c r="C245" s="141"/>
      <c r="D245" s="141"/>
      <c r="E245" s="141"/>
      <c r="F245" s="141"/>
      <c r="G245" s="141"/>
      <c r="H245" s="141"/>
      <c r="I245" s="141"/>
      <c r="J245" s="126"/>
      <c r="K245" s="141"/>
      <c r="L245" s="141"/>
      <c r="M245" s="141"/>
      <c r="N245" s="142"/>
      <c r="O245" s="142"/>
      <c r="P245" s="142"/>
      <c r="Q245" s="142"/>
      <c r="R245" s="142"/>
      <c r="S245" s="142"/>
      <c r="T245" s="142"/>
      <c r="U245" s="142"/>
      <c r="V245" s="141"/>
      <c r="W245" s="126"/>
      <c r="X245" s="126"/>
      <c r="Y245" s="126"/>
      <c r="Z245" s="126"/>
      <c r="AA245" s="126"/>
      <c r="AB245" s="126"/>
      <c r="AC245" s="126"/>
      <c r="AD245" s="126"/>
      <c r="AE245" s="126"/>
      <c r="AF245" s="126"/>
      <c r="AG245" s="126"/>
      <c r="AH245" s="126"/>
      <c r="AI245" s="126"/>
      <c r="AJ245" s="126"/>
      <c r="AK245" s="126"/>
      <c r="AL245" s="126"/>
      <c r="AM245" s="126"/>
      <c r="AN245" s="126"/>
      <c r="AO245" s="126"/>
    </row>
    <row r="246" spans="1:41" ht="12.75" customHeight="1" x14ac:dyDescent="0.25">
      <c r="A246" s="126"/>
      <c r="B246" s="640"/>
      <c r="C246" s="141"/>
      <c r="D246" s="141"/>
      <c r="E246" s="141"/>
      <c r="F246" s="141"/>
      <c r="G246" s="141"/>
      <c r="H246" s="141"/>
      <c r="I246" s="141"/>
      <c r="J246" s="126"/>
      <c r="K246" s="141"/>
      <c r="L246" s="141"/>
      <c r="M246" s="141"/>
      <c r="N246" s="142"/>
      <c r="O246" s="142"/>
      <c r="P246" s="142"/>
      <c r="Q246" s="142"/>
      <c r="R246" s="142"/>
      <c r="S246" s="142"/>
      <c r="T246" s="142"/>
      <c r="U246" s="142"/>
      <c r="V246" s="141"/>
      <c r="W246" s="126"/>
      <c r="X246" s="126"/>
      <c r="Y246" s="126"/>
      <c r="Z246" s="126"/>
      <c r="AA246" s="126"/>
      <c r="AB246" s="126"/>
      <c r="AC246" s="126"/>
      <c r="AD246" s="126"/>
      <c r="AE246" s="126"/>
      <c r="AF246" s="126"/>
      <c r="AG246" s="126"/>
      <c r="AH246" s="126"/>
      <c r="AI246" s="126"/>
      <c r="AJ246" s="126"/>
      <c r="AK246" s="126"/>
      <c r="AL246" s="126"/>
      <c r="AM246" s="126"/>
      <c r="AN246" s="126"/>
      <c r="AO246" s="126"/>
    </row>
    <row r="247" spans="1:41" ht="12.75" customHeight="1" x14ac:dyDescent="0.25">
      <c r="A247" s="126"/>
      <c r="B247" s="640"/>
      <c r="C247" s="141"/>
      <c r="D247" s="141"/>
      <c r="E247" s="141"/>
      <c r="F247" s="141"/>
      <c r="G247" s="141"/>
      <c r="H247" s="141"/>
      <c r="I247" s="141"/>
      <c r="J247" s="126"/>
      <c r="K247" s="141"/>
      <c r="L247" s="141"/>
      <c r="M247" s="141"/>
      <c r="N247" s="142"/>
      <c r="O247" s="142"/>
      <c r="P247" s="142"/>
      <c r="Q247" s="142"/>
      <c r="R247" s="142"/>
      <c r="S247" s="142"/>
      <c r="T247" s="142"/>
      <c r="U247" s="142"/>
      <c r="V247" s="141"/>
      <c r="W247" s="126"/>
      <c r="X247" s="126"/>
      <c r="Y247" s="126"/>
      <c r="Z247" s="126"/>
      <c r="AA247" s="126"/>
      <c r="AB247" s="126"/>
      <c r="AC247" s="126"/>
      <c r="AD247" s="126"/>
      <c r="AE247" s="126"/>
      <c r="AF247" s="126"/>
      <c r="AG247" s="126"/>
      <c r="AH247" s="126"/>
      <c r="AI247" s="126"/>
      <c r="AJ247" s="126"/>
      <c r="AK247" s="126"/>
      <c r="AL247" s="126"/>
      <c r="AM247" s="126"/>
      <c r="AN247" s="126"/>
      <c r="AO247" s="126"/>
    </row>
    <row r="248" spans="1:41" ht="12.75" customHeight="1" x14ac:dyDescent="0.25">
      <c r="A248" s="126"/>
      <c r="B248" s="640"/>
      <c r="C248" s="141"/>
      <c r="D248" s="141"/>
      <c r="E248" s="141"/>
      <c r="F248" s="141"/>
      <c r="G248" s="141"/>
      <c r="H248" s="141"/>
      <c r="I248" s="141"/>
      <c r="J248" s="126"/>
      <c r="K248" s="141"/>
      <c r="L248" s="141"/>
      <c r="M248" s="141"/>
      <c r="N248" s="142"/>
      <c r="O248" s="142"/>
      <c r="P248" s="142"/>
      <c r="Q248" s="142"/>
      <c r="R248" s="142"/>
      <c r="S248" s="142"/>
      <c r="T248" s="142"/>
      <c r="U248" s="142"/>
      <c r="V248" s="141"/>
      <c r="W248" s="126"/>
      <c r="X248" s="126"/>
      <c r="Y248" s="126"/>
      <c r="Z248" s="126"/>
      <c r="AA248" s="126"/>
      <c r="AB248" s="126"/>
      <c r="AC248" s="126"/>
      <c r="AD248" s="126"/>
      <c r="AE248" s="126"/>
      <c r="AF248" s="126"/>
      <c r="AG248" s="126"/>
      <c r="AH248" s="126"/>
      <c r="AI248" s="126"/>
      <c r="AJ248" s="126"/>
      <c r="AK248" s="126"/>
      <c r="AL248" s="126"/>
      <c r="AM248" s="126"/>
      <c r="AN248" s="126"/>
      <c r="AO248" s="126"/>
    </row>
    <row r="249" spans="1:41" ht="12.75" customHeight="1" x14ac:dyDescent="0.25">
      <c r="A249" s="126"/>
      <c r="B249" s="640"/>
      <c r="C249" s="141"/>
      <c r="D249" s="141"/>
      <c r="E249" s="141"/>
      <c r="F249" s="141"/>
      <c r="G249" s="141"/>
      <c r="H249" s="141"/>
      <c r="I249" s="141"/>
      <c r="J249" s="126"/>
      <c r="K249" s="141"/>
      <c r="L249" s="141"/>
      <c r="M249" s="141"/>
      <c r="N249" s="142"/>
      <c r="O249" s="142"/>
      <c r="P249" s="142"/>
      <c r="Q249" s="142"/>
      <c r="R249" s="142"/>
      <c r="S249" s="142"/>
      <c r="T249" s="142"/>
      <c r="U249" s="142"/>
      <c r="V249" s="141"/>
      <c r="W249" s="126"/>
      <c r="X249" s="126"/>
      <c r="Y249" s="126"/>
      <c r="Z249" s="126"/>
      <c r="AA249" s="126"/>
      <c r="AB249" s="126"/>
      <c r="AC249" s="126"/>
      <c r="AD249" s="126"/>
      <c r="AE249" s="126"/>
      <c r="AF249" s="126"/>
      <c r="AG249" s="126"/>
      <c r="AH249" s="126"/>
      <c r="AI249" s="126"/>
      <c r="AJ249" s="126"/>
      <c r="AK249" s="126"/>
      <c r="AL249" s="126"/>
      <c r="AM249" s="126"/>
      <c r="AN249" s="126"/>
      <c r="AO249" s="126"/>
    </row>
    <row r="250" spans="1:41" ht="12.75" customHeight="1" x14ac:dyDescent="0.25">
      <c r="A250" s="126"/>
      <c r="B250" s="640"/>
      <c r="C250" s="141"/>
      <c r="D250" s="141"/>
      <c r="E250" s="141"/>
      <c r="F250" s="141"/>
      <c r="G250" s="141"/>
      <c r="H250" s="141"/>
      <c r="I250" s="141"/>
      <c r="J250" s="126"/>
      <c r="K250" s="141"/>
      <c r="L250" s="141"/>
      <c r="M250" s="141"/>
      <c r="N250" s="142"/>
      <c r="O250" s="142"/>
      <c r="P250" s="142"/>
      <c r="Q250" s="142"/>
      <c r="R250" s="142"/>
      <c r="S250" s="142"/>
      <c r="T250" s="142"/>
      <c r="U250" s="142"/>
      <c r="V250" s="141"/>
      <c r="W250" s="126"/>
      <c r="X250" s="126"/>
      <c r="Y250" s="126"/>
      <c r="Z250" s="126"/>
      <c r="AA250" s="126"/>
      <c r="AB250" s="126"/>
      <c r="AC250" s="126"/>
      <c r="AD250" s="126"/>
      <c r="AE250" s="126"/>
      <c r="AF250" s="126"/>
      <c r="AG250" s="126"/>
      <c r="AH250" s="126"/>
      <c r="AI250" s="126"/>
      <c r="AJ250" s="126"/>
      <c r="AK250" s="126"/>
      <c r="AL250" s="126"/>
      <c r="AM250" s="126"/>
      <c r="AN250" s="126"/>
      <c r="AO250" s="126"/>
    </row>
    <row r="251" spans="1:41" ht="12.75" customHeight="1" x14ac:dyDescent="0.25">
      <c r="A251" s="126"/>
      <c r="B251" s="640"/>
      <c r="C251" s="141"/>
      <c r="D251" s="141"/>
      <c r="E251" s="141"/>
      <c r="F251" s="141"/>
      <c r="G251" s="141"/>
      <c r="H251" s="141"/>
      <c r="I251" s="141"/>
      <c r="J251" s="126"/>
      <c r="K251" s="141"/>
      <c r="L251" s="141"/>
      <c r="M251" s="141"/>
      <c r="N251" s="142"/>
      <c r="O251" s="142"/>
      <c r="P251" s="142"/>
      <c r="Q251" s="142"/>
      <c r="R251" s="142"/>
      <c r="S251" s="142"/>
      <c r="T251" s="142"/>
      <c r="U251" s="142"/>
      <c r="V251" s="141"/>
      <c r="W251" s="126"/>
      <c r="X251" s="126"/>
      <c r="Y251" s="126"/>
      <c r="Z251" s="126"/>
      <c r="AA251" s="126"/>
      <c r="AB251" s="126"/>
      <c r="AC251" s="126"/>
      <c r="AD251" s="126"/>
      <c r="AE251" s="126"/>
      <c r="AF251" s="126"/>
      <c r="AG251" s="126"/>
      <c r="AH251" s="126"/>
      <c r="AI251" s="126"/>
      <c r="AJ251" s="126"/>
      <c r="AK251" s="126"/>
      <c r="AL251" s="126"/>
      <c r="AM251" s="126"/>
      <c r="AN251" s="126"/>
      <c r="AO251" s="126"/>
    </row>
    <row r="252" spans="1:41" ht="12.75" customHeight="1" x14ac:dyDescent="0.25">
      <c r="A252" s="126"/>
      <c r="B252" s="640"/>
      <c r="C252" s="141"/>
      <c r="D252" s="141"/>
      <c r="E252" s="141"/>
      <c r="F252" s="141"/>
      <c r="G252" s="141"/>
      <c r="H252" s="141"/>
      <c r="I252" s="141"/>
      <c r="J252" s="126"/>
      <c r="K252" s="141"/>
      <c r="L252" s="141"/>
      <c r="M252" s="141"/>
      <c r="N252" s="142"/>
      <c r="O252" s="142"/>
      <c r="P252" s="142"/>
      <c r="Q252" s="142"/>
      <c r="R252" s="142"/>
      <c r="S252" s="142"/>
      <c r="T252" s="142"/>
      <c r="U252" s="142"/>
      <c r="V252" s="141"/>
      <c r="W252" s="126"/>
      <c r="X252" s="126"/>
      <c r="Y252" s="126"/>
      <c r="Z252" s="126"/>
      <c r="AA252" s="126"/>
      <c r="AB252" s="126"/>
      <c r="AC252" s="126"/>
      <c r="AD252" s="126"/>
      <c r="AE252" s="126"/>
      <c r="AF252" s="126"/>
      <c r="AG252" s="126"/>
      <c r="AH252" s="126"/>
      <c r="AI252" s="126"/>
      <c r="AJ252" s="126"/>
      <c r="AK252" s="126"/>
      <c r="AL252" s="126"/>
      <c r="AM252" s="126"/>
      <c r="AN252" s="126"/>
      <c r="AO252" s="126"/>
    </row>
    <row r="253" spans="1:41" ht="12.75" customHeight="1" x14ac:dyDescent="0.25">
      <c r="A253" s="126"/>
      <c r="B253" s="640"/>
      <c r="C253" s="141"/>
      <c r="D253" s="141"/>
      <c r="E253" s="141"/>
      <c r="F253" s="141"/>
      <c r="G253" s="141"/>
      <c r="H253" s="141"/>
      <c r="I253" s="141"/>
      <c r="J253" s="126"/>
      <c r="K253" s="141"/>
      <c r="L253" s="141"/>
      <c r="M253" s="141"/>
      <c r="N253" s="142"/>
      <c r="O253" s="142"/>
      <c r="P253" s="142"/>
      <c r="Q253" s="142"/>
      <c r="R253" s="142"/>
      <c r="S253" s="142"/>
      <c r="T253" s="142"/>
      <c r="U253" s="142"/>
      <c r="V253" s="141"/>
      <c r="W253" s="126"/>
      <c r="X253" s="126"/>
      <c r="Y253" s="126"/>
      <c r="Z253" s="126"/>
      <c r="AA253" s="126"/>
      <c r="AB253" s="126"/>
      <c r="AC253" s="126"/>
      <c r="AD253" s="126"/>
      <c r="AE253" s="126"/>
      <c r="AF253" s="126"/>
      <c r="AG253" s="126"/>
      <c r="AH253" s="126"/>
      <c r="AI253" s="126"/>
      <c r="AJ253" s="126"/>
      <c r="AK253" s="126"/>
      <c r="AL253" s="126"/>
      <c r="AM253" s="126"/>
      <c r="AN253" s="126"/>
      <c r="AO253" s="126"/>
    </row>
    <row r="254" spans="1:41" ht="15.75" customHeight="1" x14ac:dyDescent="0.25">
      <c r="G254" s="141"/>
      <c r="H254" s="141"/>
      <c r="I254" s="141"/>
      <c r="V254" s="141"/>
    </row>
    <row r="255" spans="1:41" ht="15.75" customHeight="1" x14ac:dyDescent="0.25">
      <c r="G255" s="141"/>
      <c r="H255" s="141"/>
      <c r="I255" s="141"/>
      <c r="V255" s="141"/>
    </row>
    <row r="256" spans="1:41" ht="15.75" customHeight="1" x14ac:dyDescent="0.25">
      <c r="G256" s="141"/>
      <c r="H256" s="141"/>
      <c r="I256" s="141"/>
      <c r="V256" s="141"/>
    </row>
    <row r="257" spans="7:22" ht="15.75" customHeight="1" x14ac:dyDescent="0.25">
      <c r="G257" s="141"/>
      <c r="H257" s="141"/>
      <c r="I257" s="141"/>
      <c r="V257" s="141"/>
    </row>
    <row r="258" spans="7:22" ht="15.75" customHeight="1" x14ac:dyDescent="0.25">
      <c r="G258" s="141"/>
      <c r="H258" s="141"/>
      <c r="I258" s="141"/>
      <c r="V258" s="141"/>
    </row>
    <row r="259" spans="7:22" ht="15.75" customHeight="1" x14ac:dyDescent="0.25">
      <c r="G259" s="141"/>
      <c r="H259" s="141"/>
      <c r="I259" s="141"/>
      <c r="V259" s="141"/>
    </row>
    <row r="260" spans="7:22" ht="15.75" customHeight="1" x14ac:dyDescent="0.25">
      <c r="G260" s="141"/>
      <c r="H260" s="141"/>
      <c r="I260" s="141"/>
      <c r="V260" s="141"/>
    </row>
    <row r="261" spans="7:22" ht="15.75" customHeight="1" x14ac:dyDescent="0.25">
      <c r="G261" s="141"/>
      <c r="H261" s="141"/>
      <c r="I261" s="141"/>
      <c r="V261" s="141"/>
    </row>
    <row r="262" spans="7:22" ht="15.75" customHeight="1" x14ac:dyDescent="0.25">
      <c r="G262" s="141"/>
      <c r="H262" s="141"/>
      <c r="I262" s="141"/>
      <c r="V262" s="141"/>
    </row>
    <row r="263" spans="7:22" ht="15.75" customHeight="1" x14ac:dyDescent="0.25">
      <c r="G263" s="141"/>
      <c r="H263" s="141"/>
      <c r="I263" s="141"/>
      <c r="V263" s="141"/>
    </row>
    <row r="264" spans="7:22" ht="15.75" customHeight="1" x14ac:dyDescent="0.25">
      <c r="G264" s="141"/>
      <c r="H264" s="141"/>
      <c r="I264" s="141"/>
      <c r="V264" s="141"/>
    </row>
    <row r="265" spans="7:22" ht="15.75" customHeight="1" x14ac:dyDescent="0.25">
      <c r="G265" s="141"/>
      <c r="H265" s="141"/>
      <c r="I265" s="141"/>
      <c r="V265" s="141"/>
    </row>
    <row r="266" spans="7:22" ht="15.75" customHeight="1" x14ac:dyDescent="0.25">
      <c r="G266" s="141"/>
      <c r="H266" s="141"/>
      <c r="I266" s="141"/>
      <c r="V266" s="141"/>
    </row>
    <row r="267" spans="7:22" ht="15.75" customHeight="1" x14ac:dyDescent="0.25">
      <c r="G267" s="141"/>
      <c r="H267" s="141"/>
      <c r="I267" s="141"/>
      <c r="V267" s="141"/>
    </row>
    <row r="268" spans="7:22" ht="15.75" customHeight="1" x14ac:dyDescent="0.25">
      <c r="G268" s="141"/>
      <c r="H268" s="141"/>
      <c r="I268" s="141"/>
      <c r="V268" s="141"/>
    </row>
    <row r="269" spans="7:22" ht="15.75" customHeight="1" x14ac:dyDescent="0.25">
      <c r="G269" s="141"/>
      <c r="H269" s="141"/>
      <c r="I269" s="141"/>
      <c r="V269" s="141"/>
    </row>
    <row r="270" spans="7:22" ht="15.75" customHeight="1" x14ac:dyDescent="0.25">
      <c r="G270" s="141"/>
      <c r="H270" s="141"/>
      <c r="I270" s="141"/>
      <c r="V270" s="141"/>
    </row>
    <row r="271" spans="7:22" ht="15.75" customHeight="1" x14ac:dyDescent="0.25">
      <c r="G271" s="141"/>
      <c r="H271" s="141"/>
      <c r="I271" s="141"/>
      <c r="V271" s="141"/>
    </row>
    <row r="272" spans="7:22" ht="15.75" customHeight="1" x14ac:dyDescent="0.25">
      <c r="G272" s="141"/>
      <c r="H272" s="141"/>
      <c r="I272" s="141"/>
      <c r="V272" s="141"/>
    </row>
    <row r="273" spans="7:22" ht="15.75" customHeight="1" x14ac:dyDescent="0.25">
      <c r="G273" s="141"/>
      <c r="H273" s="141"/>
      <c r="I273" s="141"/>
      <c r="V273" s="141"/>
    </row>
    <row r="274" spans="7:22" ht="15.75" customHeight="1" x14ac:dyDescent="0.25">
      <c r="G274" s="141"/>
      <c r="H274" s="141"/>
      <c r="I274" s="141"/>
      <c r="V274" s="141"/>
    </row>
    <row r="275" spans="7:22" ht="15.75" customHeight="1" x14ac:dyDescent="0.25">
      <c r="G275" s="141"/>
      <c r="H275" s="141"/>
      <c r="I275" s="141"/>
      <c r="V275" s="141"/>
    </row>
    <row r="276" spans="7:22" ht="15.75" customHeight="1" x14ac:dyDescent="0.25">
      <c r="G276" s="141"/>
      <c r="H276" s="141"/>
      <c r="I276" s="141"/>
      <c r="V276" s="141"/>
    </row>
    <row r="277" spans="7:22" ht="15.75" customHeight="1" x14ac:dyDescent="0.25">
      <c r="G277" s="141"/>
      <c r="H277" s="141"/>
      <c r="I277" s="141"/>
      <c r="V277" s="141"/>
    </row>
    <row r="278" spans="7:22" ht="15.75" customHeight="1" x14ac:dyDescent="0.25">
      <c r="G278" s="141"/>
      <c r="H278" s="141"/>
      <c r="I278" s="141"/>
      <c r="V278" s="141"/>
    </row>
    <row r="279" spans="7:22" ht="15.75" customHeight="1" x14ac:dyDescent="0.25">
      <c r="G279" s="141"/>
      <c r="H279" s="141"/>
      <c r="I279" s="141"/>
      <c r="V279" s="141"/>
    </row>
    <row r="280" spans="7:22" ht="15.75" customHeight="1" x14ac:dyDescent="0.25">
      <c r="G280" s="141"/>
      <c r="H280" s="141"/>
      <c r="I280" s="141"/>
      <c r="V280" s="141"/>
    </row>
    <row r="281" spans="7:22" ht="15.75" customHeight="1" x14ac:dyDescent="0.25">
      <c r="G281" s="141"/>
      <c r="H281" s="141"/>
      <c r="I281" s="141"/>
      <c r="V281" s="141"/>
    </row>
    <row r="282" spans="7:22" ht="15.75" customHeight="1" x14ac:dyDescent="0.25">
      <c r="G282" s="141"/>
      <c r="H282" s="141"/>
      <c r="I282" s="141"/>
      <c r="V282" s="141"/>
    </row>
    <row r="283" spans="7:22" ht="15.75" customHeight="1" x14ac:dyDescent="0.25">
      <c r="G283" s="141"/>
      <c r="H283" s="141"/>
      <c r="I283" s="141"/>
      <c r="V283" s="141"/>
    </row>
    <row r="284" spans="7:22" ht="15.75" customHeight="1" x14ac:dyDescent="0.25">
      <c r="G284" s="141"/>
      <c r="H284" s="141"/>
      <c r="I284" s="141"/>
      <c r="V284" s="141"/>
    </row>
    <row r="285" spans="7:22" ht="15.75" customHeight="1" x14ac:dyDescent="0.25">
      <c r="G285" s="141"/>
      <c r="H285" s="141"/>
      <c r="I285" s="141"/>
      <c r="V285" s="141"/>
    </row>
    <row r="286" spans="7:22" ht="15.75" customHeight="1" x14ac:dyDescent="0.25">
      <c r="G286" s="141"/>
      <c r="H286" s="141"/>
      <c r="I286" s="141"/>
      <c r="V286" s="141"/>
    </row>
    <row r="287" spans="7:22" ht="15.75" customHeight="1" x14ac:dyDescent="0.25">
      <c r="G287" s="141"/>
      <c r="H287" s="141"/>
      <c r="I287" s="141"/>
      <c r="V287" s="141"/>
    </row>
    <row r="288" spans="7:22" ht="15.75" customHeight="1" x14ac:dyDescent="0.25">
      <c r="G288" s="141"/>
      <c r="H288" s="141"/>
      <c r="I288" s="141"/>
      <c r="V288" s="141"/>
    </row>
    <row r="289" spans="7:22" ht="15.75" customHeight="1" x14ac:dyDescent="0.25">
      <c r="G289" s="141"/>
      <c r="H289" s="141"/>
      <c r="I289" s="141"/>
      <c r="V289" s="141"/>
    </row>
    <row r="290" spans="7:22" ht="15.75" customHeight="1" x14ac:dyDescent="0.25">
      <c r="G290" s="141"/>
      <c r="H290" s="141"/>
      <c r="I290" s="141"/>
      <c r="V290" s="141"/>
    </row>
    <row r="291" spans="7:22" ht="15.75" customHeight="1" x14ac:dyDescent="0.25">
      <c r="G291" s="141"/>
      <c r="H291" s="141"/>
      <c r="I291" s="141"/>
      <c r="V291" s="141"/>
    </row>
    <row r="292" spans="7:22" ht="15.75" customHeight="1" x14ac:dyDescent="0.25">
      <c r="G292" s="141"/>
      <c r="H292" s="141"/>
      <c r="I292" s="141"/>
      <c r="V292" s="141"/>
    </row>
    <row r="293" spans="7:22" ht="15.75" customHeight="1" x14ac:dyDescent="0.25">
      <c r="G293" s="141"/>
      <c r="H293" s="141"/>
      <c r="I293" s="141"/>
      <c r="V293" s="141"/>
    </row>
    <row r="294" spans="7:22" ht="15.75" customHeight="1" x14ac:dyDescent="0.25">
      <c r="G294" s="141"/>
      <c r="H294" s="141"/>
      <c r="I294" s="141"/>
      <c r="V294" s="141"/>
    </row>
    <row r="295" spans="7:22" ht="15.75" customHeight="1" x14ac:dyDescent="0.25">
      <c r="G295" s="141"/>
      <c r="H295" s="141"/>
      <c r="I295" s="141"/>
      <c r="V295" s="141"/>
    </row>
    <row r="296" spans="7:22" ht="15.75" customHeight="1" x14ac:dyDescent="0.25">
      <c r="G296" s="141"/>
      <c r="H296" s="141"/>
      <c r="I296" s="141"/>
      <c r="V296" s="141"/>
    </row>
    <row r="297" spans="7:22" ht="15.75" customHeight="1" x14ac:dyDescent="0.25">
      <c r="G297" s="141"/>
      <c r="H297" s="141"/>
      <c r="I297" s="141"/>
      <c r="V297" s="141"/>
    </row>
    <row r="298" spans="7:22" ht="15.75" customHeight="1" x14ac:dyDescent="0.25">
      <c r="G298" s="141"/>
      <c r="H298" s="141"/>
      <c r="I298" s="141"/>
      <c r="V298" s="141"/>
    </row>
    <row r="299" spans="7:22" ht="15.75" customHeight="1" x14ac:dyDescent="0.25">
      <c r="G299" s="141"/>
      <c r="H299" s="141"/>
      <c r="I299" s="141"/>
      <c r="V299" s="141"/>
    </row>
    <row r="300" spans="7:22" ht="15.75" customHeight="1" x14ac:dyDescent="0.25">
      <c r="G300" s="141"/>
      <c r="H300" s="141"/>
      <c r="I300" s="141"/>
      <c r="V300" s="141"/>
    </row>
    <row r="301" spans="7:22" ht="15.75" customHeight="1" x14ac:dyDescent="0.25">
      <c r="G301" s="141"/>
      <c r="H301" s="141"/>
      <c r="I301" s="141"/>
      <c r="V301" s="141"/>
    </row>
    <row r="302" spans="7:22" ht="15.75" customHeight="1" x14ac:dyDescent="0.25">
      <c r="G302" s="141"/>
      <c r="H302" s="141"/>
      <c r="I302" s="141"/>
      <c r="V302" s="141"/>
    </row>
    <row r="303" spans="7:22" ht="15.75" customHeight="1" x14ac:dyDescent="0.25">
      <c r="G303" s="141"/>
      <c r="H303" s="141"/>
      <c r="I303" s="141"/>
      <c r="V303" s="141"/>
    </row>
    <row r="304" spans="7:22" ht="15.75" customHeight="1" x14ac:dyDescent="0.25">
      <c r="G304" s="141"/>
      <c r="H304" s="141"/>
      <c r="I304" s="141"/>
      <c r="V304" s="141"/>
    </row>
    <row r="305" spans="7:22" ht="15.75" customHeight="1" x14ac:dyDescent="0.25">
      <c r="G305" s="141"/>
      <c r="H305" s="141"/>
      <c r="I305" s="141"/>
      <c r="V305" s="141"/>
    </row>
    <row r="306" spans="7:22" ht="15.75" customHeight="1" x14ac:dyDescent="0.25">
      <c r="G306" s="141"/>
      <c r="H306" s="141"/>
      <c r="I306" s="141"/>
      <c r="V306" s="141"/>
    </row>
    <row r="307" spans="7:22" ht="15.75" customHeight="1" x14ac:dyDescent="0.25">
      <c r="G307" s="141"/>
      <c r="H307" s="141"/>
      <c r="I307" s="141"/>
      <c r="V307" s="141"/>
    </row>
    <row r="308" spans="7:22" ht="15.75" customHeight="1" x14ac:dyDescent="0.25">
      <c r="G308" s="141"/>
      <c r="H308" s="141"/>
      <c r="I308" s="141"/>
      <c r="V308" s="141"/>
    </row>
    <row r="309" spans="7:22" ht="15.75" customHeight="1" x14ac:dyDescent="0.25">
      <c r="G309" s="141"/>
      <c r="H309" s="141"/>
      <c r="I309" s="141"/>
      <c r="V309" s="141"/>
    </row>
    <row r="310" spans="7:22" ht="15.75" customHeight="1" x14ac:dyDescent="0.25">
      <c r="G310" s="141"/>
      <c r="H310" s="141"/>
      <c r="I310" s="141"/>
      <c r="V310" s="141"/>
    </row>
    <row r="311" spans="7:22" ht="15.75" customHeight="1" x14ac:dyDescent="0.25">
      <c r="G311" s="141"/>
      <c r="H311" s="141"/>
      <c r="I311" s="141"/>
      <c r="V311" s="141"/>
    </row>
    <row r="312" spans="7:22" ht="15.75" customHeight="1" x14ac:dyDescent="0.25">
      <c r="G312" s="141"/>
      <c r="H312" s="141"/>
      <c r="I312" s="141"/>
      <c r="V312" s="141"/>
    </row>
    <row r="313" spans="7:22" ht="15.75" customHeight="1" x14ac:dyDescent="0.25">
      <c r="G313" s="141"/>
      <c r="H313" s="141"/>
      <c r="I313" s="141"/>
      <c r="V313" s="141"/>
    </row>
    <row r="314" spans="7:22" ht="15.75" customHeight="1" x14ac:dyDescent="0.25">
      <c r="G314" s="141"/>
      <c r="H314" s="141"/>
      <c r="I314" s="141"/>
      <c r="V314" s="141"/>
    </row>
    <row r="315" spans="7:22" ht="15.75" customHeight="1" x14ac:dyDescent="0.25">
      <c r="G315" s="141"/>
      <c r="H315" s="141"/>
      <c r="I315" s="141"/>
      <c r="V315" s="141"/>
    </row>
    <row r="316" spans="7:22" ht="15.75" customHeight="1" x14ac:dyDescent="0.25">
      <c r="G316" s="141"/>
      <c r="H316" s="141"/>
      <c r="I316" s="141"/>
      <c r="V316" s="141"/>
    </row>
    <row r="317" spans="7:22" ht="15.75" customHeight="1" x14ac:dyDescent="0.25">
      <c r="G317" s="141"/>
      <c r="H317" s="141"/>
      <c r="I317" s="141"/>
      <c r="V317" s="141"/>
    </row>
    <row r="318" spans="7:22" ht="15.75" customHeight="1" x14ac:dyDescent="0.25">
      <c r="G318" s="141"/>
      <c r="H318" s="141"/>
      <c r="I318" s="141"/>
      <c r="V318" s="141"/>
    </row>
    <row r="319" spans="7:22" ht="15.75" customHeight="1" x14ac:dyDescent="0.25">
      <c r="G319" s="141"/>
      <c r="H319" s="141"/>
      <c r="I319" s="141"/>
      <c r="V319" s="141"/>
    </row>
    <row r="320" spans="7:22" ht="15.75" customHeight="1" x14ac:dyDescent="0.25">
      <c r="G320" s="141"/>
      <c r="H320" s="141"/>
      <c r="I320" s="141"/>
      <c r="V320" s="141"/>
    </row>
    <row r="321" spans="7:22" ht="15.75" customHeight="1" x14ac:dyDescent="0.25">
      <c r="G321" s="141"/>
      <c r="H321" s="141"/>
      <c r="I321" s="141"/>
      <c r="V321" s="141"/>
    </row>
    <row r="322" spans="7:22" ht="15.75" customHeight="1" x14ac:dyDescent="0.25">
      <c r="G322" s="141"/>
      <c r="H322" s="141"/>
      <c r="I322" s="141"/>
      <c r="V322" s="141"/>
    </row>
    <row r="323" spans="7:22" ht="15.75" customHeight="1" x14ac:dyDescent="0.25">
      <c r="G323" s="141"/>
      <c r="H323" s="141"/>
      <c r="I323" s="141"/>
      <c r="V323" s="141"/>
    </row>
    <row r="324" spans="7:22" ht="15.75" customHeight="1" x14ac:dyDescent="0.25">
      <c r="G324" s="141"/>
      <c r="H324" s="141"/>
      <c r="I324" s="141"/>
      <c r="V324" s="141"/>
    </row>
    <row r="325" spans="7:22" ht="15.75" customHeight="1" x14ac:dyDescent="0.25">
      <c r="G325" s="141"/>
      <c r="H325" s="141"/>
      <c r="I325" s="141"/>
      <c r="V325" s="141"/>
    </row>
    <row r="326" spans="7:22" ht="15.75" customHeight="1" x14ac:dyDescent="0.25">
      <c r="G326" s="141"/>
      <c r="H326" s="141"/>
      <c r="I326" s="141"/>
      <c r="V326" s="141"/>
    </row>
    <row r="327" spans="7:22" ht="15.75" customHeight="1" x14ac:dyDescent="0.25">
      <c r="G327" s="141"/>
      <c r="H327" s="141"/>
      <c r="I327" s="141"/>
      <c r="V327" s="141"/>
    </row>
    <row r="328" spans="7:22" ht="15.75" customHeight="1" x14ac:dyDescent="0.25">
      <c r="G328" s="141"/>
      <c r="H328" s="141"/>
      <c r="I328" s="141"/>
      <c r="V328" s="141"/>
    </row>
    <row r="329" spans="7:22" ht="15.75" customHeight="1" x14ac:dyDescent="0.25">
      <c r="G329" s="141"/>
      <c r="H329" s="141"/>
      <c r="I329" s="141"/>
      <c r="V329" s="141"/>
    </row>
    <row r="330" spans="7:22" ht="15.75" customHeight="1" x14ac:dyDescent="0.25">
      <c r="G330" s="141"/>
      <c r="H330" s="141"/>
      <c r="I330" s="141"/>
      <c r="V330" s="141"/>
    </row>
    <row r="331" spans="7:22" ht="15.75" customHeight="1" x14ac:dyDescent="0.25">
      <c r="G331" s="141"/>
      <c r="H331" s="141"/>
      <c r="I331" s="141"/>
      <c r="V331" s="141"/>
    </row>
    <row r="332" spans="7:22" ht="15.75" customHeight="1" x14ac:dyDescent="0.25">
      <c r="G332" s="141"/>
      <c r="H332" s="141"/>
      <c r="I332" s="141"/>
      <c r="V332" s="141"/>
    </row>
    <row r="333" spans="7:22" ht="15.75" customHeight="1" x14ac:dyDescent="0.25">
      <c r="G333" s="141"/>
      <c r="H333" s="141"/>
      <c r="I333" s="141"/>
      <c r="V333" s="141"/>
    </row>
    <row r="334" spans="7:22" ht="15.75" customHeight="1" x14ac:dyDescent="0.25">
      <c r="G334" s="141"/>
      <c r="H334" s="141"/>
      <c r="I334" s="141"/>
      <c r="V334" s="141"/>
    </row>
    <row r="335" spans="7:22" ht="15.75" customHeight="1" x14ac:dyDescent="0.25">
      <c r="G335" s="141"/>
      <c r="H335" s="141"/>
      <c r="I335" s="141"/>
      <c r="V335" s="141"/>
    </row>
    <row r="336" spans="7:22" ht="15.75" customHeight="1" x14ac:dyDescent="0.25">
      <c r="G336" s="141"/>
      <c r="H336" s="141"/>
      <c r="I336" s="141"/>
      <c r="V336" s="141"/>
    </row>
    <row r="337" spans="7:22" ht="15.75" customHeight="1" x14ac:dyDescent="0.25">
      <c r="G337" s="141"/>
      <c r="H337" s="141"/>
      <c r="I337" s="141"/>
      <c r="V337" s="141"/>
    </row>
    <row r="338" spans="7:22" ht="15.75" customHeight="1" x14ac:dyDescent="0.25">
      <c r="G338" s="141"/>
      <c r="H338" s="141"/>
      <c r="I338" s="141"/>
      <c r="V338" s="141"/>
    </row>
    <row r="339" spans="7:22" ht="15.75" customHeight="1" x14ac:dyDescent="0.25">
      <c r="G339" s="141"/>
      <c r="H339" s="141"/>
      <c r="I339" s="141"/>
      <c r="V339" s="141"/>
    </row>
    <row r="340" spans="7:22" ht="15.75" customHeight="1" x14ac:dyDescent="0.25">
      <c r="G340" s="141"/>
      <c r="H340" s="141"/>
      <c r="I340" s="141"/>
      <c r="V340" s="141"/>
    </row>
    <row r="341" spans="7:22" ht="15.75" customHeight="1" x14ac:dyDescent="0.25">
      <c r="G341" s="141"/>
      <c r="H341" s="141"/>
      <c r="I341" s="141"/>
      <c r="V341" s="141"/>
    </row>
    <row r="342" spans="7:22" ht="15.75" customHeight="1" x14ac:dyDescent="0.25">
      <c r="G342" s="141"/>
      <c r="H342" s="141"/>
      <c r="I342" s="141"/>
      <c r="V342" s="141"/>
    </row>
    <row r="343" spans="7:22" ht="15.75" customHeight="1" x14ac:dyDescent="0.25">
      <c r="G343" s="141"/>
      <c r="H343" s="141"/>
      <c r="I343" s="141"/>
      <c r="V343" s="141"/>
    </row>
    <row r="344" spans="7:22" ht="15.75" customHeight="1" x14ac:dyDescent="0.25">
      <c r="G344" s="141"/>
      <c r="H344" s="141"/>
      <c r="I344" s="141"/>
      <c r="V344" s="141"/>
    </row>
    <row r="345" spans="7:22" ht="15.75" customHeight="1" x14ac:dyDescent="0.25">
      <c r="G345" s="141"/>
      <c r="H345" s="141"/>
      <c r="I345" s="141"/>
      <c r="V345" s="141"/>
    </row>
    <row r="346" spans="7:22" ht="15.75" customHeight="1" x14ac:dyDescent="0.25">
      <c r="G346" s="141"/>
      <c r="H346" s="141"/>
      <c r="I346" s="141"/>
      <c r="V346" s="141"/>
    </row>
    <row r="347" spans="7:22" ht="15.75" customHeight="1" x14ac:dyDescent="0.25">
      <c r="G347" s="141"/>
      <c r="H347" s="141"/>
      <c r="I347" s="141"/>
      <c r="V347" s="141"/>
    </row>
    <row r="348" spans="7:22" ht="15.75" customHeight="1" x14ac:dyDescent="0.25">
      <c r="G348" s="141"/>
      <c r="H348" s="141"/>
      <c r="I348" s="141"/>
      <c r="V348" s="141"/>
    </row>
    <row r="349" spans="7:22" ht="15.75" customHeight="1" x14ac:dyDescent="0.25">
      <c r="G349" s="141"/>
      <c r="H349" s="141"/>
      <c r="I349" s="141"/>
      <c r="V349" s="141"/>
    </row>
    <row r="350" spans="7:22" ht="15.75" customHeight="1" x14ac:dyDescent="0.25">
      <c r="G350" s="141"/>
      <c r="H350" s="141"/>
      <c r="I350" s="141"/>
      <c r="V350" s="141"/>
    </row>
    <row r="351" spans="7:22" ht="15.75" customHeight="1" x14ac:dyDescent="0.25">
      <c r="G351" s="141"/>
      <c r="H351" s="141"/>
      <c r="I351" s="141"/>
      <c r="V351" s="141"/>
    </row>
    <row r="352" spans="7:22" ht="15.75" customHeight="1" x14ac:dyDescent="0.25">
      <c r="G352" s="141"/>
      <c r="H352" s="141"/>
      <c r="I352" s="141"/>
      <c r="V352" s="141"/>
    </row>
    <row r="353" spans="7:22" ht="15.75" customHeight="1" x14ac:dyDescent="0.25">
      <c r="G353" s="141"/>
      <c r="H353" s="141"/>
      <c r="I353" s="141"/>
      <c r="V353" s="141"/>
    </row>
    <row r="354" spans="7:22" ht="15.75" customHeight="1" x14ac:dyDescent="0.25">
      <c r="G354" s="141"/>
      <c r="H354" s="141"/>
      <c r="I354" s="141"/>
      <c r="V354" s="141"/>
    </row>
    <row r="355" spans="7:22" ht="15.75" customHeight="1" x14ac:dyDescent="0.25">
      <c r="G355" s="141"/>
      <c r="H355" s="141"/>
      <c r="I355" s="141"/>
      <c r="V355" s="141"/>
    </row>
    <row r="356" spans="7:22" ht="15.75" customHeight="1" x14ac:dyDescent="0.25">
      <c r="G356" s="141"/>
      <c r="H356" s="141"/>
      <c r="I356" s="141"/>
      <c r="V356" s="141"/>
    </row>
    <row r="357" spans="7:22" ht="15.75" customHeight="1" x14ac:dyDescent="0.25">
      <c r="G357" s="141"/>
      <c r="H357" s="141"/>
      <c r="I357" s="141"/>
      <c r="V357" s="141"/>
    </row>
    <row r="358" spans="7:22" ht="15.75" customHeight="1" x14ac:dyDescent="0.25">
      <c r="G358" s="141"/>
      <c r="H358" s="141"/>
      <c r="I358" s="141"/>
      <c r="V358" s="141"/>
    </row>
    <row r="359" spans="7:22" ht="15.75" customHeight="1" x14ac:dyDescent="0.25">
      <c r="G359" s="141"/>
      <c r="H359" s="141"/>
      <c r="I359" s="141"/>
      <c r="V359" s="141"/>
    </row>
    <row r="360" spans="7:22" ht="15.75" customHeight="1" x14ac:dyDescent="0.25">
      <c r="G360" s="141"/>
      <c r="H360" s="141"/>
      <c r="I360" s="141"/>
      <c r="V360" s="141"/>
    </row>
    <row r="361" spans="7:22" ht="15.75" customHeight="1" x14ac:dyDescent="0.25">
      <c r="G361" s="141"/>
      <c r="H361" s="141"/>
      <c r="I361" s="141"/>
      <c r="V361" s="141"/>
    </row>
    <row r="362" spans="7:22" ht="15.75" customHeight="1" x14ac:dyDescent="0.25">
      <c r="G362" s="141"/>
      <c r="H362" s="141"/>
      <c r="I362" s="141"/>
      <c r="V362" s="141"/>
    </row>
    <row r="363" spans="7:22" ht="15.75" customHeight="1" x14ac:dyDescent="0.25">
      <c r="G363" s="141"/>
      <c r="H363" s="141"/>
      <c r="I363" s="141"/>
      <c r="V363" s="141"/>
    </row>
    <row r="364" spans="7:22" ht="15.75" customHeight="1" x14ac:dyDescent="0.25">
      <c r="G364" s="141"/>
      <c r="H364" s="141"/>
      <c r="I364" s="141"/>
      <c r="V364" s="141"/>
    </row>
    <row r="365" spans="7:22" ht="15.75" customHeight="1" x14ac:dyDescent="0.25">
      <c r="G365" s="141"/>
      <c r="H365" s="141"/>
      <c r="I365" s="141"/>
      <c r="V365" s="141"/>
    </row>
    <row r="366" spans="7:22" ht="15.75" customHeight="1" x14ac:dyDescent="0.25">
      <c r="G366" s="141"/>
      <c r="H366" s="141"/>
      <c r="I366" s="141"/>
      <c r="V366" s="141"/>
    </row>
    <row r="367" spans="7:22" ht="15.75" customHeight="1" x14ac:dyDescent="0.25">
      <c r="G367" s="141"/>
      <c r="H367" s="141"/>
      <c r="I367" s="141"/>
      <c r="V367" s="141"/>
    </row>
    <row r="368" spans="7:22" ht="15.75" customHeight="1" x14ac:dyDescent="0.25">
      <c r="G368" s="141"/>
      <c r="H368" s="141"/>
      <c r="I368" s="141"/>
      <c r="V368" s="141"/>
    </row>
    <row r="369" spans="7:22" ht="15.75" customHeight="1" x14ac:dyDescent="0.25">
      <c r="G369" s="141"/>
      <c r="H369" s="141"/>
      <c r="I369" s="141"/>
      <c r="V369" s="141"/>
    </row>
    <row r="370" spans="7:22" ht="15.75" customHeight="1" x14ac:dyDescent="0.25">
      <c r="G370" s="141"/>
      <c r="H370" s="141"/>
      <c r="I370" s="141"/>
      <c r="V370" s="141"/>
    </row>
    <row r="371" spans="7:22" ht="15.75" customHeight="1" x14ac:dyDescent="0.25">
      <c r="G371" s="141"/>
      <c r="H371" s="141"/>
      <c r="I371" s="141"/>
      <c r="V371" s="141"/>
    </row>
    <row r="372" spans="7:22" ht="15.75" customHeight="1" x14ac:dyDescent="0.25">
      <c r="G372" s="141"/>
      <c r="H372" s="141"/>
      <c r="I372" s="141"/>
      <c r="V372" s="141"/>
    </row>
    <row r="373" spans="7:22" ht="15.75" customHeight="1" x14ac:dyDescent="0.25">
      <c r="G373" s="141"/>
      <c r="H373" s="141"/>
      <c r="I373" s="141"/>
      <c r="V373" s="141"/>
    </row>
    <row r="374" spans="7:22" ht="15.75" customHeight="1" x14ac:dyDescent="0.25">
      <c r="G374" s="141"/>
      <c r="H374" s="141"/>
      <c r="I374" s="141"/>
      <c r="V374" s="141"/>
    </row>
    <row r="375" spans="7:22" ht="15.75" customHeight="1" x14ac:dyDescent="0.25">
      <c r="G375" s="141"/>
      <c r="H375" s="141"/>
      <c r="I375" s="141"/>
      <c r="V375" s="141"/>
    </row>
    <row r="376" spans="7:22" ht="15.75" customHeight="1" x14ac:dyDescent="0.25">
      <c r="G376" s="141"/>
      <c r="H376" s="141"/>
      <c r="I376" s="141"/>
      <c r="V376" s="141"/>
    </row>
    <row r="377" spans="7:22" ht="15.75" customHeight="1" x14ac:dyDescent="0.25">
      <c r="G377" s="141"/>
      <c r="H377" s="141"/>
      <c r="I377" s="141"/>
      <c r="V377" s="141"/>
    </row>
    <row r="378" spans="7:22" ht="15.75" customHeight="1" x14ac:dyDescent="0.25">
      <c r="G378" s="141"/>
      <c r="H378" s="141"/>
      <c r="I378" s="141"/>
      <c r="V378" s="141"/>
    </row>
    <row r="379" spans="7:22" ht="15.75" customHeight="1" x14ac:dyDescent="0.25">
      <c r="G379" s="141"/>
      <c r="H379" s="141"/>
      <c r="I379" s="141"/>
      <c r="V379" s="141"/>
    </row>
    <row r="380" spans="7:22" ht="15.75" customHeight="1" x14ac:dyDescent="0.25">
      <c r="G380" s="141"/>
      <c r="H380" s="141"/>
      <c r="I380" s="141"/>
      <c r="V380" s="141"/>
    </row>
    <row r="381" spans="7:22" ht="15.75" customHeight="1" x14ac:dyDescent="0.25">
      <c r="G381" s="141"/>
      <c r="H381" s="141"/>
      <c r="I381" s="141"/>
      <c r="V381" s="141"/>
    </row>
    <row r="382" spans="7:22" ht="15.75" customHeight="1" x14ac:dyDescent="0.25">
      <c r="G382" s="141"/>
      <c r="H382" s="141"/>
      <c r="I382" s="141"/>
      <c r="V382" s="141"/>
    </row>
    <row r="383" spans="7:22" ht="15.75" customHeight="1" x14ac:dyDescent="0.25">
      <c r="G383" s="141"/>
      <c r="H383" s="141"/>
      <c r="I383" s="141"/>
      <c r="V383" s="141"/>
    </row>
    <row r="384" spans="7:22" ht="15.75" customHeight="1" x14ac:dyDescent="0.25">
      <c r="G384" s="141"/>
      <c r="H384" s="141"/>
      <c r="I384" s="141"/>
      <c r="V384" s="141"/>
    </row>
    <row r="385" spans="7:22" ht="15.75" customHeight="1" x14ac:dyDescent="0.25">
      <c r="G385" s="141"/>
      <c r="H385" s="141"/>
      <c r="I385" s="141"/>
      <c r="V385" s="141"/>
    </row>
    <row r="386" spans="7:22" ht="15.75" customHeight="1" x14ac:dyDescent="0.25">
      <c r="G386" s="141"/>
      <c r="H386" s="141"/>
      <c r="I386" s="141"/>
      <c r="V386" s="141"/>
    </row>
    <row r="387" spans="7:22" ht="15.75" customHeight="1" x14ac:dyDescent="0.25">
      <c r="G387" s="141"/>
      <c r="H387" s="141"/>
      <c r="I387" s="141"/>
      <c r="V387" s="141"/>
    </row>
    <row r="388" spans="7:22" ht="15.75" customHeight="1" x14ac:dyDescent="0.25">
      <c r="G388" s="141"/>
      <c r="H388" s="141"/>
      <c r="I388" s="141"/>
      <c r="V388" s="141"/>
    </row>
    <row r="389" spans="7:22" ht="15.75" customHeight="1" x14ac:dyDescent="0.25">
      <c r="G389" s="141"/>
      <c r="H389" s="141"/>
      <c r="I389" s="141"/>
      <c r="V389" s="141"/>
    </row>
    <row r="390" spans="7:22" ht="15.75" customHeight="1" x14ac:dyDescent="0.25">
      <c r="G390" s="141"/>
      <c r="H390" s="141"/>
      <c r="I390" s="141"/>
      <c r="V390" s="141"/>
    </row>
    <row r="391" spans="7:22" ht="15.75" customHeight="1" x14ac:dyDescent="0.25">
      <c r="G391" s="141"/>
      <c r="H391" s="141"/>
      <c r="I391" s="141"/>
      <c r="V391" s="141"/>
    </row>
    <row r="392" spans="7:22" ht="15.75" customHeight="1" x14ac:dyDescent="0.25">
      <c r="G392" s="141"/>
      <c r="H392" s="141"/>
      <c r="I392" s="141"/>
      <c r="V392" s="141"/>
    </row>
    <row r="393" spans="7:22" ht="15.75" customHeight="1" x14ac:dyDescent="0.25">
      <c r="G393" s="141"/>
      <c r="H393" s="141"/>
      <c r="I393" s="141"/>
      <c r="V393" s="141"/>
    </row>
    <row r="394" spans="7:22" ht="15.75" customHeight="1" x14ac:dyDescent="0.25">
      <c r="G394" s="141"/>
      <c r="H394" s="141"/>
      <c r="I394" s="141"/>
      <c r="V394" s="141"/>
    </row>
    <row r="395" spans="7:22" ht="15.75" customHeight="1" x14ac:dyDescent="0.25">
      <c r="G395" s="141"/>
      <c r="H395" s="141"/>
      <c r="I395" s="141"/>
      <c r="V395" s="141"/>
    </row>
    <row r="396" spans="7:22" ht="15.75" customHeight="1" x14ac:dyDescent="0.25">
      <c r="G396" s="141"/>
      <c r="H396" s="141"/>
      <c r="I396" s="141"/>
      <c r="V396" s="141"/>
    </row>
    <row r="397" spans="7:22" ht="15.75" customHeight="1" x14ac:dyDescent="0.25">
      <c r="G397" s="141"/>
      <c r="H397" s="141"/>
      <c r="I397" s="141"/>
      <c r="V397" s="141"/>
    </row>
    <row r="398" spans="7:22" ht="15.75" customHeight="1" x14ac:dyDescent="0.25">
      <c r="G398" s="141"/>
      <c r="H398" s="141"/>
      <c r="I398" s="141"/>
      <c r="V398" s="141"/>
    </row>
    <row r="399" spans="7:22" ht="15.75" customHeight="1" x14ac:dyDescent="0.25">
      <c r="G399" s="141"/>
      <c r="H399" s="141"/>
      <c r="I399" s="141"/>
      <c r="V399" s="141"/>
    </row>
    <row r="400" spans="7:22" ht="15.75" customHeight="1" x14ac:dyDescent="0.25">
      <c r="G400" s="141"/>
      <c r="H400" s="141"/>
      <c r="I400" s="141"/>
      <c r="V400" s="141"/>
    </row>
    <row r="401" spans="7:22" ht="15.75" customHeight="1" x14ac:dyDescent="0.25">
      <c r="G401" s="141"/>
      <c r="H401" s="141"/>
      <c r="I401" s="141"/>
      <c r="V401" s="141"/>
    </row>
    <row r="402" spans="7:22" ht="15.75" customHeight="1" x14ac:dyDescent="0.25">
      <c r="G402" s="141"/>
      <c r="H402" s="141"/>
      <c r="I402" s="141"/>
      <c r="V402" s="141"/>
    </row>
    <row r="403" spans="7:22" ht="15.75" customHeight="1" x14ac:dyDescent="0.25">
      <c r="G403" s="141"/>
      <c r="H403" s="141"/>
      <c r="I403" s="141"/>
      <c r="V403" s="141"/>
    </row>
    <row r="404" spans="7:22" ht="15.75" customHeight="1" x14ac:dyDescent="0.25">
      <c r="G404" s="141"/>
      <c r="H404" s="141"/>
      <c r="I404" s="141"/>
      <c r="V404" s="141"/>
    </row>
    <row r="405" spans="7:22" ht="15.75" customHeight="1" x14ac:dyDescent="0.25">
      <c r="G405" s="141"/>
      <c r="H405" s="141"/>
      <c r="I405" s="141"/>
      <c r="V405" s="141"/>
    </row>
    <row r="406" spans="7:22" ht="15.75" customHeight="1" x14ac:dyDescent="0.25">
      <c r="G406" s="141"/>
      <c r="H406" s="141"/>
      <c r="I406" s="141"/>
      <c r="V406" s="141"/>
    </row>
    <row r="407" spans="7:22" ht="15.75" customHeight="1" x14ac:dyDescent="0.25">
      <c r="G407" s="141"/>
      <c r="H407" s="141"/>
      <c r="I407" s="141"/>
      <c r="V407" s="141"/>
    </row>
    <row r="408" spans="7:22" ht="15.75" customHeight="1" x14ac:dyDescent="0.25">
      <c r="G408" s="141"/>
      <c r="H408" s="141"/>
      <c r="I408" s="141"/>
      <c r="V408" s="141"/>
    </row>
    <row r="409" spans="7:22" ht="15.75" customHeight="1" x14ac:dyDescent="0.25">
      <c r="G409" s="141"/>
      <c r="H409" s="141"/>
      <c r="I409" s="141"/>
      <c r="V409" s="141"/>
    </row>
    <row r="410" spans="7:22" ht="15.75" customHeight="1" x14ac:dyDescent="0.25">
      <c r="G410" s="141"/>
      <c r="H410" s="141"/>
      <c r="I410" s="141"/>
      <c r="V410" s="141"/>
    </row>
    <row r="411" spans="7:22" ht="15.75" customHeight="1" x14ac:dyDescent="0.25">
      <c r="G411" s="141"/>
      <c r="H411" s="141"/>
      <c r="I411" s="141"/>
      <c r="V411" s="141"/>
    </row>
    <row r="412" spans="7:22" ht="15.75" customHeight="1" x14ac:dyDescent="0.25">
      <c r="G412" s="141"/>
      <c r="H412" s="141"/>
      <c r="I412" s="141"/>
      <c r="V412" s="141"/>
    </row>
    <row r="413" spans="7:22" ht="15.75" customHeight="1" x14ac:dyDescent="0.25">
      <c r="G413" s="141"/>
      <c r="H413" s="141"/>
      <c r="I413" s="141"/>
      <c r="V413" s="141"/>
    </row>
    <row r="414" spans="7:22" ht="15.75" customHeight="1" x14ac:dyDescent="0.25">
      <c r="G414" s="141"/>
      <c r="H414" s="141"/>
      <c r="I414" s="141"/>
      <c r="V414" s="141"/>
    </row>
    <row r="415" spans="7:22" ht="15.75" customHeight="1" x14ac:dyDescent="0.25">
      <c r="G415" s="141"/>
      <c r="H415" s="141"/>
      <c r="I415" s="141"/>
      <c r="V415" s="141"/>
    </row>
    <row r="416" spans="7:22" ht="15.75" customHeight="1" x14ac:dyDescent="0.25">
      <c r="G416" s="141"/>
      <c r="H416" s="141"/>
      <c r="I416" s="141"/>
      <c r="V416" s="141"/>
    </row>
    <row r="417" spans="7:22" ht="15.75" customHeight="1" x14ac:dyDescent="0.25">
      <c r="G417" s="141"/>
      <c r="H417" s="141"/>
      <c r="I417" s="141"/>
      <c r="V417" s="141"/>
    </row>
    <row r="418" spans="7:22" ht="15.75" customHeight="1" x14ac:dyDescent="0.25">
      <c r="G418" s="141"/>
      <c r="H418" s="141"/>
      <c r="I418" s="141"/>
      <c r="V418" s="141"/>
    </row>
    <row r="419" spans="7:22" ht="15.75" customHeight="1" x14ac:dyDescent="0.25">
      <c r="G419" s="141"/>
      <c r="H419" s="141"/>
      <c r="I419" s="141"/>
      <c r="V419" s="141"/>
    </row>
    <row r="420" spans="7:22" ht="15.75" customHeight="1" x14ac:dyDescent="0.25">
      <c r="G420" s="141"/>
      <c r="H420" s="141"/>
      <c r="I420" s="141"/>
      <c r="V420" s="141"/>
    </row>
    <row r="421" spans="7:22" ht="15.75" customHeight="1" x14ac:dyDescent="0.25">
      <c r="G421" s="141"/>
      <c r="H421" s="141"/>
      <c r="I421" s="141"/>
      <c r="V421" s="141"/>
    </row>
    <row r="422" spans="7:22" ht="15.75" customHeight="1" x14ac:dyDescent="0.25">
      <c r="G422" s="141"/>
      <c r="H422" s="141"/>
      <c r="I422" s="141"/>
      <c r="V422" s="141"/>
    </row>
    <row r="423" spans="7:22" ht="15.75" customHeight="1" x14ac:dyDescent="0.25">
      <c r="G423" s="141"/>
      <c r="H423" s="141"/>
      <c r="I423" s="141"/>
      <c r="V423" s="141"/>
    </row>
    <row r="424" spans="7:22" ht="15.75" customHeight="1" x14ac:dyDescent="0.25">
      <c r="G424" s="141"/>
      <c r="H424" s="141"/>
      <c r="I424" s="141"/>
      <c r="V424" s="141"/>
    </row>
    <row r="425" spans="7:22" ht="15.75" customHeight="1" x14ac:dyDescent="0.25">
      <c r="G425" s="141"/>
      <c r="H425" s="141"/>
      <c r="I425" s="141"/>
      <c r="V425" s="141"/>
    </row>
    <row r="426" spans="7:22" ht="15.75" customHeight="1" x14ac:dyDescent="0.25">
      <c r="G426" s="141"/>
      <c r="H426" s="141"/>
      <c r="I426" s="141"/>
      <c r="V426" s="141"/>
    </row>
    <row r="427" spans="7:22" ht="15.75" customHeight="1" x14ac:dyDescent="0.25">
      <c r="G427" s="141"/>
      <c r="H427" s="141"/>
      <c r="I427" s="141"/>
      <c r="V427" s="141"/>
    </row>
    <row r="428" spans="7:22" ht="15.75" customHeight="1" x14ac:dyDescent="0.25">
      <c r="G428" s="141"/>
      <c r="H428" s="141"/>
      <c r="I428" s="141"/>
      <c r="V428" s="141"/>
    </row>
    <row r="429" spans="7:22" ht="15.75" customHeight="1" x14ac:dyDescent="0.25">
      <c r="G429" s="141"/>
      <c r="H429" s="141"/>
      <c r="I429" s="141"/>
      <c r="V429" s="141"/>
    </row>
    <row r="430" spans="7:22" ht="15.75" customHeight="1" x14ac:dyDescent="0.25">
      <c r="G430" s="141"/>
      <c r="H430" s="141"/>
      <c r="I430" s="141"/>
      <c r="V430" s="141"/>
    </row>
    <row r="431" spans="7:22" ht="15.75" customHeight="1" x14ac:dyDescent="0.25">
      <c r="G431" s="141"/>
      <c r="H431" s="141"/>
      <c r="I431" s="141"/>
      <c r="V431" s="141"/>
    </row>
    <row r="432" spans="7:22" ht="15.75" customHeight="1" x14ac:dyDescent="0.25">
      <c r="G432" s="141"/>
      <c r="H432" s="141"/>
      <c r="I432" s="141"/>
      <c r="V432" s="141"/>
    </row>
    <row r="433" spans="7:22" ht="15.75" customHeight="1" x14ac:dyDescent="0.25">
      <c r="G433" s="141"/>
      <c r="H433" s="141"/>
      <c r="I433" s="141"/>
      <c r="V433" s="141"/>
    </row>
    <row r="434" spans="7:22" ht="15.75" customHeight="1" x14ac:dyDescent="0.25">
      <c r="G434" s="141"/>
      <c r="H434" s="141"/>
      <c r="I434" s="141"/>
      <c r="V434" s="141"/>
    </row>
    <row r="435" spans="7:22" ht="15.75" customHeight="1" x14ac:dyDescent="0.25">
      <c r="G435" s="141"/>
      <c r="H435" s="141"/>
      <c r="I435" s="141"/>
      <c r="V435" s="141"/>
    </row>
    <row r="436" spans="7:22" ht="15.75" customHeight="1" x14ac:dyDescent="0.25">
      <c r="G436" s="141"/>
      <c r="H436" s="141"/>
      <c r="I436" s="141"/>
      <c r="V436" s="141"/>
    </row>
    <row r="437" spans="7:22" ht="15.75" customHeight="1" x14ac:dyDescent="0.25">
      <c r="G437" s="141"/>
      <c r="H437" s="141"/>
      <c r="I437" s="141"/>
      <c r="V437" s="141"/>
    </row>
    <row r="438" spans="7:22" ht="15.75" customHeight="1" x14ac:dyDescent="0.25">
      <c r="G438" s="141"/>
      <c r="H438" s="141"/>
      <c r="I438" s="141"/>
      <c r="V438" s="141"/>
    </row>
    <row r="439" spans="7:22" ht="15.75" customHeight="1" x14ac:dyDescent="0.25">
      <c r="G439" s="141"/>
      <c r="H439" s="141"/>
      <c r="I439" s="141"/>
      <c r="V439" s="141"/>
    </row>
    <row r="440" spans="7:22" ht="15.75" customHeight="1" x14ac:dyDescent="0.25">
      <c r="G440" s="141"/>
      <c r="H440" s="141"/>
      <c r="I440" s="141"/>
      <c r="V440" s="141"/>
    </row>
    <row r="441" spans="7:22" ht="15.75" customHeight="1" x14ac:dyDescent="0.25">
      <c r="G441" s="141"/>
      <c r="H441" s="141"/>
      <c r="I441" s="141"/>
      <c r="V441" s="141"/>
    </row>
    <row r="442" spans="7:22" ht="15.75" customHeight="1" x14ac:dyDescent="0.25">
      <c r="G442" s="141"/>
      <c r="H442" s="141"/>
      <c r="I442" s="141"/>
      <c r="V442" s="141"/>
    </row>
    <row r="443" spans="7:22" ht="15.75" customHeight="1" x14ac:dyDescent="0.25">
      <c r="G443" s="141"/>
      <c r="H443" s="141"/>
      <c r="I443" s="141"/>
      <c r="V443" s="141"/>
    </row>
    <row r="444" spans="7:22" ht="15.75" customHeight="1" x14ac:dyDescent="0.25">
      <c r="G444" s="141"/>
      <c r="H444" s="141"/>
      <c r="I444" s="141"/>
      <c r="V444" s="141"/>
    </row>
    <row r="445" spans="7:22" ht="15.75" customHeight="1" x14ac:dyDescent="0.25">
      <c r="G445" s="141"/>
      <c r="H445" s="141"/>
      <c r="I445" s="141"/>
      <c r="V445" s="141"/>
    </row>
    <row r="446" spans="7:22" ht="15.75" customHeight="1" x14ac:dyDescent="0.25">
      <c r="G446" s="141"/>
      <c r="H446" s="141"/>
      <c r="I446" s="141"/>
      <c r="V446" s="141"/>
    </row>
    <row r="447" spans="7:22" ht="15.75" customHeight="1" x14ac:dyDescent="0.25">
      <c r="G447" s="141"/>
      <c r="H447" s="141"/>
      <c r="I447" s="141"/>
      <c r="V447" s="141"/>
    </row>
    <row r="448" spans="7:22" ht="15.75" customHeight="1" x14ac:dyDescent="0.25">
      <c r="G448" s="141"/>
      <c r="H448" s="141"/>
      <c r="I448" s="141"/>
      <c r="V448" s="141"/>
    </row>
    <row r="449" spans="7:22" ht="15.75" customHeight="1" x14ac:dyDescent="0.25">
      <c r="G449" s="141"/>
      <c r="H449" s="141"/>
      <c r="I449" s="141"/>
      <c r="V449" s="141"/>
    </row>
    <row r="450" spans="7:22" ht="15.75" customHeight="1" x14ac:dyDescent="0.25">
      <c r="G450" s="141"/>
      <c r="H450" s="141"/>
      <c r="I450" s="141"/>
      <c r="V450" s="141"/>
    </row>
    <row r="451" spans="7:22" ht="15.75" customHeight="1" x14ac:dyDescent="0.25">
      <c r="G451" s="141"/>
      <c r="H451" s="141"/>
      <c r="I451" s="141"/>
      <c r="V451" s="141"/>
    </row>
    <row r="452" spans="7:22" ht="15.75" customHeight="1" x14ac:dyDescent="0.25">
      <c r="G452" s="141"/>
      <c r="H452" s="141"/>
      <c r="I452" s="141"/>
      <c r="V452" s="141"/>
    </row>
    <row r="453" spans="7:22" ht="15.75" customHeight="1" x14ac:dyDescent="0.25">
      <c r="G453" s="141"/>
      <c r="H453" s="141"/>
      <c r="I453" s="141"/>
      <c r="V453" s="141"/>
    </row>
    <row r="454" spans="7:22" ht="15.75" customHeight="1" x14ac:dyDescent="0.25">
      <c r="G454" s="141"/>
      <c r="H454" s="141"/>
      <c r="I454" s="141"/>
      <c r="V454" s="141"/>
    </row>
    <row r="455" spans="7:22" ht="15.75" customHeight="1" x14ac:dyDescent="0.25">
      <c r="G455" s="141"/>
      <c r="H455" s="141"/>
      <c r="I455" s="141"/>
      <c r="V455" s="141"/>
    </row>
    <row r="456" spans="7:22" ht="15.75" customHeight="1" x14ac:dyDescent="0.25">
      <c r="G456" s="141"/>
      <c r="H456" s="141"/>
      <c r="I456" s="141"/>
      <c r="V456" s="141"/>
    </row>
    <row r="457" spans="7:22" ht="15.75" customHeight="1" x14ac:dyDescent="0.25">
      <c r="G457" s="141"/>
      <c r="H457" s="141"/>
      <c r="I457" s="141"/>
      <c r="V457" s="141"/>
    </row>
    <row r="458" spans="7:22" ht="15.75" customHeight="1" x14ac:dyDescent="0.25">
      <c r="G458" s="141"/>
      <c r="H458" s="141"/>
      <c r="I458" s="141"/>
      <c r="V458" s="141"/>
    </row>
    <row r="459" spans="7:22" ht="15.75" customHeight="1" x14ac:dyDescent="0.25">
      <c r="G459" s="141"/>
      <c r="H459" s="141"/>
      <c r="I459" s="141"/>
      <c r="V459" s="141"/>
    </row>
    <row r="460" spans="7:22" ht="15.75" customHeight="1" x14ac:dyDescent="0.25">
      <c r="G460" s="141"/>
      <c r="H460" s="141"/>
      <c r="I460" s="141"/>
      <c r="V460" s="141"/>
    </row>
    <row r="461" spans="7:22" ht="15.75" customHeight="1" x14ac:dyDescent="0.25">
      <c r="G461" s="141"/>
      <c r="H461" s="141"/>
      <c r="I461" s="141"/>
      <c r="V461" s="141"/>
    </row>
    <row r="462" spans="7:22" ht="15.75" customHeight="1" x14ac:dyDescent="0.25">
      <c r="G462" s="141"/>
      <c r="H462" s="141"/>
      <c r="I462" s="141"/>
      <c r="V462" s="141"/>
    </row>
    <row r="463" spans="7:22" ht="15.75" customHeight="1" x14ac:dyDescent="0.25">
      <c r="G463" s="141"/>
      <c r="H463" s="141"/>
      <c r="I463" s="141"/>
      <c r="V463" s="141"/>
    </row>
    <row r="464" spans="7:22" ht="15.75" customHeight="1" x14ac:dyDescent="0.25">
      <c r="G464" s="141"/>
      <c r="H464" s="141"/>
      <c r="I464" s="141"/>
      <c r="V464" s="141"/>
    </row>
    <row r="465" spans="7:22" ht="15.75" customHeight="1" x14ac:dyDescent="0.25">
      <c r="G465" s="141"/>
      <c r="H465" s="141"/>
      <c r="I465" s="141"/>
      <c r="V465" s="141"/>
    </row>
    <row r="466" spans="7:22" ht="15.75" customHeight="1" x14ac:dyDescent="0.25">
      <c r="G466" s="141"/>
      <c r="H466" s="141"/>
      <c r="I466" s="141"/>
      <c r="V466" s="141"/>
    </row>
    <row r="467" spans="7:22" ht="15.75" customHeight="1" x14ac:dyDescent="0.25">
      <c r="G467" s="141"/>
      <c r="H467" s="141"/>
      <c r="I467" s="141"/>
      <c r="V467" s="141"/>
    </row>
    <row r="468" spans="7:22" ht="15.75" customHeight="1" x14ac:dyDescent="0.25">
      <c r="G468" s="141"/>
      <c r="H468" s="141"/>
      <c r="I468" s="141"/>
      <c r="V468" s="141"/>
    </row>
    <row r="469" spans="7:22" ht="15.75" customHeight="1" x14ac:dyDescent="0.25">
      <c r="G469" s="141"/>
      <c r="H469" s="141"/>
      <c r="I469" s="141"/>
      <c r="V469" s="141"/>
    </row>
    <row r="470" spans="7:22" ht="15.75" customHeight="1" x14ac:dyDescent="0.25">
      <c r="G470" s="141"/>
      <c r="H470" s="141"/>
      <c r="I470" s="141"/>
      <c r="V470" s="141"/>
    </row>
    <row r="471" spans="7:22" ht="15.75" customHeight="1" x14ac:dyDescent="0.25">
      <c r="G471" s="141"/>
      <c r="H471" s="141"/>
      <c r="I471" s="141"/>
      <c r="V471" s="141"/>
    </row>
    <row r="472" spans="7:22" ht="15.75" customHeight="1" x14ac:dyDescent="0.25">
      <c r="G472" s="141"/>
      <c r="H472" s="141"/>
      <c r="I472" s="141"/>
      <c r="V472" s="141"/>
    </row>
    <row r="473" spans="7:22" ht="15.75" customHeight="1" x14ac:dyDescent="0.25">
      <c r="G473" s="141"/>
      <c r="H473" s="141"/>
      <c r="I473" s="141"/>
      <c r="V473" s="141"/>
    </row>
    <row r="474" spans="7:22" ht="15.75" customHeight="1" x14ac:dyDescent="0.25">
      <c r="G474" s="141"/>
      <c r="H474" s="141"/>
      <c r="I474" s="141"/>
      <c r="V474" s="141"/>
    </row>
    <row r="475" spans="7:22" ht="15.75" customHeight="1" x14ac:dyDescent="0.25">
      <c r="G475" s="141"/>
      <c r="H475" s="141"/>
      <c r="I475" s="141"/>
      <c r="V475" s="141"/>
    </row>
    <row r="476" spans="7:22" ht="15.75" customHeight="1" x14ac:dyDescent="0.25">
      <c r="G476" s="141"/>
      <c r="H476" s="141"/>
      <c r="I476" s="141"/>
      <c r="V476" s="141"/>
    </row>
    <row r="477" spans="7:22" ht="15.75" customHeight="1" x14ac:dyDescent="0.25">
      <c r="G477" s="141"/>
      <c r="H477" s="141"/>
      <c r="I477" s="141"/>
      <c r="V477" s="141"/>
    </row>
    <row r="478" spans="7:22" ht="15.75" customHeight="1" x14ac:dyDescent="0.25">
      <c r="G478" s="141"/>
      <c r="H478" s="141"/>
      <c r="I478" s="141"/>
      <c r="V478" s="141"/>
    </row>
    <row r="479" spans="7:22" ht="15.75" customHeight="1" x14ac:dyDescent="0.25">
      <c r="G479" s="141"/>
      <c r="H479" s="141"/>
      <c r="I479" s="141"/>
      <c r="V479" s="141"/>
    </row>
    <row r="480" spans="7:22" ht="15.75" customHeight="1" x14ac:dyDescent="0.25">
      <c r="G480" s="141"/>
      <c r="H480" s="141"/>
      <c r="I480" s="141"/>
      <c r="V480" s="141"/>
    </row>
    <row r="481" spans="7:22" ht="15.75" customHeight="1" x14ac:dyDescent="0.25">
      <c r="G481" s="141"/>
      <c r="H481" s="141"/>
      <c r="I481" s="141"/>
      <c r="V481" s="141"/>
    </row>
    <row r="482" spans="7:22" ht="15.75" customHeight="1" x14ac:dyDescent="0.25">
      <c r="G482" s="141"/>
      <c r="H482" s="141"/>
      <c r="I482" s="141"/>
      <c r="V482" s="141"/>
    </row>
    <row r="483" spans="7:22" ht="15.75" customHeight="1" x14ac:dyDescent="0.25">
      <c r="G483" s="141"/>
      <c r="H483" s="141"/>
      <c r="I483" s="141"/>
      <c r="V483" s="141"/>
    </row>
    <row r="484" spans="7:22" ht="15.75" customHeight="1" x14ac:dyDescent="0.25">
      <c r="G484" s="141"/>
      <c r="H484" s="141"/>
      <c r="I484" s="141"/>
      <c r="V484" s="141"/>
    </row>
    <row r="485" spans="7:22" ht="15.75" customHeight="1" x14ac:dyDescent="0.25">
      <c r="G485" s="141"/>
      <c r="H485" s="141"/>
      <c r="I485" s="141"/>
      <c r="V485" s="141"/>
    </row>
    <row r="486" spans="7:22" ht="15.75" customHeight="1" x14ac:dyDescent="0.25">
      <c r="G486" s="141"/>
      <c r="H486" s="141"/>
      <c r="I486" s="141"/>
      <c r="V486" s="141"/>
    </row>
    <row r="487" spans="7:22" ht="15.75" customHeight="1" x14ac:dyDescent="0.25">
      <c r="G487" s="141"/>
      <c r="H487" s="141"/>
      <c r="I487" s="141"/>
      <c r="V487" s="141"/>
    </row>
    <row r="488" spans="7:22" ht="15.75" customHeight="1" x14ac:dyDescent="0.25">
      <c r="G488" s="141"/>
      <c r="H488" s="141"/>
      <c r="I488" s="141"/>
      <c r="V488" s="141"/>
    </row>
    <row r="489" spans="7:22" ht="15.75" customHeight="1" x14ac:dyDescent="0.25">
      <c r="G489" s="141"/>
      <c r="H489" s="141"/>
      <c r="I489" s="141"/>
      <c r="V489" s="141"/>
    </row>
    <row r="490" spans="7:22" ht="15.75" customHeight="1" x14ac:dyDescent="0.25">
      <c r="G490" s="141"/>
      <c r="H490" s="141"/>
      <c r="I490" s="141"/>
      <c r="V490" s="141"/>
    </row>
    <row r="491" spans="7:22" ht="15.75" customHeight="1" x14ac:dyDescent="0.25">
      <c r="G491" s="141"/>
      <c r="H491" s="141"/>
      <c r="I491" s="141"/>
      <c r="V491" s="141"/>
    </row>
    <row r="492" spans="7:22" ht="15.75" customHeight="1" x14ac:dyDescent="0.25">
      <c r="G492" s="141"/>
      <c r="H492" s="141"/>
      <c r="I492" s="141"/>
      <c r="V492" s="141"/>
    </row>
    <row r="493" spans="7:22" ht="15.75" customHeight="1" x14ac:dyDescent="0.25">
      <c r="G493" s="141"/>
      <c r="H493" s="141"/>
      <c r="I493" s="141"/>
      <c r="V493" s="141"/>
    </row>
    <row r="494" spans="7:22" ht="15.75" customHeight="1" x14ac:dyDescent="0.25">
      <c r="G494" s="141"/>
      <c r="H494" s="141"/>
      <c r="I494" s="141"/>
      <c r="V494" s="141"/>
    </row>
    <row r="495" spans="7:22" ht="15.75" customHeight="1" x14ac:dyDescent="0.25">
      <c r="G495" s="141"/>
      <c r="H495" s="141"/>
      <c r="I495" s="141"/>
      <c r="V495" s="141"/>
    </row>
    <row r="496" spans="7:22" ht="15.75" customHeight="1" x14ac:dyDescent="0.25">
      <c r="G496" s="141"/>
      <c r="H496" s="141"/>
      <c r="I496" s="141"/>
      <c r="V496" s="141"/>
    </row>
    <row r="497" spans="7:22" ht="15.75" customHeight="1" x14ac:dyDescent="0.25">
      <c r="G497" s="141"/>
      <c r="H497" s="141"/>
      <c r="I497" s="141"/>
      <c r="V497" s="141"/>
    </row>
    <row r="498" spans="7:22" ht="15.75" customHeight="1" x14ac:dyDescent="0.25">
      <c r="G498" s="141"/>
      <c r="H498" s="141"/>
      <c r="I498" s="141"/>
      <c r="V498" s="141"/>
    </row>
    <row r="499" spans="7:22" ht="15.75" customHeight="1" x14ac:dyDescent="0.25">
      <c r="G499" s="141"/>
      <c r="H499" s="141"/>
      <c r="I499" s="141"/>
      <c r="V499" s="141"/>
    </row>
    <row r="500" spans="7:22" ht="15.75" customHeight="1" x14ac:dyDescent="0.25">
      <c r="G500" s="141"/>
      <c r="H500" s="141"/>
      <c r="I500" s="141"/>
      <c r="V500" s="141"/>
    </row>
    <row r="501" spans="7:22" ht="15.75" customHeight="1" x14ac:dyDescent="0.25">
      <c r="G501" s="141"/>
      <c r="H501" s="141"/>
      <c r="I501" s="141"/>
      <c r="V501" s="141"/>
    </row>
    <row r="502" spans="7:22" ht="15.75" customHeight="1" x14ac:dyDescent="0.25">
      <c r="G502" s="141"/>
      <c r="H502" s="141"/>
      <c r="I502" s="141"/>
      <c r="V502" s="141"/>
    </row>
    <row r="503" spans="7:22" ht="15.75" customHeight="1" x14ac:dyDescent="0.25">
      <c r="G503" s="141"/>
      <c r="H503" s="141"/>
      <c r="I503" s="141"/>
      <c r="V503" s="141"/>
    </row>
    <row r="504" spans="7:22" ht="15.75" customHeight="1" x14ac:dyDescent="0.25">
      <c r="G504" s="141"/>
      <c r="H504" s="141"/>
      <c r="I504" s="141"/>
      <c r="V504" s="141"/>
    </row>
    <row r="505" spans="7:22" ht="15.75" customHeight="1" x14ac:dyDescent="0.25">
      <c r="G505" s="141"/>
      <c r="H505" s="141"/>
      <c r="I505" s="141"/>
      <c r="V505" s="141"/>
    </row>
    <row r="506" spans="7:22" ht="15.75" customHeight="1" x14ac:dyDescent="0.25">
      <c r="G506" s="141"/>
      <c r="H506" s="141"/>
      <c r="I506" s="141"/>
      <c r="V506" s="141"/>
    </row>
    <row r="507" spans="7:22" ht="15.75" customHeight="1" x14ac:dyDescent="0.25">
      <c r="G507" s="141"/>
      <c r="H507" s="141"/>
      <c r="I507" s="141"/>
      <c r="V507" s="141"/>
    </row>
    <row r="508" spans="7:22" ht="15.75" customHeight="1" x14ac:dyDescent="0.25">
      <c r="G508" s="141"/>
      <c r="H508" s="141"/>
      <c r="I508" s="141"/>
      <c r="V508" s="141"/>
    </row>
    <row r="509" spans="7:22" ht="15.75" customHeight="1" x14ac:dyDescent="0.25">
      <c r="G509" s="141"/>
      <c r="H509" s="141"/>
      <c r="I509" s="141"/>
      <c r="V509" s="141"/>
    </row>
    <row r="510" spans="7:22" ht="15.75" customHeight="1" x14ac:dyDescent="0.25">
      <c r="G510" s="141"/>
      <c r="H510" s="141"/>
      <c r="I510" s="141"/>
      <c r="V510" s="141"/>
    </row>
    <row r="511" spans="7:22" ht="15.75" customHeight="1" x14ac:dyDescent="0.25">
      <c r="G511" s="141"/>
      <c r="H511" s="141"/>
      <c r="I511" s="141"/>
      <c r="V511" s="141"/>
    </row>
    <row r="512" spans="7:22" ht="15.75" customHeight="1" x14ac:dyDescent="0.25">
      <c r="G512" s="141"/>
      <c r="H512" s="141"/>
      <c r="I512" s="141"/>
      <c r="V512" s="141"/>
    </row>
    <row r="513" spans="7:22" ht="15.75" customHeight="1" x14ac:dyDescent="0.25">
      <c r="G513" s="141"/>
      <c r="H513" s="141"/>
      <c r="I513" s="141"/>
      <c r="V513" s="141"/>
    </row>
    <row r="514" spans="7:22" ht="15.75" customHeight="1" x14ac:dyDescent="0.25">
      <c r="G514" s="141"/>
      <c r="H514" s="141"/>
      <c r="I514" s="141"/>
      <c r="V514" s="141"/>
    </row>
    <row r="515" spans="7:22" ht="15.75" customHeight="1" x14ac:dyDescent="0.25">
      <c r="G515" s="141"/>
      <c r="H515" s="141"/>
      <c r="I515" s="141"/>
      <c r="V515" s="141"/>
    </row>
    <row r="516" spans="7:22" ht="15.75" customHeight="1" x14ac:dyDescent="0.25">
      <c r="G516" s="141"/>
      <c r="H516" s="141"/>
      <c r="I516" s="141"/>
      <c r="V516" s="141"/>
    </row>
    <row r="517" spans="7:22" ht="15.75" customHeight="1" x14ac:dyDescent="0.25">
      <c r="G517" s="141"/>
      <c r="H517" s="141"/>
      <c r="I517" s="141"/>
      <c r="V517" s="141"/>
    </row>
    <row r="518" spans="7:22" ht="15.75" customHeight="1" x14ac:dyDescent="0.25">
      <c r="G518" s="141"/>
      <c r="H518" s="141"/>
      <c r="I518" s="141"/>
      <c r="V518" s="141"/>
    </row>
    <row r="519" spans="7:22" ht="15.75" customHeight="1" x14ac:dyDescent="0.25">
      <c r="G519" s="141"/>
      <c r="H519" s="141"/>
      <c r="I519" s="141"/>
      <c r="V519" s="141"/>
    </row>
    <row r="520" spans="7:22" ht="15.75" customHeight="1" x14ac:dyDescent="0.25">
      <c r="G520" s="141"/>
      <c r="H520" s="141"/>
      <c r="I520" s="141"/>
      <c r="V520" s="141"/>
    </row>
    <row r="521" spans="7:22" ht="15.75" customHeight="1" x14ac:dyDescent="0.25">
      <c r="G521" s="141"/>
      <c r="H521" s="141"/>
      <c r="I521" s="141"/>
      <c r="V521" s="141"/>
    </row>
    <row r="522" spans="7:22" ht="15.75" customHeight="1" x14ac:dyDescent="0.25">
      <c r="G522" s="141"/>
      <c r="H522" s="141"/>
      <c r="I522" s="141"/>
      <c r="V522" s="141"/>
    </row>
    <row r="523" spans="7:22" ht="15.75" customHeight="1" x14ac:dyDescent="0.25">
      <c r="G523" s="141"/>
      <c r="H523" s="141"/>
      <c r="I523" s="141"/>
      <c r="V523" s="141"/>
    </row>
    <row r="524" spans="7:22" ht="15.75" customHeight="1" x14ac:dyDescent="0.25">
      <c r="G524" s="141"/>
      <c r="H524" s="141"/>
      <c r="I524" s="141"/>
      <c r="V524" s="141"/>
    </row>
    <row r="525" spans="7:22" ht="15.75" customHeight="1" x14ac:dyDescent="0.25">
      <c r="G525" s="141"/>
      <c r="H525" s="141"/>
      <c r="I525" s="141"/>
      <c r="V525" s="141"/>
    </row>
    <row r="526" spans="7:22" ht="15.75" customHeight="1" x14ac:dyDescent="0.25">
      <c r="G526" s="141"/>
      <c r="H526" s="141"/>
      <c r="I526" s="141"/>
      <c r="V526" s="141"/>
    </row>
    <row r="527" spans="7:22" ht="15.75" customHeight="1" x14ac:dyDescent="0.25">
      <c r="G527" s="141"/>
      <c r="H527" s="141"/>
      <c r="I527" s="141"/>
      <c r="V527" s="141"/>
    </row>
    <row r="528" spans="7:22" ht="15.75" customHeight="1" x14ac:dyDescent="0.25">
      <c r="G528" s="141"/>
      <c r="H528" s="141"/>
      <c r="I528" s="141"/>
      <c r="V528" s="141"/>
    </row>
    <row r="529" spans="7:22" ht="15.75" customHeight="1" x14ac:dyDescent="0.25">
      <c r="G529" s="141"/>
      <c r="H529" s="141"/>
      <c r="I529" s="141"/>
      <c r="V529" s="141"/>
    </row>
    <row r="530" spans="7:22" ht="15.75" customHeight="1" x14ac:dyDescent="0.25">
      <c r="G530" s="141"/>
      <c r="H530" s="141"/>
      <c r="I530" s="141"/>
      <c r="V530" s="141"/>
    </row>
    <row r="531" spans="7:22" ht="15.75" customHeight="1" x14ac:dyDescent="0.25">
      <c r="G531" s="141"/>
      <c r="H531" s="141"/>
      <c r="I531" s="141"/>
      <c r="V531" s="141"/>
    </row>
    <row r="532" spans="7:22" ht="15.75" customHeight="1" x14ac:dyDescent="0.25">
      <c r="G532" s="141"/>
      <c r="H532" s="141"/>
      <c r="I532" s="141"/>
      <c r="V532" s="141"/>
    </row>
    <row r="533" spans="7:22" ht="15.75" customHeight="1" x14ac:dyDescent="0.25">
      <c r="G533" s="141"/>
      <c r="H533" s="141"/>
      <c r="I533" s="141"/>
      <c r="V533" s="141"/>
    </row>
    <row r="534" spans="7:22" ht="15.75" customHeight="1" x14ac:dyDescent="0.25">
      <c r="G534" s="141"/>
      <c r="H534" s="141"/>
      <c r="I534" s="141"/>
      <c r="V534" s="141"/>
    </row>
    <row r="535" spans="7:22" ht="15.75" customHeight="1" x14ac:dyDescent="0.25">
      <c r="G535" s="141"/>
      <c r="H535" s="141"/>
      <c r="I535" s="141"/>
      <c r="V535" s="141"/>
    </row>
    <row r="536" spans="7:22" ht="15.75" customHeight="1" x14ac:dyDescent="0.25">
      <c r="G536" s="141"/>
      <c r="H536" s="141"/>
      <c r="I536" s="141"/>
      <c r="V536" s="141"/>
    </row>
    <row r="537" spans="7:22" ht="15.75" customHeight="1" x14ac:dyDescent="0.25">
      <c r="G537" s="141"/>
      <c r="H537" s="141"/>
      <c r="I537" s="141"/>
      <c r="V537" s="141"/>
    </row>
    <row r="538" spans="7:22" ht="15.75" customHeight="1" x14ac:dyDescent="0.25">
      <c r="G538" s="141"/>
      <c r="H538" s="141"/>
      <c r="I538" s="141"/>
      <c r="V538" s="141"/>
    </row>
    <row r="539" spans="7:22" ht="15.75" customHeight="1" x14ac:dyDescent="0.25">
      <c r="G539" s="141"/>
      <c r="H539" s="141"/>
      <c r="I539" s="141"/>
      <c r="V539" s="141"/>
    </row>
    <row r="540" spans="7:22" ht="15.75" customHeight="1" x14ac:dyDescent="0.25">
      <c r="G540" s="141"/>
      <c r="H540" s="141"/>
      <c r="I540" s="141"/>
      <c r="V540" s="141"/>
    </row>
    <row r="541" spans="7:22" ht="15.75" customHeight="1" x14ac:dyDescent="0.25">
      <c r="G541" s="141"/>
      <c r="H541" s="141"/>
      <c r="I541" s="141"/>
      <c r="V541" s="141"/>
    </row>
    <row r="542" spans="7:22" ht="15.75" customHeight="1" x14ac:dyDescent="0.25">
      <c r="G542" s="141"/>
      <c r="H542" s="141"/>
      <c r="I542" s="141"/>
      <c r="V542" s="141"/>
    </row>
    <row r="543" spans="7:22" ht="15.75" customHeight="1" x14ac:dyDescent="0.25">
      <c r="G543" s="141"/>
      <c r="H543" s="141"/>
      <c r="I543" s="141"/>
      <c r="V543" s="141"/>
    </row>
    <row r="544" spans="7:22" ht="15.75" customHeight="1" x14ac:dyDescent="0.25">
      <c r="G544" s="141"/>
      <c r="H544" s="141"/>
      <c r="I544" s="141"/>
      <c r="V544" s="141"/>
    </row>
    <row r="545" spans="7:22" ht="15.75" customHeight="1" x14ac:dyDescent="0.25">
      <c r="G545" s="141"/>
      <c r="H545" s="141"/>
      <c r="I545" s="141"/>
      <c r="V545" s="141"/>
    </row>
    <row r="546" spans="7:22" ht="15.75" customHeight="1" x14ac:dyDescent="0.25">
      <c r="G546" s="141"/>
      <c r="H546" s="141"/>
      <c r="I546" s="141"/>
      <c r="V546" s="141"/>
    </row>
    <row r="547" spans="7:22" ht="15.75" customHeight="1" x14ac:dyDescent="0.25">
      <c r="G547" s="141"/>
      <c r="H547" s="141"/>
      <c r="I547" s="141"/>
      <c r="V547" s="141"/>
    </row>
    <row r="548" spans="7:22" ht="15.75" customHeight="1" x14ac:dyDescent="0.25">
      <c r="G548" s="141"/>
      <c r="H548" s="141"/>
      <c r="I548" s="141"/>
      <c r="V548" s="141"/>
    </row>
    <row r="549" spans="7:22" ht="15.75" customHeight="1" x14ac:dyDescent="0.25">
      <c r="G549" s="141"/>
      <c r="H549" s="141"/>
      <c r="I549" s="141"/>
      <c r="V549" s="141"/>
    </row>
    <row r="550" spans="7:22" ht="15.75" customHeight="1" x14ac:dyDescent="0.25">
      <c r="G550" s="141"/>
      <c r="H550" s="141"/>
      <c r="I550" s="141"/>
      <c r="V550" s="141"/>
    </row>
    <row r="551" spans="7:22" ht="15.75" customHeight="1" x14ac:dyDescent="0.25">
      <c r="G551" s="141"/>
      <c r="H551" s="141"/>
      <c r="I551" s="141"/>
      <c r="V551" s="141"/>
    </row>
    <row r="552" spans="7:22" ht="15.75" customHeight="1" x14ac:dyDescent="0.25">
      <c r="G552" s="141"/>
      <c r="H552" s="141"/>
      <c r="I552" s="141"/>
      <c r="V552" s="141"/>
    </row>
    <row r="553" spans="7:22" ht="15.75" customHeight="1" x14ac:dyDescent="0.25">
      <c r="G553" s="141"/>
      <c r="H553" s="141"/>
      <c r="I553" s="141"/>
      <c r="V553" s="141"/>
    </row>
    <row r="554" spans="7:22" ht="15.75" customHeight="1" x14ac:dyDescent="0.25">
      <c r="G554" s="141"/>
      <c r="H554" s="141"/>
      <c r="I554" s="141"/>
      <c r="V554" s="141"/>
    </row>
    <row r="555" spans="7:22" ht="15.75" customHeight="1" x14ac:dyDescent="0.25">
      <c r="G555" s="141"/>
      <c r="H555" s="141"/>
      <c r="I555" s="141"/>
      <c r="V555" s="141"/>
    </row>
    <row r="556" spans="7:22" ht="15.75" customHeight="1" x14ac:dyDescent="0.25">
      <c r="G556" s="141"/>
      <c r="H556" s="141"/>
      <c r="I556" s="141"/>
      <c r="V556" s="141"/>
    </row>
    <row r="557" spans="7:22" ht="15.75" customHeight="1" x14ac:dyDescent="0.25">
      <c r="G557" s="141"/>
      <c r="H557" s="141"/>
      <c r="I557" s="141"/>
      <c r="V557" s="141"/>
    </row>
    <row r="558" spans="7:22" ht="15.75" customHeight="1" x14ac:dyDescent="0.25">
      <c r="G558" s="141"/>
      <c r="H558" s="141"/>
      <c r="I558" s="141"/>
      <c r="V558" s="141"/>
    </row>
    <row r="559" spans="7:22" ht="15.75" customHeight="1" x14ac:dyDescent="0.25">
      <c r="G559" s="141"/>
      <c r="H559" s="141"/>
      <c r="I559" s="141"/>
      <c r="V559" s="141"/>
    </row>
    <row r="560" spans="7:22" ht="15.75" customHeight="1" x14ac:dyDescent="0.25">
      <c r="G560" s="141"/>
      <c r="H560" s="141"/>
      <c r="I560" s="141"/>
      <c r="V560" s="141"/>
    </row>
    <row r="561" spans="7:22" ht="15.75" customHeight="1" x14ac:dyDescent="0.25">
      <c r="G561" s="141"/>
      <c r="H561" s="141"/>
      <c r="I561" s="141"/>
      <c r="V561" s="141"/>
    </row>
    <row r="562" spans="7:22" ht="15.75" customHeight="1" x14ac:dyDescent="0.25">
      <c r="G562" s="141"/>
      <c r="H562" s="141"/>
      <c r="I562" s="141"/>
      <c r="V562" s="141"/>
    </row>
    <row r="563" spans="7:22" ht="15.75" customHeight="1" x14ac:dyDescent="0.25">
      <c r="G563" s="141"/>
      <c r="H563" s="141"/>
      <c r="I563" s="141"/>
      <c r="V563" s="141"/>
    </row>
    <row r="564" spans="7:22" ht="15.75" customHeight="1" x14ac:dyDescent="0.25">
      <c r="G564" s="141"/>
      <c r="H564" s="141"/>
      <c r="I564" s="141"/>
      <c r="V564" s="141"/>
    </row>
    <row r="565" spans="7:22" ht="15.75" customHeight="1" x14ac:dyDescent="0.25">
      <c r="G565" s="141"/>
      <c r="H565" s="141"/>
      <c r="I565" s="141"/>
      <c r="V565" s="141"/>
    </row>
    <row r="566" spans="7:22" ht="15.75" customHeight="1" x14ac:dyDescent="0.25">
      <c r="G566" s="141"/>
      <c r="H566" s="141"/>
      <c r="I566" s="141"/>
      <c r="V566" s="141"/>
    </row>
    <row r="567" spans="7:22" ht="15.75" customHeight="1" x14ac:dyDescent="0.25">
      <c r="G567" s="141"/>
      <c r="H567" s="141"/>
      <c r="I567" s="141"/>
      <c r="V567" s="141"/>
    </row>
    <row r="568" spans="7:22" ht="15.75" customHeight="1" x14ac:dyDescent="0.25">
      <c r="G568" s="141"/>
      <c r="H568" s="141"/>
      <c r="I568" s="141"/>
      <c r="V568" s="141"/>
    </row>
    <row r="569" spans="7:22" ht="15.75" customHeight="1" x14ac:dyDescent="0.25">
      <c r="G569" s="141"/>
      <c r="H569" s="141"/>
      <c r="I569" s="141"/>
      <c r="V569" s="141"/>
    </row>
    <row r="570" spans="7:22" ht="15.75" customHeight="1" x14ac:dyDescent="0.25">
      <c r="G570" s="141"/>
      <c r="H570" s="141"/>
      <c r="I570" s="141"/>
      <c r="V570" s="141"/>
    </row>
    <row r="571" spans="7:22" ht="15.75" customHeight="1" x14ac:dyDescent="0.25">
      <c r="G571" s="141"/>
      <c r="H571" s="141"/>
      <c r="I571" s="141"/>
      <c r="V571" s="141"/>
    </row>
    <row r="572" spans="7:22" ht="15.75" customHeight="1" x14ac:dyDescent="0.25">
      <c r="G572" s="141"/>
      <c r="H572" s="141"/>
      <c r="I572" s="141"/>
      <c r="V572" s="141"/>
    </row>
    <row r="573" spans="7:22" ht="15.75" customHeight="1" x14ac:dyDescent="0.25">
      <c r="G573" s="141"/>
      <c r="H573" s="141"/>
      <c r="I573" s="141"/>
      <c r="V573" s="141"/>
    </row>
    <row r="574" spans="7:22" ht="15.75" customHeight="1" x14ac:dyDescent="0.25">
      <c r="G574" s="141"/>
      <c r="H574" s="141"/>
      <c r="I574" s="141"/>
      <c r="V574" s="141"/>
    </row>
    <row r="575" spans="7:22" ht="15.75" customHeight="1" x14ac:dyDescent="0.25">
      <c r="G575" s="141"/>
      <c r="H575" s="141"/>
      <c r="I575" s="141"/>
      <c r="V575" s="141"/>
    </row>
    <row r="576" spans="7:22" ht="15.75" customHeight="1" x14ac:dyDescent="0.25">
      <c r="G576" s="141"/>
      <c r="H576" s="141"/>
      <c r="I576" s="141"/>
      <c r="V576" s="141"/>
    </row>
    <row r="577" spans="7:22" ht="15.75" customHeight="1" x14ac:dyDescent="0.25">
      <c r="G577" s="141"/>
      <c r="H577" s="141"/>
      <c r="I577" s="141"/>
      <c r="V577" s="141"/>
    </row>
    <row r="578" spans="7:22" ht="15.75" customHeight="1" x14ac:dyDescent="0.25">
      <c r="G578" s="141"/>
      <c r="H578" s="141"/>
      <c r="I578" s="141"/>
      <c r="V578" s="141"/>
    </row>
    <row r="579" spans="7:22" ht="15.75" customHeight="1" x14ac:dyDescent="0.25">
      <c r="G579" s="141"/>
      <c r="H579" s="141"/>
      <c r="I579" s="141"/>
      <c r="V579" s="141"/>
    </row>
    <row r="580" spans="7:22" ht="15.75" customHeight="1" x14ac:dyDescent="0.25">
      <c r="G580" s="141"/>
      <c r="H580" s="141"/>
      <c r="I580" s="141"/>
      <c r="V580" s="141"/>
    </row>
    <row r="581" spans="7:22" ht="15.75" customHeight="1" x14ac:dyDescent="0.25">
      <c r="G581" s="141"/>
      <c r="H581" s="141"/>
      <c r="I581" s="141"/>
      <c r="V581" s="141"/>
    </row>
    <row r="582" spans="7:22" ht="15.75" customHeight="1" x14ac:dyDescent="0.25">
      <c r="G582" s="141"/>
      <c r="H582" s="141"/>
      <c r="I582" s="141"/>
      <c r="V582" s="141"/>
    </row>
    <row r="583" spans="7:22" ht="15.75" customHeight="1" x14ac:dyDescent="0.25">
      <c r="G583" s="141"/>
      <c r="H583" s="141"/>
      <c r="I583" s="141"/>
      <c r="V583" s="141"/>
    </row>
    <row r="584" spans="7:22" ht="15.75" customHeight="1" x14ac:dyDescent="0.25">
      <c r="G584" s="141"/>
      <c r="H584" s="141"/>
      <c r="I584" s="141"/>
      <c r="V584" s="141"/>
    </row>
    <row r="585" spans="7:22" ht="15.75" customHeight="1" x14ac:dyDescent="0.25">
      <c r="G585" s="141"/>
      <c r="H585" s="141"/>
      <c r="I585" s="141"/>
      <c r="V585" s="141"/>
    </row>
    <row r="586" spans="7:22" ht="15.75" customHeight="1" x14ac:dyDescent="0.25">
      <c r="G586" s="141"/>
      <c r="H586" s="141"/>
      <c r="I586" s="141"/>
      <c r="V586" s="141"/>
    </row>
    <row r="587" spans="7:22" ht="15.75" customHeight="1" x14ac:dyDescent="0.25">
      <c r="G587" s="141"/>
      <c r="H587" s="141"/>
      <c r="I587" s="141"/>
      <c r="V587" s="141"/>
    </row>
    <row r="588" spans="7:22" ht="15.75" customHeight="1" x14ac:dyDescent="0.25">
      <c r="G588" s="141"/>
      <c r="H588" s="141"/>
      <c r="I588" s="141"/>
      <c r="V588" s="141"/>
    </row>
    <row r="589" spans="7:22" ht="15.75" customHeight="1" x14ac:dyDescent="0.25">
      <c r="G589" s="141"/>
      <c r="H589" s="141"/>
      <c r="I589" s="141"/>
      <c r="V589" s="141"/>
    </row>
    <row r="590" spans="7:22" ht="15.75" customHeight="1" x14ac:dyDescent="0.25">
      <c r="G590" s="141"/>
      <c r="H590" s="141"/>
      <c r="I590" s="141"/>
      <c r="V590" s="141"/>
    </row>
    <row r="591" spans="7:22" ht="15.75" customHeight="1" x14ac:dyDescent="0.25">
      <c r="G591" s="141"/>
      <c r="H591" s="141"/>
      <c r="I591" s="141"/>
      <c r="V591" s="141"/>
    </row>
    <row r="592" spans="7:22" ht="15.75" customHeight="1" x14ac:dyDescent="0.25">
      <c r="G592" s="141"/>
      <c r="H592" s="141"/>
      <c r="I592" s="141"/>
      <c r="V592" s="141"/>
    </row>
    <row r="593" spans="7:22" ht="15.75" customHeight="1" x14ac:dyDescent="0.25">
      <c r="G593" s="141"/>
      <c r="H593" s="141"/>
      <c r="I593" s="141"/>
      <c r="V593" s="141"/>
    </row>
    <row r="594" spans="7:22" ht="15.75" customHeight="1" x14ac:dyDescent="0.25">
      <c r="G594" s="141"/>
      <c r="H594" s="141"/>
      <c r="I594" s="141"/>
      <c r="V594" s="141"/>
    </row>
    <row r="595" spans="7:22" ht="15.75" customHeight="1" x14ac:dyDescent="0.25">
      <c r="G595" s="141"/>
      <c r="H595" s="141"/>
      <c r="I595" s="141"/>
      <c r="V595" s="141"/>
    </row>
    <row r="596" spans="7:22" ht="15.75" customHeight="1" x14ac:dyDescent="0.25">
      <c r="G596" s="141"/>
      <c r="H596" s="141"/>
      <c r="I596" s="141"/>
      <c r="V596" s="141"/>
    </row>
    <row r="597" spans="7:22" ht="15.75" customHeight="1" x14ac:dyDescent="0.25">
      <c r="G597" s="141"/>
      <c r="H597" s="141"/>
      <c r="I597" s="141"/>
      <c r="V597" s="141"/>
    </row>
    <row r="598" spans="7:22" ht="15.75" customHeight="1" x14ac:dyDescent="0.25">
      <c r="G598" s="141"/>
      <c r="H598" s="141"/>
      <c r="I598" s="141"/>
      <c r="V598" s="141"/>
    </row>
    <row r="599" spans="7:22" ht="15.75" customHeight="1" x14ac:dyDescent="0.25">
      <c r="G599" s="141"/>
      <c r="H599" s="141"/>
      <c r="I599" s="141"/>
      <c r="V599" s="141"/>
    </row>
    <row r="600" spans="7:22" ht="15.75" customHeight="1" x14ac:dyDescent="0.25">
      <c r="G600" s="141"/>
      <c r="H600" s="141"/>
      <c r="I600" s="141"/>
      <c r="V600" s="141"/>
    </row>
    <row r="601" spans="7:22" ht="15.75" customHeight="1" x14ac:dyDescent="0.25">
      <c r="G601" s="141"/>
      <c r="H601" s="141"/>
      <c r="I601" s="141"/>
      <c r="V601" s="141"/>
    </row>
    <row r="602" spans="7:22" ht="15.75" customHeight="1" x14ac:dyDescent="0.25">
      <c r="G602" s="141"/>
      <c r="H602" s="141"/>
      <c r="I602" s="141"/>
      <c r="V602" s="141"/>
    </row>
    <row r="603" spans="7:22" ht="15.75" customHeight="1" x14ac:dyDescent="0.25">
      <c r="G603" s="141"/>
      <c r="H603" s="141"/>
      <c r="I603" s="141"/>
      <c r="V603" s="141"/>
    </row>
    <row r="604" spans="7:22" ht="15.75" customHeight="1" x14ac:dyDescent="0.25">
      <c r="G604" s="141"/>
      <c r="H604" s="141"/>
      <c r="I604" s="141"/>
      <c r="V604" s="141"/>
    </row>
    <row r="605" spans="7:22" ht="15.75" customHeight="1" x14ac:dyDescent="0.25">
      <c r="G605" s="141"/>
      <c r="H605" s="141"/>
      <c r="I605" s="141"/>
      <c r="V605" s="141"/>
    </row>
    <row r="606" spans="7:22" ht="15.75" customHeight="1" x14ac:dyDescent="0.25">
      <c r="G606" s="141"/>
      <c r="H606" s="141"/>
      <c r="I606" s="141"/>
      <c r="V606" s="141"/>
    </row>
    <row r="607" spans="7:22" ht="15.75" customHeight="1" x14ac:dyDescent="0.25">
      <c r="G607" s="141"/>
      <c r="H607" s="141"/>
      <c r="I607" s="141"/>
      <c r="V607" s="141"/>
    </row>
    <row r="608" spans="7:22" ht="15.75" customHeight="1" x14ac:dyDescent="0.25">
      <c r="G608" s="141"/>
      <c r="H608" s="141"/>
      <c r="I608" s="141"/>
      <c r="V608" s="141"/>
    </row>
    <row r="609" spans="7:22" ht="15.75" customHeight="1" x14ac:dyDescent="0.25">
      <c r="G609" s="141"/>
      <c r="H609" s="141"/>
      <c r="I609" s="141"/>
      <c r="V609" s="141"/>
    </row>
    <row r="610" spans="7:22" ht="15.75" customHeight="1" x14ac:dyDescent="0.25">
      <c r="G610" s="141"/>
      <c r="H610" s="141"/>
      <c r="I610" s="141"/>
      <c r="V610" s="141"/>
    </row>
    <row r="611" spans="7:22" ht="15.75" customHeight="1" x14ac:dyDescent="0.25">
      <c r="G611" s="141"/>
      <c r="H611" s="141"/>
      <c r="I611" s="141"/>
      <c r="V611" s="141"/>
    </row>
    <row r="612" spans="7:22" ht="15.75" customHeight="1" x14ac:dyDescent="0.25">
      <c r="G612" s="141"/>
      <c r="H612" s="141"/>
      <c r="I612" s="141"/>
      <c r="V612" s="141"/>
    </row>
    <row r="613" spans="7:22" ht="15.75" customHeight="1" x14ac:dyDescent="0.25">
      <c r="G613" s="141"/>
      <c r="H613" s="141"/>
      <c r="I613" s="141"/>
      <c r="V613" s="141"/>
    </row>
    <row r="614" spans="7:22" ht="15.75" customHeight="1" x14ac:dyDescent="0.25">
      <c r="G614" s="141"/>
      <c r="H614" s="141"/>
      <c r="I614" s="141"/>
      <c r="V614" s="141"/>
    </row>
    <row r="615" spans="7:22" ht="15.75" customHeight="1" x14ac:dyDescent="0.25">
      <c r="G615" s="141"/>
      <c r="H615" s="141"/>
      <c r="I615" s="141"/>
      <c r="V615" s="141"/>
    </row>
    <row r="616" spans="7:22" ht="15.75" customHeight="1" x14ac:dyDescent="0.25">
      <c r="G616" s="141"/>
      <c r="H616" s="141"/>
      <c r="I616" s="141"/>
      <c r="V616" s="141"/>
    </row>
    <row r="617" spans="7:22" ht="15.75" customHeight="1" x14ac:dyDescent="0.25">
      <c r="G617" s="141"/>
      <c r="H617" s="141"/>
      <c r="I617" s="141"/>
      <c r="V617" s="141"/>
    </row>
    <row r="618" spans="7:22" ht="15.75" customHeight="1" x14ac:dyDescent="0.25">
      <c r="G618" s="141"/>
      <c r="H618" s="141"/>
      <c r="I618" s="141"/>
      <c r="V618" s="141"/>
    </row>
    <row r="619" spans="7:22" ht="15.75" customHeight="1" x14ac:dyDescent="0.25">
      <c r="G619" s="141"/>
      <c r="H619" s="141"/>
      <c r="I619" s="141"/>
      <c r="V619" s="141"/>
    </row>
    <row r="620" spans="7:22" ht="15.75" customHeight="1" x14ac:dyDescent="0.25">
      <c r="G620" s="141"/>
      <c r="H620" s="141"/>
      <c r="I620" s="141"/>
      <c r="V620" s="141"/>
    </row>
    <row r="621" spans="7:22" ht="15.75" customHeight="1" x14ac:dyDescent="0.25">
      <c r="G621" s="141"/>
      <c r="H621" s="141"/>
      <c r="I621" s="141"/>
      <c r="V621" s="141"/>
    </row>
    <row r="622" spans="7:22" ht="15.75" customHeight="1" x14ac:dyDescent="0.25">
      <c r="G622" s="141"/>
      <c r="H622" s="141"/>
      <c r="I622" s="141"/>
      <c r="V622" s="141"/>
    </row>
    <row r="623" spans="7:22" ht="15.75" customHeight="1" x14ac:dyDescent="0.25">
      <c r="G623" s="141"/>
      <c r="H623" s="141"/>
      <c r="I623" s="141"/>
      <c r="V623" s="141"/>
    </row>
    <row r="624" spans="7:22" ht="15.75" customHeight="1" x14ac:dyDescent="0.25">
      <c r="G624" s="141"/>
      <c r="H624" s="141"/>
      <c r="I624" s="141"/>
      <c r="V624" s="141"/>
    </row>
    <row r="625" spans="7:22" ht="15.75" customHeight="1" x14ac:dyDescent="0.25">
      <c r="G625" s="141"/>
      <c r="H625" s="141"/>
      <c r="I625" s="141"/>
      <c r="V625" s="141"/>
    </row>
    <row r="626" spans="7:22" ht="15.75" customHeight="1" x14ac:dyDescent="0.25">
      <c r="G626" s="141"/>
      <c r="H626" s="141"/>
      <c r="I626" s="141"/>
      <c r="V626" s="141"/>
    </row>
    <row r="627" spans="7:22" ht="15.75" customHeight="1" x14ac:dyDescent="0.25">
      <c r="G627" s="141"/>
      <c r="H627" s="141"/>
      <c r="I627" s="141"/>
      <c r="V627" s="141"/>
    </row>
    <row r="628" spans="7:22" ht="15.75" customHeight="1" x14ac:dyDescent="0.25">
      <c r="G628" s="141"/>
      <c r="H628" s="141"/>
      <c r="I628" s="141"/>
      <c r="V628" s="141"/>
    </row>
    <row r="629" spans="7:22" ht="15.75" customHeight="1" x14ac:dyDescent="0.25">
      <c r="G629" s="141"/>
      <c r="H629" s="141"/>
      <c r="I629" s="141"/>
      <c r="V629" s="141"/>
    </row>
    <row r="630" spans="7:22" ht="15.75" customHeight="1" x14ac:dyDescent="0.25">
      <c r="G630" s="141"/>
      <c r="H630" s="141"/>
      <c r="I630" s="141"/>
      <c r="V630" s="141"/>
    </row>
    <row r="631" spans="7:22" ht="15.75" customHeight="1" x14ac:dyDescent="0.25">
      <c r="G631" s="141"/>
      <c r="H631" s="141"/>
      <c r="I631" s="141"/>
      <c r="V631" s="141"/>
    </row>
    <row r="632" spans="7:22" ht="15.75" customHeight="1" x14ac:dyDescent="0.25">
      <c r="G632" s="141"/>
      <c r="H632" s="141"/>
      <c r="I632" s="141"/>
      <c r="V632" s="141"/>
    </row>
    <row r="633" spans="7:22" ht="15.75" customHeight="1" x14ac:dyDescent="0.25">
      <c r="G633" s="141"/>
      <c r="H633" s="141"/>
      <c r="I633" s="141"/>
      <c r="V633" s="141"/>
    </row>
    <row r="634" spans="7:22" ht="15.75" customHeight="1" x14ac:dyDescent="0.25">
      <c r="G634" s="141"/>
      <c r="H634" s="141"/>
      <c r="I634" s="141"/>
      <c r="V634" s="141"/>
    </row>
    <row r="635" spans="7:22" ht="15.75" customHeight="1" x14ac:dyDescent="0.25">
      <c r="G635" s="141"/>
      <c r="H635" s="141"/>
      <c r="I635" s="141"/>
      <c r="V635" s="141"/>
    </row>
    <row r="636" spans="7:22" ht="15.75" customHeight="1" x14ac:dyDescent="0.25">
      <c r="G636" s="141"/>
      <c r="H636" s="141"/>
      <c r="I636" s="141"/>
      <c r="V636" s="141"/>
    </row>
    <row r="637" spans="7:22" ht="15.75" customHeight="1" x14ac:dyDescent="0.25">
      <c r="G637" s="141"/>
      <c r="H637" s="141"/>
      <c r="I637" s="141"/>
      <c r="V637" s="141"/>
    </row>
    <row r="638" spans="7:22" ht="15.75" customHeight="1" x14ac:dyDescent="0.25">
      <c r="G638" s="141"/>
      <c r="H638" s="141"/>
      <c r="I638" s="141"/>
      <c r="V638" s="141"/>
    </row>
    <row r="639" spans="7:22" ht="15.75" customHeight="1" x14ac:dyDescent="0.25">
      <c r="G639" s="141"/>
      <c r="H639" s="141"/>
      <c r="I639" s="141"/>
      <c r="V639" s="141"/>
    </row>
    <row r="640" spans="7:22" ht="15.75" customHeight="1" x14ac:dyDescent="0.25">
      <c r="G640" s="141"/>
      <c r="H640" s="141"/>
      <c r="I640" s="141"/>
      <c r="V640" s="141"/>
    </row>
    <row r="641" spans="7:22" ht="15.75" customHeight="1" x14ac:dyDescent="0.25">
      <c r="G641" s="141"/>
      <c r="H641" s="141"/>
      <c r="I641" s="141"/>
      <c r="V641" s="141"/>
    </row>
    <row r="642" spans="7:22" ht="15.75" customHeight="1" x14ac:dyDescent="0.25">
      <c r="G642" s="141"/>
      <c r="H642" s="141"/>
      <c r="I642" s="141"/>
      <c r="V642" s="141"/>
    </row>
    <row r="643" spans="7:22" ht="15.75" customHeight="1" x14ac:dyDescent="0.25">
      <c r="G643" s="141"/>
      <c r="H643" s="141"/>
      <c r="I643" s="141"/>
      <c r="V643" s="141"/>
    </row>
    <row r="644" spans="7:22" ht="15.75" customHeight="1" x14ac:dyDescent="0.25">
      <c r="G644" s="141"/>
      <c r="H644" s="141"/>
      <c r="I644" s="141"/>
      <c r="V644" s="141"/>
    </row>
    <row r="645" spans="7:22" ht="15.75" customHeight="1" x14ac:dyDescent="0.25">
      <c r="G645" s="141"/>
      <c r="H645" s="141"/>
      <c r="I645" s="141"/>
      <c r="V645" s="141"/>
    </row>
    <row r="646" spans="7:22" ht="15.75" customHeight="1" x14ac:dyDescent="0.25">
      <c r="G646" s="141"/>
      <c r="H646" s="141"/>
      <c r="I646" s="141"/>
      <c r="V646" s="141"/>
    </row>
    <row r="647" spans="7:22" ht="15.75" customHeight="1" x14ac:dyDescent="0.25">
      <c r="G647" s="141"/>
      <c r="H647" s="141"/>
      <c r="I647" s="141"/>
      <c r="V647" s="141"/>
    </row>
    <row r="648" spans="7:22" ht="15.75" customHeight="1" x14ac:dyDescent="0.25">
      <c r="G648" s="141"/>
      <c r="H648" s="141"/>
      <c r="I648" s="141"/>
      <c r="V648" s="141"/>
    </row>
    <row r="649" spans="7:22" ht="15.75" customHeight="1" x14ac:dyDescent="0.25">
      <c r="G649" s="141"/>
      <c r="H649" s="141"/>
      <c r="I649" s="141"/>
      <c r="V649" s="141"/>
    </row>
    <row r="650" spans="7:22" ht="15.75" customHeight="1" x14ac:dyDescent="0.25">
      <c r="G650" s="141"/>
      <c r="H650" s="141"/>
      <c r="I650" s="141"/>
      <c r="V650" s="141"/>
    </row>
    <row r="651" spans="7:22" ht="15.75" customHeight="1" x14ac:dyDescent="0.25">
      <c r="G651" s="141"/>
      <c r="H651" s="141"/>
      <c r="I651" s="141"/>
      <c r="V651" s="141"/>
    </row>
    <row r="652" spans="7:22" ht="15.75" customHeight="1" x14ac:dyDescent="0.25">
      <c r="G652" s="141"/>
      <c r="H652" s="141"/>
      <c r="I652" s="141"/>
      <c r="V652" s="141"/>
    </row>
    <row r="653" spans="7:22" ht="15.75" customHeight="1" x14ac:dyDescent="0.25">
      <c r="G653" s="141"/>
      <c r="H653" s="141"/>
      <c r="I653" s="141"/>
      <c r="V653" s="141"/>
    </row>
    <row r="654" spans="7:22" ht="15.75" customHeight="1" x14ac:dyDescent="0.25">
      <c r="G654" s="141"/>
      <c r="H654" s="141"/>
      <c r="I654" s="141"/>
      <c r="V654" s="141"/>
    </row>
    <row r="655" spans="7:22" ht="15.75" customHeight="1" x14ac:dyDescent="0.25">
      <c r="G655" s="141"/>
      <c r="H655" s="141"/>
      <c r="I655" s="141"/>
      <c r="V655" s="141"/>
    </row>
    <row r="656" spans="7:22" ht="15.75" customHeight="1" x14ac:dyDescent="0.25">
      <c r="G656" s="141"/>
      <c r="H656" s="141"/>
      <c r="I656" s="141"/>
      <c r="V656" s="141"/>
    </row>
    <row r="657" spans="7:22" ht="15.75" customHeight="1" x14ac:dyDescent="0.25">
      <c r="G657" s="141"/>
      <c r="H657" s="141"/>
      <c r="I657" s="141"/>
      <c r="V657" s="141"/>
    </row>
    <row r="658" spans="7:22" ht="15.75" customHeight="1" x14ac:dyDescent="0.25">
      <c r="G658" s="141"/>
      <c r="H658" s="141"/>
      <c r="I658" s="141"/>
      <c r="V658" s="141"/>
    </row>
    <row r="659" spans="7:22" ht="15.75" customHeight="1" x14ac:dyDescent="0.25">
      <c r="G659" s="141"/>
      <c r="H659" s="141"/>
      <c r="I659" s="141"/>
      <c r="V659" s="141"/>
    </row>
    <row r="660" spans="7:22" ht="15.75" customHeight="1" x14ac:dyDescent="0.25">
      <c r="G660" s="141"/>
      <c r="H660" s="141"/>
      <c r="I660" s="141"/>
      <c r="V660" s="141"/>
    </row>
    <row r="661" spans="7:22" ht="15.75" customHeight="1" x14ac:dyDescent="0.25">
      <c r="G661" s="141"/>
      <c r="H661" s="141"/>
      <c r="I661" s="141"/>
      <c r="V661" s="141"/>
    </row>
    <row r="662" spans="7:22" ht="15.75" customHeight="1" x14ac:dyDescent="0.25">
      <c r="G662" s="141"/>
      <c r="H662" s="141"/>
      <c r="I662" s="141"/>
      <c r="V662" s="141"/>
    </row>
    <row r="663" spans="7:22" ht="15.75" customHeight="1" x14ac:dyDescent="0.25">
      <c r="G663" s="141"/>
      <c r="H663" s="141"/>
      <c r="I663" s="141"/>
      <c r="V663" s="141"/>
    </row>
    <row r="664" spans="7:22" ht="15.75" customHeight="1" x14ac:dyDescent="0.25">
      <c r="G664" s="141"/>
      <c r="H664" s="141"/>
      <c r="I664" s="141"/>
      <c r="V664" s="141"/>
    </row>
    <row r="665" spans="7:22" ht="15.75" customHeight="1" x14ac:dyDescent="0.25">
      <c r="G665" s="141"/>
      <c r="H665" s="141"/>
      <c r="I665" s="141"/>
      <c r="V665" s="141"/>
    </row>
    <row r="666" spans="7:22" ht="15.75" customHeight="1" x14ac:dyDescent="0.25">
      <c r="G666" s="141"/>
      <c r="H666" s="141"/>
      <c r="I666" s="141"/>
      <c r="V666" s="141"/>
    </row>
    <row r="667" spans="7:22" ht="15.75" customHeight="1" x14ac:dyDescent="0.25">
      <c r="G667" s="141"/>
      <c r="H667" s="141"/>
      <c r="I667" s="141"/>
      <c r="V667" s="141"/>
    </row>
    <row r="668" spans="7:22" ht="15.75" customHeight="1" x14ac:dyDescent="0.25">
      <c r="G668" s="141"/>
      <c r="H668" s="141"/>
      <c r="I668" s="141"/>
      <c r="V668" s="141"/>
    </row>
    <row r="669" spans="7:22" ht="15.75" customHeight="1" x14ac:dyDescent="0.25">
      <c r="G669" s="141"/>
      <c r="H669" s="141"/>
      <c r="I669" s="141"/>
      <c r="V669" s="141"/>
    </row>
    <row r="670" spans="7:22" ht="15.75" customHeight="1" x14ac:dyDescent="0.25">
      <c r="G670" s="141"/>
      <c r="H670" s="141"/>
      <c r="I670" s="141"/>
      <c r="V670" s="141"/>
    </row>
    <row r="671" spans="7:22" ht="15.75" customHeight="1" x14ac:dyDescent="0.25">
      <c r="G671" s="141"/>
      <c r="H671" s="141"/>
      <c r="I671" s="141"/>
      <c r="V671" s="141"/>
    </row>
    <row r="672" spans="7:22" ht="15.75" customHeight="1" x14ac:dyDescent="0.25">
      <c r="G672" s="141"/>
      <c r="H672" s="141"/>
      <c r="I672" s="141"/>
      <c r="V672" s="141"/>
    </row>
    <row r="673" spans="7:22" ht="15.75" customHeight="1" x14ac:dyDescent="0.25">
      <c r="G673" s="141"/>
      <c r="H673" s="141"/>
      <c r="I673" s="141"/>
      <c r="V673" s="141"/>
    </row>
    <row r="674" spans="7:22" ht="15.75" customHeight="1" x14ac:dyDescent="0.25">
      <c r="G674" s="141"/>
      <c r="H674" s="141"/>
      <c r="I674" s="141"/>
      <c r="V674" s="141"/>
    </row>
    <row r="675" spans="7:22" ht="15.75" customHeight="1" x14ac:dyDescent="0.25">
      <c r="G675" s="141"/>
      <c r="H675" s="141"/>
      <c r="I675" s="141"/>
      <c r="V675" s="141"/>
    </row>
    <row r="676" spans="7:22" ht="15.75" customHeight="1" x14ac:dyDescent="0.25">
      <c r="G676" s="141"/>
      <c r="H676" s="141"/>
      <c r="I676" s="141"/>
      <c r="V676" s="141"/>
    </row>
    <row r="677" spans="7:22" ht="15.75" customHeight="1" x14ac:dyDescent="0.25">
      <c r="G677" s="141"/>
      <c r="H677" s="141"/>
      <c r="I677" s="141"/>
      <c r="V677" s="141"/>
    </row>
    <row r="678" spans="7:22" ht="15.75" customHeight="1" x14ac:dyDescent="0.25">
      <c r="G678" s="141"/>
      <c r="H678" s="141"/>
      <c r="I678" s="141"/>
      <c r="V678" s="141"/>
    </row>
    <row r="679" spans="7:22" ht="15.75" customHeight="1" x14ac:dyDescent="0.25">
      <c r="G679" s="141"/>
      <c r="H679" s="141"/>
      <c r="I679" s="141"/>
      <c r="V679" s="141"/>
    </row>
    <row r="680" spans="7:22" ht="15.75" customHeight="1" x14ac:dyDescent="0.25">
      <c r="G680" s="141"/>
      <c r="H680" s="141"/>
      <c r="I680" s="141"/>
      <c r="V680" s="141"/>
    </row>
    <row r="681" spans="7:22" ht="15.75" customHeight="1" x14ac:dyDescent="0.25">
      <c r="G681" s="141"/>
      <c r="H681" s="141"/>
      <c r="I681" s="141"/>
      <c r="V681" s="141"/>
    </row>
    <row r="682" spans="7:22" ht="15.75" customHeight="1" x14ac:dyDescent="0.25">
      <c r="G682" s="141"/>
      <c r="H682" s="141"/>
      <c r="I682" s="141"/>
      <c r="V682" s="141"/>
    </row>
    <row r="683" spans="7:22" ht="15.75" customHeight="1" x14ac:dyDescent="0.25">
      <c r="G683" s="141"/>
      <c r="H683" s="141"/>
      <c r="I683" s="141"/>
      <c r="V683" s="141"/>
    </row>
    <row r="684" spans="7:22" ht="15.75" customHeight="1" x14ac:dyDescent="0.25">
      <c r="G684" s="141"/>
      <c r="H684" s="141"/>
      <c r="I684" s="141"/>
      <c r="V684" s="141"/>
    </row>
    <row r="685" spans="7:22" ht="15.75" customHeight="1" x14ac:dyDescent="0.25">
      <c r="G685" s="141"/>
      <c r="H685" s="141"/>
      <c r="I685" s="141"/>
      <c r="V685" s="141"/>
    </row>
    <row r="686" spans="7:22" ht="15.75" customHeight="1" x14ac:dyDescent="0.25">
      <c r="G686" s="141"/>
      <c r="H686" s="141"/>
      <c r="I686" s="141"/>
      <c r="V686" s="141"/>
    </row>
    <row r="687" spans="7:22" ht="15.75" customHeight="1" x14ac:dyDescent="0.25">
      <c r="G687" s="141"/>
      <c r="H687" s="141"/>
      <c r="I687" s="141"/>
      <c r="V687" s="141"/>
    </row>
    <row r="688" spans="7:22" ht="15.75" customHeight="1" x14ac:dyDescent="0.25">
      <c r="G688" s="141"/>
      <c r="H688" s="141"/>
      <c r="I688" s="141"/>
      <c r="V688" s="141"/>
    </row>
    <row r="689" spans="7:22" ht="15.75" customHeight="1" x14ac:dyDescent="0.25">
      <c r="G689" s="141"/>
      <c r="H689" s="141"/>
      <c r="I689" s="141"/>
      <c r="V689" s="141"/>
    </row>
    <row r="690" spans="7:22" ht="15.75" customHeight="1" x14ac:dyDescent="0.25">
      <c r="G690" s="141"/>
      <c r="H690" s="141"/>
      <c r="I690" s="141"/>
      <c r="V690" s="141"/>
    </row>
    <row r="691" spans="7:22" ht="15.75" customHeight="1" x14ac:dyDescent="0.25">
      <c r="G691" s="141"/>
      <c r="H691" s="141"/>
      <c r="I691" s="141"/>
      <c r="V691" s="141"/>
    </row>
    <row r="692" spans="7:22" ht="15.75" customHeight="1" x14ac:dyDescent="0.25">
      <c r="G692" s="141"/>
      <c r="H692" s="141"/>
      <c r="I692" s="141"/>
      <c r="V692" s="141"/>
    </row>
    <row r="693" spans="7:22" ht="15.75" customHeight="1" x14ac:dyDescent="0.25">
      <c r="G693" s="141"/>
      <c r="H693" s="141"/>
      <c r="I693" s="141"/>
      <c r="V693" s="141"/>
    </row>
    <row r="694" spans="7:22" ht="15.75" customHeight="1" x14ac:dyDescent="0.25">
      <c r="G694" s="141"/>
      <c r="H694" s="141"/>
      <c r="I694" s="141"/>
      <c r="V694" s="141"/>
    </row>
    <row r="695" spans="7:22" ht="15.75" customHeight="1" x14ac:dyDescent="0.25">
      <c r="G695" s="141"/>
      <c r="H695" s="141"/>
      <c r="I695" s="141"/>
      <c r="V695" s="141"/>
    </row>
    <row r="696" spans="7:22" ht="15.75" customHeight="1" x14ac:dyDescent="0.25">
      <c r="G696" s="141"/>
      <c r="H696" s="141"/>
      <c r="I696" s="141"/>
      <c r="V696" s="141"/>
    </row>
    <row r="697" spans="7:22" ht="15.75" customHeight="1" x14ac:dyDescent="0.25">
      <c r="G697" s="141"/>
      <c r="H697" s="141"/>
      <c r="I697" s="141"/>
      <c r="V697" s="141"/>
    </row>
    <row r="698" spans="7:22" ht="15.75" customHeight="1" x14ac:dyDescent="0.25">
      <c r="G698" s="141"/>
      <c r="H698" s="141"/>
      <c r="I698" s="141"/>
      <c r="V698" s="141"/>
    </row>
    <row r="699" spans="7:22" ht="15.75" customHeight="1" x14ac:dyDescent="0.25">
      <c r="G699" s="141"/>
      <c r="H699" s="141"/>
      <c r="I699" s="141"/>
      <c r="V699" s="141"/>
    </row>
    <row r="700" spans="7:22" ht="15.75" customHeight="1" x14ac:dyDescent="0.25">
      <c r="G700" s="141"/>
      <c r="H700" s="141"/>
      <c r="I700" s="141"/>
      <c r="V700" s="141"/>
    </row>
    <row r="701" spans="7:22" ht="15.75" customHeight="1" x14ac:dyDescent="0.25">
      <c r="G701" s="141"/>
      <c r="H701" s="141"/>
      <c r="I701" s="141"/>
      <c r="V701" s="141"/>
    </row>
    <row r="702" spans="7:22" ht="15.75" customHeight="1" x14ac:dyDescent="0.25">
      <c r="G702" s="141"/>
      <c r="H702" s="141"/>
      <c r="I702" s="141"/>
      <c r="V702" s="141"/>
    </row>
    <row r="703" spans="7:22" ht="15.75" customHeight="1" x14ac:dyDescent="0.25">
      <c r="G703" s="141"/>
      <c r="H703" s="141"/>
      <c r="I703" s="141"/>
      <c r="V703" s="141"/>
    </row>
    <row r="704" spans="7:22" ht="15.75" customHeight="1" x14ac:dyDescent="0.25">
      <c r="G704" s="141"/>
      <c r="H704" s="141"/>
      <c r="I704" s="141"/>
      <c r="V704" s="141"/>
    </row>
    <row r="705" spans="7:22" ht="15.75" customHeight="1" x14ac:dyDescent="0.25">
      <c r="G705" s="141"/>
      <c r="H705" s="141"/>
      <c r="I705" s="141"/>
      <c r="V705" s="141"/>
    </row>
    <row r="706" spans="7:22" ht="15.75" customHeight="1" x14ac:dyDescent="0.25">
      <c r="G706" s="141"/>
      <c r="H706" s="141"/>
      <c r="I706" s="141"/>
      <c r="V706" s="141"/>
    </row>
    <row r="707" spans="7:22" ht="15.75" customHeight="1" x14ac:dyDescent="0.25">
      <c r="G707" s="141"/>
      <c r="H707" s="141"/>
      <c r="I707" s="141"/>
      <c r="V707" s="141"/>
    </row>
    <row r="708" spans="7:22" ht="15.75" customHeight="1" x14ac:dyDescent="0.25">
      <c r="G708" s="141"/>
      <c r="H708" s="141"/>
      <c r="I708" s="141"/>
      <c r="V708" s="141"/>
    </row>
    <row r="709" spans="7:22" ht="15.75" customHeight="1" x14ac:dyDescent="0.25">
      <c r="G709" s="141"/>
      <c r="H709" s="141"/>
      <c r="I709" s="141"/>
      <c r="V709" s="141"/>
    </row>
    <row r="710" spans="7:22" ht="15.75" customHeight="1" x14ac:dyDescent="0.25">
      <c r="G710" s="141"/>
      <c r="H710" s="141"/>
      <c r="I710" s="141"/>
      <c r="V710" s="141"/>
    </row>
    <row r="711" spans="7:22" ht="15.75" customHeight="1" x14ac:dyDescent="0.25">
      <c r="G711" s="141"/>
      <c r="H711" s="141"/>
      <c r="I711" s="141"/>
      <c r="V711" s="141"/>
    </row>
    <row r="712" spans="7:22" ht="15.75" customHeight="1" x14ac:dyDescent="0.25">
      <c r="G712" s="141"/>
      <c r="H712" s="141"/>
      <c r="I712" s="141"/>
      <c r="V712" s="141"/>
    </row>
    <row r="713" spans="7:22" ht="15.75" customHeight="1" x14ac:dyDescent="0.25">
      <c r="G713" s="141"/>
      <c r="H713" s="141"/>
      <c r="I713" s="141"/>
      <c r="V713" s="141"/>
    </row>
    <row r="714" spans="7:22" ht="15.75" customHeight="1" x14ac:dyDescent="0.25">
      <c r="G714" s="141"/>
      <c r="H714" s="141"/>
      <c r="I714" s="141"/>
      <c r="V714" s="141"/>
    </row>
    <row r="715" spans="7:22" ht="15.75" customHeight="1" x14ac:dyDescent="0.25">
      <c r="G715" s="141"/>
      <c r="H715" s="141"/>
      <c r="I715" s="141"/>
      <c r="V715" s="141"/>
    </row>
    <row r="716" spans="7:22" ht="15.75" customHeight="1" x14ac:dyDescent="0.25">
      <c r="G716" s="141"/>
      <c r="H716" s="141"/>
      <c r="I716" s="141"/>
      <c r="V716" s="141"/>
    </row>
    <row r="717" spans="7:22" ht="15.75" customHeight="1" x14ac:dyDescent="0.25">
      <c r="G717" s="141"/>
      <c r="H717" s="141"/>
      <c r="I717" s="141"/>
      <c r="V717" s="141"/>
    </row>
    <row r="718" spans="7:22" ht="15.75" customHeight="1" x14ac:dyDescent="0.25">
      <c r="G718" s="141"/>
      <c r="H718" s="141"/>
      <c r="I718" s="141"/>
      <c r="V718" s="141"/>
    </row>
    <row r="719" spans="7:22" ht="15.75" customHeight="1" x14ac:dyDescent="0.25">
      <c r="G719" s="141"/>
      <c r="H719" s="141"/>
      <c r="I719" s="141"/>
      <c r="V719" s="141"/>
    </row>
    <row r="720" spans="7:22" ht="15.75" customHeight="1" x14ac:dyDescent="0.25">
      <c r="G720" s="141"/>
      <c r="H720" s="141"/>
      <c r="I720" s="141"/>
      <c r="V720" s="141"/>
    </row>
    <row r="721" spans="7:22" ht="15.75" customHeight="1" x14ac:dyDescent="0.25">
      <c r="G721" s="141"/>
      <c r="H721" s="141"/>
      <c r="I721" s="141"/>
      <c r="V721" s="141"/>
    </row>
    <row r="722" spans="7:22" ht="15.75" customHeight="1" x14ac:dyDescent="0.25">
      <c r="G722" s="141"/>
      <c r="H722" s="141"/>
      <c r="I722" s="141"/>
      <c r="V722" s="141"/>
    </row>
    <row r="723" spans="7:22" ht="15.75" customHeight="1" x14ac:dyDescent="0.25">
      <c r="G723" s="141"/>
      <c r="H723" s="141"/>
      <c r="I723" s="141"/>
      <c r="V723" s="141"/>
    </row>
    <row r="724" spans="7:22" ht="15.75" customHeight="1" x14ac:dyDescent="0.25">
      <c r="G724" s="141"/>
      <c r="H724" s="141"/>
      <c r="I724" s="141"/>
      <c r="V724" s="141"/>
    </row>
    <row r="725" spans="7:22" ht="15.75" customHeight="1" x14ac:dyDescent="0.25">
      <c r="G725" s="141"/>
      <c r="H725" s="141"/>
      <c r="I725" s="141"/>
      <c r="V725" s="141"/>
    </row>
    <row r="726" spans="7:22" ht="15.75" customHeight="1" x14ac:dyDescent="0.25">
      <c r="G726" s="141"/>
      <c r="H726" s="141"/>
      <c r="I726" s="141"/>
      <c r="V726" s="141"/>
    </row>
    <row r="727" spans="7:22" ht="15.75" customHeight="1" x14ac:dyDescent="0.25">
      <c r="G727" s="141"/>
      <c r="H727" s="141"/>
      <c r="I727" s="141"/>
      <c r="V727" s="141"/>
    </row>
    <row r="728" spans="7:22" ht="15.75" customHeight="1" x14ac:dyDescent="0.25">
      <c r="G728" s="141"/>
      <c r="H728" s="141"/>
      <c r="I728" s="141"/>
      <c r="V728" s="141"/>
    </row>
    <row r="729" spans="7:22" ht="15.75" customHeight="1" x14ac:dyDescent="0.25">
      <c r="G729" s="141"/>
      <c r="H729" s="141"/>
      <c r="I729" s="141"/>
      <c r="V729" s="141"/>
    </row>
    <row r="730" spans="7:22" ht="15.75" customHeight="1" x14ac:dyDescent="0.25">
      <c r="G730" s="141"/>
      <c r="H730" s="141"/>
      <c r="I730" s="141"/>
      <c r="V730" s="141"/>
    </row>
    <row r="731" spans="7:22" ht="15.75" customHeight="1" x14ac:dyDescent="0.25">
      <c r="G731" s="141"/>
      <c r="H731" s="141"/>
      <c r="I731" s="141"/>
      <c r="V731" s="141"/>
    </row>
    <row r="732" spans="7:22" ht="15.75" customHeight="1" x14ac:dyDescent="0.25">
      <c r="G732" s="141"/>
      <c r="H732" s="141"/>
      <c r="I732" s="141"/>
      <c r="V732" s="141"/>
    </row>
    <row r="733" spans="7:22" ht="15.75" customHeight="1" x14ac:dyDescent="0.25">
      <c r="G733" s="141"/>
      <c r="H733" s="141"/>
      <c r="I733" s="141"/>
      <c r="V733" s="141"/>
    </row>
    <row r="734" spans="7:22" ht="15.75" customHeight="1" x14ac:dyDescent="0.25">
      <c r="V734" s="141"/>
    </row>
    <row r="735" spans="7:22" ht="15.75" customHeight="1" x14ac:dyDescent="0.25">
      <c r="V735" s="141"/>
    </row>
    <row r="736" spans="7:22" ht="15.75" customHeight="1" x14ac:dyDescent="0.25">
      <c r="V736" s="141"/>
    </row>
    <row r="737" spans="22:22" ht="15.75" customHeight="1" x14ac:dyDescent="0.25">
      <c r="V737" s="141"/>
    </row>
    <row r="738" spans="22:22" ht="15.75" customHeight="1" x14ac:dyDescent="0.25">
      <c r="V738" s="141"/>
    </row>
    <row r="739" spans="22:22" ht="15.75" customHeight="1" x14ac:dyDescent="0.25">
      <c r="V739" s="141"/>
    </row>
    <row r="740" spans="22:22" ht="15.75" customHeight="1" x14ac:dyDescent="0.25">
      <c r="V740" s="141"/>
    </row>
    <row r="741" spans="22:22" ht="15.75" customHeight="1" x14ac:dyDescent="0.25">
      <c r="V741" s="141"/>
    </row>
    <row r="742" spans="22:22" ht="15.75" customHeight="1" x14ac:dyDescent="0.25">
      <c r="V742" s="141"/>
    </row>
    <row r="743" spans="22:22" ht="15.75" customHeight="1" x14ac:dyDescent="0.25">
      <c r="V743" s="141"/>
    </row>
    <row r="744" spans="22:22" ht="15.75" customHeight="1" x14ac:dyDescent="0.25">
      <c r="V744" s="141"/>
    </row>
    <row r="745" spans="22:22" ht="15.75" customHeight="1" x14ac:dyDescent="0.25">
      <c r="V745" s="141"/>
    </row>
    <row r="746" spans="22:22" ht="15.75" customHeight="1" x14ac:dyDescent="0.25">
      <c r="V746" s="141"/>
    </row>
    <row r="747" spans="22:22" ht="15.75" customHeight="1" x14ac:dyDescent="0.25">
      <c r="V747" s="141"/>
    </row>
    <row r="748" spans="22:22" ht="15.75" customHeight="1" x14ac:dyDescent="0.25">
      <c r="V748" s="141"/>
    </row>
    <row r="749" spans="22:22" ht="15.75" customHeight="1" x14ac:dyDescent="0.25">
      <c r="V749" s="141"/>
    </row>
    <row r="750" spans="22:22" ht="15.75" customHeight="1" x14ac:dyDescent="0.25">
      <c r="V750" s="141"/>
    </row>
    <row r="751" spans="22:22" ht="15.75" customHeight="1" x14ac:dyDescent="0.25">
      <c r="V751" s="141"/>
    </row>
    <row r="752" spans="22:22" ht="15.75" customHeight="1" x14ac:dyDescent="0.25">
      <c r="V752" s="141"/>
    </row>
    <row r="753" spans="22:22" ht="15.75" customHeight="1" x14ac:dyDescent="0.25">
      <c r="V753" s="141"/>
    </row>
    <row r="754" spans="22:22" ht="15.75" customHeight="1" x14ac:dyDescent="0.25">
      <c r="V754" s="141"/>
    </row>
    <row r="755" spans="22:22" ht="15.75" customHeight="1" x14ac:dyDescent="0.25">
      <c r="V755" s="141"/>
    </row>
    <row r="756" spans="22:22" ht="15.75" customHeight="1" x14ac:dyDescent="0.25">
      <c r="V756" s="141"/>
    </row>
    <row r="757" spans="22:22" ht="15.75" customHeight="1" x14ac:dyDescent="0.25">
      <c r="V757" s="141"/>
    </row>
    <row r="758" spans="22:22" ht="15.75" customHeight="1" x14ac:dyDescent="0.25">
      <c r="V758" s="141"/>
    </row>
    <row r="759" spans="22:22" ht="15.75" customHeight="1" x14ac:dyDescent="0.25">
      <c r="V759" s="141"/>
    </row>
    <row r="760" spans="22:22" ht="15.75" customHeight="1" x14ac:dyDescent="0.25">
      <c r="V760" s="141"/>
    </row>
    <row r="761" spans="22:22" ht="15.75" customHeight="1" x14ac:dyDescent="0.25">
      <c r="V761" s="141"/>
    </row>
    <row r="762" spans="22:22" ht="15.75" customHeight="1" x14ac:dyDescent="0.25">
      <c r="V762" s="141"/>
    </row>
    <row r="763" spans="22:22" ht="15.75" customHeight="1" x14ac:dyDescent="0.25">
      <c r="V763" s="141"/>
    </row>
    <row r="764" spans="22:22" ht="15.75" customHeight="1" x14ac:dyDescent="0.25">
      <c r="V764" s="141"/>
    </row>
    <row r="765" spans="22:22" ht="15.75" customHeight="1" x14ac:dyDescent="0.25">
      <c r="V765" s="141"/>
    </row>
    <row r="766" spans="22:22" ht="15.75" customHeight="1" x14ac:dyDescent="0.25">
      <c r="V766" s="141"/>
    </row>
    <row r="767" spans="22:22" ht="15.75" customHeight="1" x14ac:dyDescent="0.25">
      <c r="V767" s="141"/>
    </row>
    <row r="768" spans="22:22" ht="15.75" customHeight="1" x14ac:dyDescent="0.25">
      <c r="V768" s="141"/>
    </row>
    <row r="769" spans="22:22" ht="15.75" customHeight="1" x14ac:dyDescent="0.25">
      <c r="V769" s="141"/>
    </row>
    <row r="770" spans="22:22" ht="15.75" customHeight="1" x14ac:dyDescent="0.25">
      <c r="V770" s="141"/>
    </row>
    <row r="771" spans="22:22" ht="15.75" customHeight="1" x14ac:dyDescent="0.25">
      <c r="V771" s="141"/>
    </row>
    <row r="772" spans="22:22" ht="15.75" customHeight="1" x14ac:dyDescent="0.25">
      <c r="V772" s="141"/>
    </row>
    <row r="773" spans="22:22" ht="15.75" customHeight="1" x14ac:dyDescent="0.25">
      <c r="V773" s="141"/>
    </row>
    <row r="774" spans="22:22" ht="15.75" customHeight="1" x14ac:dyDescent="0.25">
      <c r="V774" s="141"/>
    </row>
    <row r="775" spans="22:22" ht="15.75" customHeight="1" x14ac:dyDescent="0.25">
      <c r="V775" s="141"/>
    </row>
    <row r="776" spans="22:22" ht="15.75" customHeight="1" x14ac:dyDescent="0.25">
      <c r="V776" s="141"/>
    </row>
    <row r="777" spans="22:22" ht="15.75" customHeight="1" x14ac:dyDescent="0.25">
      <c r="V777" s="141"/>
    </row>
    <row r="778" spans="22:22" ht="15.75" customHeight="1" x14ac:dyDescent="0.25">
      <c r="V778" s="141"/>
    </row>
    <row r="779" spans="22:22" ht="15.75" customHeight="1" x14ac:dyDescent="0.25">
      <c r="V779" s="141"/>
    </row>
    <row r="780" spans="22:22" ht="15.75" customHeight="1" x14ac:dyDescent="0.25">
      <c r="V780" s="141"/>
    </row>
    <row r="781" spans="22:22" ht="15.75" customHeight="1" x14ac:dyDescent="0.25">
      <c r="V781" s="141"/>
    </row>
    <row r="782" spans="22:22" ht="15.75" customHeight="1" x14ac:dyDescent="0.25">
      <c r="V782" s="141"/>
    </row>
    <row r="783" spans="22:22" ht="15.75" customHeight="1" x14ac:dyDescent="0.25">
      <c r="V783" s="141"/>
    </row>
    <row r="784" spans="22:22" ht="15.75" customHeight="1" x14ac:dyDescent="0.25">
      <c r="V784" s="141"/>
    </row>
    <row r="785" spans="22:22" ht="15.75" customHeight="1" x14ac:dyDescent="0.25">
      <c r="V785" s="141"/>
    </row>
    <row r="786" spans="22:22" ht="15.75" customHeight="1" x14ac:dyDescent="0.25">
      <c r="V786" s="141"/>
    </row>
    <row r="787" spans="22:22" ht="15.75" customHeight="1" x14ac:dyDescent="0.25">
      <c r="V787" s="141"/>
    </row>
    <row r="788" spans="22:22" ht="15.75" customHeight="1" x14ac:dyDescent="0.25">
      <c r="V788" s="141"/>
    </row>
    <row r="789" spans="22:22" ht="15.75" customHeight="1" x14ac:dyDescent="0.25">
      <c r="V789" s="141"/>
    </row>
    <row r="790" spans="22:22" ht="15.75" customHeight="1" x14ac:dyDescent="0.25">
      <c r="V790" s="141"/>
    </row>
    <row r="791" spans="22:22" ht="15.75" customHeight="1" x14ac:dyDescent="0.25">
      <c r="V791" s="141"/>
    </row>
    <row r="792" spans="22:22" ht="15.75" customHeight="1" x14ac:dyDescent="0.25">
      <c r="V792" s="141"/>
    </row>
    <row r="793" spans="22:22" ht="15.75" customHeight="1" x14ac:dyDescent="0.25">
      <c r="V793" s="141"/>
    </row>
    <row r="794" spans="22:22" ht="15.75" customHeight="1" x14ac:dyDescent="0.25">
      <c r="V794" s="141"/>
    </row>
    <row r="795" spans="22:22" ht="15.75" customHeight="1" x14ac:dyDescent="0.25">
      <c r="V795" s="141"/>
    </row>
    <row r="796" spans="22:22" ht="15.75" customHeight="1" x14ac:dyDescent="0.25">
      <c r="V796" s="141"/>
    </row>
    <row r="797" spans="22:22" ht="15.75" customHeight="1" x14ac:dyDescent="0.25">
      <c r="V797" s="141"/>
    </row>
    <row r="798" spans="22:22" ht="15.75" customHeight="1" x14ac:dyDescent="0.25">
      <c r="V798" s="141"/>
    </row>
    <row r="799" spans="22:22" ht="15.75" customHeight="1" x14ac:dyDescent="0.25">
      <c r="V799" s="141"/>
    </row>
    <row r="800" spans="22:22" ht="15.75" customHeight="1" x14ac:dyDescent="0.25">
      <c r="V800" s="141"/>
    </row>
    <row r="801" spans="22:22" ht="15.75" customHeight="1" x14ac:dyDescent="0.25">
      <c r="V801" s="141"/>
    </row>
    <row r="802" spans="22:22" ht="15.75" customHeight="1" x14ac:dyDescent="0.25">
      <c r="V802" s="141"/>
    </row>
    <row r="803" spans="22:22" ht="15.75" customHeight="1" x14ac:dyDescent="0.25">
      <c r="V803" s="141"/>
    </row>
    <row r="804" spans="22:22" ht="15.75" customHeight="1" x14ac:dyDescent="0.25">
      <c r="V804" s="141"/>
    </row>
    <row r="805" spans="22:22" ht="15.75" customHeight="1" x14ac:dyDescent="0.25">
      <c r="V805" s="141"/>
    </row>
    <row r="806" spans="22:22" ht="15.75" customHeight="1" x14ac:dyDescent="0.25">
      <c r="V806" s="141"/>
    </row>
    <row r="807" spans="22:22" ht="15.75" customHeight="1" x14ac:dyDescent="0.25">
      <c r="V807" s="141"/>
    </row>
    <row r="808" spans="22:22" ht="15.75" customHeight="1" x14ac:dyDescent="0.25">
      <c r="V808" s="141"/>
    </row>
    <row r="809" spans="22:22" ht="15.75" customHeight="1" x14ac:dyDescent="0.25">
      <c r="V809" s="141"/>
    </row>
    <row r="810" spans="22:22" ht="15.75" customHeight="1" x14ac:dyDescent="0.25">
      <c r="V810" s="141"/>
    </row>
    <row r="811" spans="22:22" ht="15.75" customHeight="1" x14ac:dyDescent="0.25">
      <c r="V811" s="141"/>
    </row>
    <row r="812" spans="22:22" ht="15.75" customHeight="1" x14ac:dyDescent="0.25">
      <c r="V812" s="141"/>
    </row>
    <row r="813" spans="22:22" ht="15.75" customHeight="1" x14ac:dyDescent="0.25">
      <c r="V813" s="141"/>
    </row>
    <row r="814" spans="22:22" ht="15.75" customHeight="1" x14ac:dyDescent="0.25">
      <c r="V814" s="141"/>
    </row>
    <row r="815" spans="22:22" ht="15.75" customHeight="1" x14ac:dyDescent="0.25">
      <c r="V815" s="141"/>
    </row>
    <row r="816" spans="22:22" ht="15.75" customHeight="1" x14ac:dyDescent="0.25">
      <c r="V816" s="141"/>
    </row>
    <row r="817" spans="22:22" ht="15.75" customHeight="1" x14ac:dyDescent="0.25">
      <c r="V817" s="141"/>
    </row>
    <row r="818" spans="22:22" ht="15.75" customHeight="1" x14ac:dyDescent="0.25">
      <c r="V818" s="141"/>
    </row>
    <row r="819" spans="22:22" ht="15.75" customHeight="1" x14ac:dyDescent="0.25">
      <c r="V819" s="141"/>
    </row>
    <row r="820" spans="22:22" ht="15.75" customHeight="1" x14ac:dyDescent="0.25">
      <c r="V820" s="141"/>
    </row>
    <row r="821" spans="22:22" ht="15.75" customHeight="1" x14ac:dyDescent="0.25">
      <c r="V821" s="141"/>
    </row>
    <row r="822" spans="22:22" ht="15.75" customHeight="1" x14ac:dyDescent="0.25">
      <c r="V822" s="141"/>
    </row>
    <row r="823" spans="22:22" ht="15.75" customHeight="1" x14ac:dyDescent="0.25">
      <c r="V823" s="141"/>
    </row>
    <row r="824" spans="22:22" ht="15.75" customHeight="1" x14ac:dyDescent="0.25">
      <c r="V824" s="141"/>
    </row>
    <row r="825" spans="22:22" ht="15.75" customHeight="1" x14ac:dyDescent="0.25">
      <c r="V825" s="141"/>
    </row>
    <row r="826" spans="22:22" ht="15.75" customHeight="1" x14ac:dyDescent="0.25">
      <c r="V826" s="141"/>
    </row>
    <row r="827" spans="22:22" ht="15.75" customHeight="1" x14ac:dyDescent="0.25">
      <c r="V827" s="141"/>
    </row>
    <row r="828" spans="22:22" ht="15.75" customHeight="1" x14ac:dyDescent="0.25">
      <c r="V828" s="141"/>
    </row>
    <row r="829" spans="22:22" ht="15.75" customHeight="1" x14ac:dyDescent="0.25">
      <c r="V829" s="141"/>
    </row>
    <row r="830" spans="22:22" ht="15.75" customHeight="1" x14ac:dyDescent="0.25">
      <c r="V830" s="141"/>
    </row>
    <row r="831" spans="22:22" ht="15.75" customHeight="1" x14ac:dyDescent="0.25">
      <c r="V831" s="141"/>
    </row>
    <row r="832" spans="22:22" ht="15.75" customHeight="1" x14ac:dyDescent="0.25">
      <c r="V832" s="141"/>
    </row>
    <row r="833" spans="22:22" ht="15.75" customHeight="1" x14ac:dyDescent="0.25">
      <c r="V833" s="141"/>
    </row>
    <row r="834" spans="22:22" ht="15.75" customHeight="1" x14ac:dyDescent="0.25">
      <c r="V834" s="141"/>
    </row>
    <row r="835" spans="22:22" ht="15.75" customHeight="1" x14ac:dyDescent="0.25">
      <c r="V835" s="141"/>
    </row>
    <row r="836" spans="22:22" ht="15.75" customHeight="1" x14ac:dyDescent="0.25">
      <c r="V836" s="141"/>
    </row>
    <row r="837" spans="22:22" ht="15.75" customHeight="1" x14ac:dyDescent="0.25">
      <c r="V837" s="141"/>
    </row>
    <row r="838" spans="22:22" ht="15.75" customHeight="1" x14ac:dyDescent="0.25">
      <c r="V838" s="141"/>
    </row>
    <row r="839" spans="22:22" ht="15.75" customHeight="1" x14ac:dyDescent="0.25">
      <c r="V839" s="141"/>
    </row>
    <row r="840" spans="22:22" ht="15.75" customHeight="1" x14ac:dyDescent="0.25">
      <c r="V840" s="141"/>
    </row>
    <row r="841" spans="22:22" ht="15.75" customHeight="1" x14ac:dyDescent="0.25">
      <c r="V841" s="141"/>
    </row>
    <row r="842" spans="22:22" ht="15.75" customHeight="1" x14ac:dyDescent="0.25">
      <c r="V842" s="141"/>
    </row>
    <row r="843" spans="22:22" ht="15.75" customHeight="1" x14ac:dyDescent="0.25">
      <c r="V843" s="141"/>
    </row>
    <row r="844" spans="22:22" ht="15.75" customHeight="1" x14ac:dyDescent="0.25">
      <c r="V844" s="141"/>
    </row>
    <row r="845" spans="22:22" ht="15.75" customHeight="1" x14ac:dyDescent="0.25">
      <c r="V845" s="141"/>
    </row>
    <row r="846" spans="22:22" ht="15.75" customHeight="1" x14ac:dyDescent="0.25">
      <c r="V846" s="141"/>
    </row>
    <row r="847" spans="22:22" ht="15.75" customHeight="1" x14ac:dyDescent="0.25">
      <c r="V847" s="141"/>
    </row>
    <row r="848" spans="22:22" ht="15.75" customHeight="1" x14ac:dyDescent="0.25">
      <c r="V848" s="141"/>
    </row>
    <row r="849" spans="22:22" ht="15.75" customHeight="1" x14ac:dyDescent="0.25">
      <c r="V849" s="141"/>
    </row>
    <row r="850" spans="22:22" ht="15.75" customHeight="1" x14ac:dyDescent="0.25">
      <c r="V850" s="141"/>
    </row>
    <row r="851" spans="22:22" ht="15.75" customHeight="1" x14ac:dyDescent="0.25">
      <c r="V851" s="141"/>
    </row>
    <row r="852" spans="22:22" ht="15.75" customHeight="1" x14ac:dyDescent="0.25">
      <c r="V852" s="141"/>
    </row>
    <row r="853" spans="22:22" ht="15.75" customHeight="1" x14ac:dyDescent="0.25">
      <c r="V853" s="141"/>
    </row>
    <row r="854" spans="22:22" ht="15.75" customHeight="1" x14ac:dyDescent="0.25">
      <c r="V854" s="141"/>
    </row>
    <row r="855" spans="22:22" ht="15.75" customHeight="1" x14ac:dyDescent="0.25">
      <c r="V855" s="141"/>
    </row>
    <row r="856" spans="22:22" ht="15.75" customHeight="1" x14ac:dyDescent="0.25">
      <c r="V856" s="141"/>
    </row>
    <row r="857" spans="22:22" ht="15.75" customHeight="1" x14ac:dyDescent="0.25">
      <c r="V857" s="141"/>
    </row>
    <row r="858" spans="22:22" ht="15.75" customHeight="1" x14ac:dyDescent="0.25">
      <c r="V858" s="141"/>
    </row>
    <row r="859" spans="22:22" ht="15.75" customHeight="1" x14ac:dyDescent="0.25">
      <c r="V859" s="141"/>
    </row>
    <row r="860" spans="22:22" ht="15.75" customHeight="1" x14ac:dyDescent="0.25">
      <c r="V860" s="141"/>
    </row>
    <row r="861" spans="22:22" ht="15.75" customHeight="1" x14ac:dyDescent="0.25">
      <c r="V861" s="141"/>
    </row>
    <row r="862" spans="22:22" ht="15.75" customHeight="1" x14ac:dyDescent="0.25">
      <c r="V862" s="141"/>
    </row>
    <row r="863" spans="22:22" ht="15.75" customHeight="1" x14ac:dyDescent="0.25">
      <c r="V863" s="141"/>
    </row>
    <row r="864" spans="22:22" ht="15.75" customHeight="1" x14ac:dyDescent="0.25">
      <c r="V864" s="141"/>
    </row>
    <row r="865" spans="22:22" ht="15.75" customHeight="1" x14ac:dyDescent="0.25">
      <c r="V865" s="141"/>
    </row>
    <row r="866" spans="22:22" ht="15.75" customHeight="1" x14ac:dyDescent="0.25">
      <c r="V866" s="141"/>
    </row>
    <row r="867" spans="22:22" ht="15.75" customHeight="1" x14ac:dyDescent="0.25">
      <c r="V867" s="141"/>
    </row>
    <row r="868" spans="22:22" ht="15.75" customHeight="1" x14ac:dyDescent="0.25">
      <c r="V868" s="141"/>
    </row>
    <row r="869" spans="22:22" ht="15.75" customHeight="1" x14ac:dyDescent="0.25">
      <c r="V869" s="141"/>
    </row>
    <row r="870" spans="22:22" ht="15.75" customHeight="1" x14ac:dyDescent="0.25">
      <c r="V870" s="141"/>
    </row>
    <row r="871" spans="22:22" ht="15.75" customHeight="1" x14ac:dyDescent="0.25">
      <c r="V871" s="141"/>
    </row>
    <row r="872" spans="22:22" ht="15.75" customHeight="1" x14ac:dyDescent="0.25">
      <c r="V872" s="141"/>
    </row>
    <row r="873" spans="22:22" ht="15.75" customHeight="1" x14ac:dyDescent="0.25">
      <c r="V873" s="141"/>
    </row>
    <row r="874" spans="22:22" ht="15.75" customHeight="1" x14ac:dyDescent="0.25">
      <c r="V874" s="141"/>
    </row>
    <row r="875" spans="22:22" ht="15.75" customHeight="1" x14ac:dyDescent="0.25">
      <c r="V875" s="141"/>
    </row>
    <row r="876" spans="22:22" ht="15.75" customHeight="1" x14ac:dyDescent="0.25">
      <c r="V876" s="141"/>
    </row>
    <row r="877" spans="22:22" ht="15.75" customHeight="1" x14ac:dyDescent="0.25">
      <c r="V877" s="141"/>
    </row>
    <row r="878" spans="22:22" ht="15.75" customHeight="1" x14ac:dyDescent="0.25">
      <c r="V878" s="141"/>
    </row>
    <row r="879" spans="22:22" ht="15.75" customHeight="1" x14ac:dyDescent="0.25">
      <c r="V879" s="141"/>
    </row>
    <row r="880" spans="22:22" ht="15.75" customHeight="1" x14ac:dyDescent="0.25">
      <c r="V880" s="141"/>
    </row>
    <row r="881" spans="22:22" ht="15.75" customHeight="1" x14ac:dyDescent="0.25">
      <c r="V881" s="141"/>
    </row>
    <row r="882" spans="22:22" ht="15.75" customHeight="1" x14ac:dyDescent="0.25">
      <c r="V882" s="141"/>
    </row>
    <row r="883" spans="22:22" ht="15.75" customHeight="1" x14ac:dyDescent="0.25">
      <c r="V883" s="141"/>
    </row>
    <row r="884" spans="22:22" ht="15.75" customHeight="1" x14ac:dyDescent="0.25">
      <c r="V884" s="141"/>
    </row>
    <row r="885" spans="22:22" ht="15.75" customHeight="1" x14ac:dyDescent="0.25">
      <c r="V885" s="141"/>
    </row>
    <row r="886" spans="22:22" ht="15.75" customHeight="1" x14ac:dyDescent="0.25">
      <c r="V886" s="141"/>
    </row>
    <row r="887" spans="22:22" ht="15.75" customHeight="1" x14ac:dyDescent="0.25">
      <c r="V887" s="141"/>
    </row>
    <row r="888" spans="22:22" ht="15.75" customHeight="1" x14ac:dyDescent="0.25">
      <c r="V888" s="141"/>
    </row>
    <row r="889" spans="22:22" ht="15.75" customHeight="1" x14ac:dyDescent="0.25">
      <c r="V889" s="141"/>
    </row>
    <row r="890" spans="22:22" ht="15.75" customHeight="1" x14ac:dyDescent="0.25">
      <c r="V890" s="141"/>
    </row>
    <row r="891" spans="22:22" ht="15.75" customHeight="1" x14ac:dyDescent="0.25">
      <c r="V891" s="141"/>
    </row>
    <row r="892" spans="22:22" ht="15.75" customHeight="1" x14ac:dyDescent="0.25">
      <c r="V892" s="141"/>
    </row>
    <row r="893" spans="22:22" ht="15.75" customHeight="1" x14ac:dyDescent="0.25">
      <c r="V893" s="141"/>
    </row>
    <row r="894" spans="22:22" ht="15.75" customHeight="1" x14ac:dyDescent="0.25">
      <c r="V894" s="141"/>
    </row>
    <row r="895" spans="22:22" ht="15.75" customHeight="1" x14ac:dyDescent="0.25">
      <c r="V895" s="141"/>
    </row>
    <row r="896" spans="22:22" ht="15.75" customHeight="1" x14ac:dyDescent="0.25">
      <c r="V896" s="141"/>
    </row>
    <row r="897" spans="22:22" ht="15.75" customHeight="1" x14ac:dyDescent="0.25">
      <c r="V897" s="141"/>
    </row>
    <row r="898" spans="22:22" ht="15.75" customHeight="1" x14ac:dyDescent="0.25">
      <c r="V898" s="141"/>
    </row>
    <row r="899" spans="22:22" ht="15.75" customHeight="1" x14ac:dyDescent="0.25">
      <c r="V899" s="141"/>
    </row>
    <row r="900" spans="22:22" ht="15.75" customHeight="1" x14ac:dyDescent="0.25">
      <c r="V900" s="141"/>
    </row>
    <row r="901" spans="22:22" ht="15.75" customHeight="1" x14ac:dyDescent="0.25">
      <c r="V901" s="141"/>
    </row>
    <row r="902" spans="22:22" ht="15.75" customHeight="1" x14ac:dyDescent="0.25">
      <c r="V902" s="141"/>
    </row>
    <row r="903" spans="22:22" ht="15.75" customHeight="1" x14ac:dyDescent="0.25">
      <c r="V903" s="141"/>
    </row>
    <row r="904" spans="22:22" ht="15.75" customHeight="1" x14ac:dyDescent="0.25">
      <c r="V904" s="141"/>
    </row>
    <row r="905" spans="22:22" ht="15.75" customHeight="1" x14ac:dyDescent="0.25">
      <c r="V905" s="141"/>
    </row>
    <row r="906" spans="22:22" ht="15.75" customHeight="1" x14ac:dyDescent="0.25">
      <c r="V906" s="141"/>
    </row>
    <row r="907" spans="22:22" ht="15.75" customHeight="1" x14ac:dyDescent="0.25">
      <c r="V907" s="141"/>
    </row>
    <row r="908" spans="22:22" ht="15.75" customHeight="1" x14ac:dyDescent="0.25">
      <c r="V908" s="141"/>
    </row>
    <row r="909" spans="22:22" ht="15.75" customHeight="1" x14ac:dyDescent="0.25">
      <c r="V909" s="141"/>
    </row>
    <row r="910" spans="22:22" ht="15.75" customHeight="1" x14ac:dyDescent="0.25">
      <c r="V910" s="141"/>
    </row>
    <row r="911" spans="22:22" ht="15.75" customHeight="1" x14ac:dyDescent="0.25">
      <c r="V911" s="141"/>
    </row>
    <row r="912" spans="22:22" ht="15.75" customHeight="1" x14ac:dyDescent="0.25">
      <c r="V912" s="141"/>
    </row>
    <row r="913" spans="22:22" ht="15.75" customHeight="1" x14ac:dyDescent="0.25">
      <c r="V913" s="141"/>
    </row>
    <row r="914" spans="22:22" ht="15.75" customHeight="1" x14ac:dyDescent="0.25">
      <c r="V914" s="141"/>
    </row>
    <row r="915" spans="22:22" ht="15.75" customHeight="1" x14ac:dyDescent="0.25">
      <c r="V915" s="141"/>
    </row>
    <row r="916" spans="22:22" ht="15.75" customHeight="1" x14ac:dyDescent="0.25">
      <c r="V916" s="141"/>
    </row>
    <row r="917" spans="22:22" ht="15.75" customHeight="1" x14ac:dyDescent="0.25">
      <c r="V917" s="141"/>
    </row>
    <row r="918" spans="22:22" ht="15.75" customHeight="1" x14ac:dyDescent="0.25">
      <c r="V918" s="141"/>
    </row>
    <row r="919" spans="22:22" ht="15.75" customHeight="1" x14ac:dyDescent="0.25">
      <c r="V919" s="141"/>
    </row>
    <row r="920" spans="22:22" ht="15.75" customHeight="1" x14ac:dyDescent="0.25">
      <c r="V920" s="141"/>
    </row>
    <row r="921" spans="22:22" ht="15.75" customHeight="1" x14ac:dyDescent="0.25">
      <c r="V921" s="141"/>
    </row>
    <row r="922" spans="22:22" ht="15.75" customHeight="1" x14ac:dyDescent="0.25">
      <c r="V922" s="141"/>
    </row>
    <row r="923" spans="22:22" ht="15.75" customHeight="1" x14ac:dyDescent="0.25">
      <c r="V923" s="141"/>
    </row>
    <row r="924" spans="22:22" ht="15.75" customHeight="1" x14ac:dyDescent="0.25">
      <c r="V924" s="141"/>
    </row>
    <row r="925" spans="22:22" ht="15.75" customHeight="1" x14ac:dyDescent="0.25">
      <c r="V925" s="141"/>
    </row>
    <row r="926" spans="22:22" ht="15.75" customHeight="1" x14ac:dyDescent="0.25">
      <c r="V926" s="141"/>
    </row>
    <row r="927" spans="22:22" ht="15.75" customHeight="1" x14ac:dyDescent="0.25">
      <c r="V927" s="141"/>
    </row>
    <row r="928" spans="22:22" ht="15.75" customHeight="1" x14ac:dyDescent="0.25">
      <c r="V928" s="141"/>
    </row>
    <row r="929" spans="22:22" ht="15.75" customHeight="1" x14ac:dyDescent="0.25">
      <c r="V929" s="141"/>
    </row>
    <row r="930" spans="22:22" ht="15.75" customHeight="1" x14ac:dyDescent="0.25">
      <c r="V930" s="141"/>
    </row>
    <row r="931" spans="22:22" ht="15.75" customHeight="1" x14ac:dyDescent="0.25">
      <c r="V931" s="141"/>
    </row>
    <row r="932" spans="22:22" ht="15.75" customHeight="1" x14ac:dyDescent="0.25">
      <c r="V932" s="141"/>
    </row>
    <row r="933" spans="22:22" ht="15.75" customHeight="1" x14ac:dyDescent="0.25">
      <c r="V933" s="141"/>
    </row>
    <row r="934" spans="22:22" ht="15.75" customHeight="1" x14ac:dyDescent="0.25">
      <c r="V934" s="141"/>
    </row>
    <row r="935" spans="22:22" ht="15.75" customHeight="1" x14ac:dyDescent="0.25">
      <c r="V935" s="141"/>
    </row>
    <row r="936" spans="22:22" ht="15.75" customHeight="1" x14ac:dyDescent="0.25">
      <c r="V936" s="141"/>
    </row>
    <row r="937" spans="22:22" ht="15.75" customHeight="1" x14ac:dyDescent="0.25">
      <c r="V937" s="141"/>
    </row>
    <row r="938" spans="22:22" ht="15.75" customHeight="1" x14ac:dyDescent="0.25">
      <c r="V938" s="141"/>
    </row>
    <row r="939" spans="22:22" ht="15.75" customHeight="1" x14ac:dyDescent="0.25">
      <c r="V939" s="141"/>
    </row>
    <row r="940" spans="22:22" ht="15.75" customHeight="1" x14ac:dyDescent="0.25">
      <c r="V940" s="141"/>
    </row>
    <row r="941" spans="22:22" ht="15.75" customHeight="1" x14ac:dyDescent="0.25">
      <c r="V941" s="141"/>
    </row>
    <row r="942" spans="22:22" ht="15.75" customHeight="1" x14ac:dyDescent="0.25">
      <c r="V942" s="141"/>
    </row>
    <row r="943" spans="22:22" ht="15.75" customHeight="1" x14ac:dyDescent="0.25">
      <c r="V943" s="141"/>
    </row>
    <row r="944" spans="22:22" ht="15.75" customHeight="1" x14ac:dyDescent="0.25">
      <c r="V944" s="141"/>
    </row>
    <row r="945" spans="22:22" ht="15.75" customHeight="1" x14ac:dyDescent="0.25">
      <c r="V945" s="141"/>
    </row>
    <row r="946" spans="22:22" ht="15.75" customHeight="1" x14ac:dyDescent="0.25">
      <c r="V946" s="141"/>
    </row>
    <row r="947" spans="22:22" ht="15.75" customHeight="1" x14ac:dyDescent="0.25">
      <c r="V947" s="141"/>
    </row>
    <row r="948" spans="22:22" ht="15.75" customHeight="1" x14ac:dyDescent="0.25">
      <c r="V948" s="141"/>
    </row>
    <row r="949" spans="22:22" ht="15.75" customHeight="1" x14ac:dyDescent="0.25">
      <c r="V949" s="141"/>
    </row>
    <row r="950" spans="22:22" ht="15.75" customHeight="1" x14ac:dyDescent="0.25">
      <c r="V950" s="141"/>
    </row>
    <row r="951" spans="22:22" ht="15.75" customHeight="1" x14ac:dyDescent="0.25">
      <c r="V951" s="141"/>
    </row>
    <row r="952" spans="22:22" ht="15.75" customHeight="1" x14ac:dyDescent="0.25">
      <c r="V952" s="141"/>
    </row>
    <row r="953" spans="22:22" ht="15.75" customHeight="1" x14ac:dyDescent="0.25">
      <c r="V953" s="141"/>
    </row>
    <row r="954" spans="22:22" ht="15.75" customHeight="1" x14ac:dyDescent="0.25">
      <c r="V954" s="141"/>
    </row>
    <row r="955" spans="22:22" ht="15.75" customHeight="1" x14ac:dyDescent="0.25">
      <c r="V955" s="141"/>
    </row>
    <row r="956" spans="22:22" ht="15.75" customHeight="1" x14ac:dyDescent="0.25">
      <c r="V956" s="141"/>
    </row>
    <row r="957" spans="22:22" ht="15.75" customHeight="1" x14ac:dyDescent="0.25">
      <c r="V957" s="141"/>
    </row>
    <row r="958" spans="22:22" ht="15.75" customHeight="1" x14ac:dyDescent="0.25">
      <c r="V958" s="141"/>
    </row>
    <row r="959" spans="22:22" ht="15.75" customHeight="1" x14ac:dyDescent="0.25">
      <c r="V959" s="141"/>
    </row>
    <row r="960" spans="22:22" ht="15.75" customHeight="1" x14ac:dyDescent="0.25">
      <c r="V960" s="141"/>
    </row>
    <row r="961" spans="22:22" ht="15.75" customHeight="1" x14ac:dyDescent="0.25">
      <c r="V961" s="141"/>
    </row>
    <row r="962" spans="22:22" ht="15.75" customHeight="1" x14ac:dyDescent="0.25">
      <c r="V962" s="141"/>
    </row>
    <row r="963" spans="22:22" ht="15.75" customHeight="1" x14ac:dyDescent="0.25">
      <c r="V963" s="141"/>
    </row>
    <row r="964" spans="22:22" ht="15.75" customHeight="1" x14ac:dyDescent="0.25">
      <c r="V964" s="141"/>
    </row>
    <row r="965" spans="22:22" ht="15.75" customHeight="1" x14ac:dyDescent="0.25">
      <c r="V965" s="141"/>
    </row>
    <row r="966" spans="22:22" ht="15.75" customHeight="1" x14ac:dyDescent="0.25">
      <c r="V966" s="141"/>
    </row>
    <row r="967" spans="22:22" ht="15.75" customHeight="1" x14ac:dyDescent="0.25">
      <c r="V967" s="141"/>
    </row>
    <row r="968" spans="22:22" ht="15.75" customHeight="1" x14ac:dyDescent="0.25">
      <c r="V968" s="141"/>
    </row>
    <row r="969" spans="22:22" ht="15.75" customHeight="1" x14ac:dyDescent="0.25">
      <c r="V969" s="141"/>
    </row>
    <row r="970" spans="22:22" ht="15.75" customHeight="1" x14ac:dyDescent="0.25">
      <c r="V970" s="141"/>
    </row>
    <row r="971" spans="22:22" ht="15.75" customHeight="1" x14ac:dyDescent="0.25">
      <c r="V971" s="141"/>
    </row>
    <row r="972" spans="22:22" ht="15.75" customHeight="1" x14ac:dyDescent="0.25">
      <c r="V972" s="141"/>
    </row>
    <row r="973" spans="22:22" ht="15.75" customHeight="1" x14ac:dyDescent="0.25">
      <c r="V973" s="141"/>
    </row>
    <row r="974" spans="22:22" ht="15.75" customHeight="1" x14ac:dyDescent="0.25">
      <c r="V974" s="141"/>
    </row>
    <row r="975" spans="22:22" ht="15.75" customHeight="1" x14ac:dyDescent="0.25">
      <c r="V975" s="141"/>
    </row>
    <row r="976" spans="22:22" ht="15.75" customHeight="1" x14ac:dyDescent="0.25">
      <c r="V976" s="141"/>
    </row>
    <row r="977" spans="22:22" ht="15.75" customHeight="1" x14ac:dyDescent="0.25">
      <c r="V977" s="141"/>
    </row>
    <row r="978" spans="22:22" ht="15.75" customHeight="1" x14ac:dyDescent="0.25">
      <c r="V978" s="141"/>
    </row>
    <row r="979" spans="22:22" ht="15.75" customHeight="1" x14ac:dyDescent="0.25">
      <c r="V979" s="141"/>
    </row>
    <row r="980" spans="22:22" ht="15.75" customHeight="1" x14ac:dyDescent="0.25">
      <c r="V980" s="141"/>
    </row>
    <row r="981" spans="22:22" ht="15.75" customHeight="1" x14ac:dyDescent="0.25">
      <c r="V981" s="141"/>
    </row>
    <row r="982" spans="22:22" ht="15.75" customHeight="1" x14ac:dyDescent="0.25">
      <c r="V982" s="141"/>
    </row>
    <row r="983" spans="22:22" ht="15.75" customHeight="1" x14ac:dyDescent="0.25">
      <c r="V983" s="141"/>
    </row>
    <row r="984" spans="22:22" ht="15.75" customHeight="1" x14ac:dyDescent="0.25">
      <c r="V984" s="141"/>
    </row>
    <row r="985" spans="22:22" ht="15.75" customHeight="1" x14ac:dyDescent="0.25">
      <c r="V985" s="141"/>
    </row>
    <row r="986" spans="22:22" ht="15.75" customHeight="1" x14ac:dyDescent="0.25">
      <c r="V986" s="141"/>
    </row>
    <row r="987" spans="22:22" ht="15.75" customHeight="1" x14ac:dyDescent="0.25">
      <c r="V987" s="141"/>
    </row>
    <row r="988" spans="22:22" ht="15.75" customHeight="1" x14ac:dyDescent="0.25">
      <c r="V988" s="141"/>
    </row>
    <row r="989" spans="22:22" ht="15.75" customHeight="1" x14ac:dyDescent="0.25">
      <c r="V989" s="141"/>
    </row>
    <row r="990" spans="22:22" ht="15.75" customHeight="1" x14ac:dyDescent="0.25">
      <c r="V990" s="141"/>
    </row>
    <row r="991" spans="22:22" ht="15.75" customHeight="1" x14ac:dyDescent="0.25">
      <c r="V991" s="141"/>
    </row>
    <row r="992" spans="22:22" ht="15.75" customHeight="1" x14ac:dyDescent="0.25">
      <c r="V992" s="141"/>
    </row>
    <row r="993" spans="22:22" ht="15.75" customHeight="1" x14ac:dyDescent="0.25">
      <c r="V993" s="141"/>
    </row>
    <row r="994" spans="22:22" ht="15.75" customHeight="1" x14ac:dyDescent="0.25">
      <c r="V994" s="141"/>
    </row>
    <row r="995" spans="22:22" ht="15.75" customHeight="1" x14ac:dyDescent="0.25">
      <c r="V995" s="141"/>
    </row>
    <row r="996" spans="22:22" ht="15.75" customHeight="1" x14ac:dyDescent="0.25">
      <c r="V996" s="141"/>
    </row>
    <row r="997" spans="22:22" ht="15.75" customHeight="1" x14ac:dyDescent="0.25">
      <c r="V997" s="141"/>
    </row>
    <row r="998" spans="22:22" ht="15.75" customHeight="1" x14ac:dyDescent="0.25">
      <c r="V998" s="141"/>
    </row>
    <row r="999" spans="22:22" ht="15.75" customHeight="1" x14ac:dyDescent="0.25">
      <c r="V999" s="141"/>
    </row>
    <row r="1000" spans="22:22" ht="15.75" customHeight="1" x14ac:dyDescent="0.25">
      <c r="V1000" s="141"/>
    </row>
    <row r="1001" spans="22:22" ht="15" customHeight="1" x14ac:dyDescent="0.25">
      <c r="V1001" s="141"/>
    </row>
    <row r="1002" spans="22:22" ht="15" customHeight="1" x14ac:dyDescent="0.25">
      <c r="V1002" s="141"/>
    </row>
    <row r="1003" spans="22:22" ht="15" customHeight="1" x14ac:dyDescent="0.25">
      <c r="V1003" s="141"/>
    </row>
    <row r="1004" spans="22:22" ht="15" customHeight="1" x14ac:dyDescent="0.25">
      <c r="V1004" s="141"/>
    </row>
  </sheetData>
  <mergeCells count="138">
    <mergeCell ref="W52:AO52"/>
    <mergeCell ref="T11:T12"/>
    <mergeCell ref="U11:U12"/>
    <mergeCell ref="T13:T14"/>
    <mergeCell ref="U13:U14"/>
    <mergeCell ref="V13:V14"/>
    <mergeCell ref="V15:V16"/>
    <mergeCell ref="V17:V18"/>
    <mergeCell ref="U27:U28"/>
    <mergeCell ref="V27:V28"/>
    <mergeCell ref="U25:U26"/>
    <mergeCell ref="U29:U30"/>
    <mergeCell ref="V29:V30"/>
    <mergeCell ref="U31:U32"/>
    <mergeCell ref="V31:V32"/>
    <mergeCell ref="U33:U34"/>
    <mergeCell ref="V33:V34"/>
    <mergeCell ref="T15:T18"/>
    <mergeCell ref="T19:T22"/>
    <mergeCell ref="T23:T28"/>
    <mergeCell ref="U23:U24"/>
    <mergeCell ref="V23:V24"/>
    <mergeCell ref="V25:V26"/>
    <mergeCell ref="T29:T34"/>
    <mergeCell ref="C52:H52"/>
    <mergeCell ref="C53:H53"/>
    <mergeCell ref="I53:Q53"/>
    <mergeCell ref="U45:U46"/>
    <mergeCell ref="V45:V46"/>
    <mergeCell ref="A47:S47"/>
    <mergeCell ref="C51:H51"/>
    <mergeCell ref="I51:Q51"/>
    <mergeCell ref="I52:Q52"/>
    <mergeCell ref="C45:C46"/>
    <mergeCell ref="D45:D46"/>
    <mergeCell ref="E45:E46"/>
    <mergeCell ref="D43:D44"/>
    <mergeCell ref="E43:E44"/>
    <mergeCell ref="V41:V42"/>
    <mergeCell ref="U43:U44"/>
    <mergeCell ref="V43:V44"/>
    <mergeCell ref="T35:T36"/>
    <mergeCell ref="U35:U36"/>
    <mergeCell ref="V35:V36"/>
    <mergeCell ref="T37:T46"/>
    <mergeCell ref="U37:U38"/>
    <mergeCell ref="V37:V38"/>
    <mergeCell ref="V39:V40"/>
    <mergeCell ref="U39:U40"/>
    <mergeCell ref="U41:U42"/>
    <mergeCell ref="C37:C38"/>
    <mergeCell ref="C39:C40"/>
    <mergeCell ref="C41:C42"/>
    <mergeCell ref="D35:D36"/>
    <mergeCell ref="E35:E36"/>
    <mergeCell ref="D37:D38"/>
    <mergeCell ref="E37:E38"/>
    <mergeCell ref="D39:D42"/>
    <mergeCell ref="E39:E42"/>
    <mergeCell ref="A9:A14"/>
    <mergeCell ref="B13:B14"/>
    <mergeCell ref="C13:C14"/>
    <mergeCell ref="D13:D14"/>
    <mergeCell ref="E13:E14"/>
    <mergeCell ref="A15:A36"/>
    <mergeCell ref="E15:E16"/>
    <mergeCell ref="C43:C44"/>
    <mergeCell ref="B19:B22"/>
    <mergeCell ref="C19:C20"/>
    <mergeCell ref="C21:C22"/>
    <mergeCell ref="D21:D22"/>
    <mergeCell ref="E21:E22"/>
    <mergeCell ref="B23:B28"/>
    <mergeCell ref="C23:C24"/>
    <mergeCell ref="C25:C26"/>
    <mergeCell ref="C15:C16"/>
    <mergeCell ref="D15:D16"/>
    <mergeCell ref="B15:B18"/>
    <mergeCell ref="C17:C18"/>
    <mergeCell ref="B35:B36"/>
    <mergeCell ref="C35:C36"/>
    <mergeCell ref="A37:A46"/>
    <mergeCell ref="B37:B46"/>
    <mergeCell ref="V19:V20"/>
    <mergeCell ref="V21:V22"/>
    <mergeCell ref="B29:B34"/>
    <mergeCell ref="C29:C30"/>
    <mergeCell ref="C31:C32"/>
    <mergeCell ref="C33:C34"/>
    <mergeCell ref="D31:D32"/>
    <mergeCell ref="E31:E32"/>
    <mergeCell ref="D33:D34"/>
    <mergeCell ref="E33:E34"/>
    <mergeCell ref="C27:C28"/>
    <mergeCell ref="D23:D24"/>
    <mergeCell ref="E23:E24"/>
    <mergeCell ref="D25:D26"/>
    <mergeCell ref="E25:E26"/>
    <mergeCell ref="D27:D28"/>
    <mergeCell ref="E27:E28"/>
    <mergeCell ref="D29:D30"/>
    <mergeCell ref="E29:E30"/>
    <mergeCell ref="U15:U16"/>
    <mergeCell ref="U17:U18"/>
    <mergeCell ref="U19:U20"/>
    <mergeCell ref="U21:U22"/>
    <mergeCell ref="D19:D20"/>
    <mergeCell ref="E19:E20"/>
    <mergeCell ref="B9:B10"/>
    <mergeCell ref="C9:C10"/>
    <mergeCell ref="D9:D10"/>
    <mergeCell ref="U9:U10"/>
    <mergeCell ref="D17:D18"/>
    <mergeCell ref="E17:E18"/>
    <mergeCell ref="V9:V10"/>
    <mergeCell ref="B11:B12"/>
    <mergeCell ref="C11:C12"/>
    <mergeCell ref="D11:D12"/>
    <mergeCell ref="E11:E12"/>
    <mergeCell ref="E9:E10"/>
    <mergeCell ref="T9:T10"/>
    <mergeCell ref="V11:V12"/>
    <mergeCell ref="A1:C3"/>
    <mergeCell ref="D1:V1"/>
    <mergeCell ref="D2:V2"/>
    <mergeCell ref="D3:U3"/>
    <mergeCell ref="A4:C4"/>
    <mergeCell ref="D4:V4"/>
    <mergeCell ref="A5:C5"/>
    <mergeCell ref="T7:U7"/>
    <mergeCell ref="V7:V8"/>
    <mergeCell ref="B7:B8"/>
    <mergeCell ref="D5:V5"/>
    <mergeCell ref="A6:V6"/>
    <mergeCell ref="A7:A8"/>
    <mergeCell ref="C7:C8"/>
    <mergeCell ref="D7:E7"/>
    <mergeCell ref="F7:S7"/>
  </mergeCells>
  <dataValidations count="1">
    <dataValidation type="custom" allowBlank="1" showErrorMessage="1" sqref="V9 V11 V13 V41 V21 V37 V39 V19 V35 V45 V43 V15 V17 V25 V29 V31 V27 V23 V33" xr:uid="{00000000-0002-0000-0200-000000000000}">
      <formula1>LTE(LEN(V9),(2000))</formula1>
    </dataValidation>
  </dataValidation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943"/>
  <sheetViews>
    <sheetView zoomScale="60" zoomScaleNormal="60" workbookViewId="0">
      <selection activeCell="C10" sqref="C10:C15"/>
    </sheetView>
  </sheetViews>
  <sheetFormatPr baseColWidth="10" defaultColWidth="14.42578125" defaultRowHeight="15" customHeight="1" x14ac:dyDescent="0.25"/>
  <cols>
    <col min="1" max="1" width="10.7109375" customWidth="1"/>
    <col min="2" max="2" width="16.42578125" customWidth="1"/>
    <col min="3" max="3" width="26.28515625" customWidth="1"/>
    <col min="4" max="4" width="10.7109375" customWidth="1"/>
    <col min="5" max="6" width="23.140625" customWidth="1"/>
    <col min="7" max="7" width="23.140625" style="569" customWidth="1"/>
    <col min="8" max="8" width="23.140625" customWidth="1"/>
    <col min="9" max="9" width="20.5703125" customWidth="1"/>
    <col min="10" max="10" width="9.28515625" customWidth="1"/>
    <col min="11" max="11" width="8" customWidth="1"/>
    <col min="12" max="12" width="9" customWidth="1"/>
    <col min="13" max="17" width="9.7109375" customWidth="1"/>
    <col min="18" max="18" width="9.7109375" style="569" customWidth="1"/>
    <col min="19" max="19" width="21.28515625" style="569" customWidth="1"/>
    <col min="20" max="20" width="25.140625" style="569" customWidth="1"/>
    <col min="21" max="22" width="25.140625" customWidth="1"/>
    <col min="23" max="23" width="20.42578125" customWidth="1"/>
    <col min="24" max="25" width="25.140625" hidden="1" customWidth="1"/>
    <col min="26" max="26" width="22.28515625" hidden="1" customWidth="1"/>
    <col min="27" max="27" width="20.7109375" hidden="1" customWidth="1"/>
    <col min="28" max="28" width="17.28515625" hidden="1" customWidth="1"/>
    <col min="29" max="29" width="19.28515625" hidden="1" customWidth="1"/>
    <col min="30" max="30" width="18" hidden="1" customWidth="1"/>
    <col min="31" max="31" width="15.28515625" hidden="1" customWidth="1"/>
    <col min="32" max="32" width="39.140625" customWidth="1"/>
    <col min="33" max="33" width="18.42578125" customWidth="1"/>
    <col min="34" max="34" width="11.5703125" customWidth="1"/>
    <col min="35" max="35" width="23.140625" customWidth="1"/>
    <col min="36" max="36" width="15.85546875" customWidth="1"/>
    <col min="37" max="37" width="11.42578125" customWidth="1"/>
    <col min="38" max="38" width="28.28515625" customWidth="1"/>
    <col min="39" max="39" width="16.42578125" customWidth="1"/>
    <col min="40" max="40" width="11.7109375" customWidth="1"/>
    <col min="41" max="42" width="11.5703125" customWidth="1"/>
    <col min="43" max="49" width="11.42578125" customWidth="1"/>
    <col min="50" max="50" width="11.5703125" customWidth="1"/>
    <col min="51" max="51" width="11.42578125" customWidth="1"/>
  </cols>
  <sheetData>
    <row r="1" spans="1:51" x14ac:dyDescent="0.25">
      <c r="A1" s="735"/>
      <c r="B1" s="686"/>
      <c r="C1" s="686"/>
      <c r="D1" s="686"/>
      <c r="E1" s="840" t="s">
        <v>0</v>
      </c>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7"/>
      <c r="AI1" s="727"/>
      <c r="AJ1" s="727"/>
      <c r="AK1" s="727"/>
      <c r="AL1" s="727"/>
      <c r="AM1" s="727"/>
      <c r="AN1" s="727"/>
      <c r="AO1" s="727"/>
      <c r="AP1" s="727"/>
      <c r="AQ1" s="727"/>
      <c r="AR1" s="727"/>
      <c r="AS1" s="727"/>
      <c r="AT1" s="727"/>
      <c r="AU1" s="727"/>
      <c r="AV1" s="727"/>
      <c r="AW1" s="727"/>
      <c r="AX1" s="727"/>
      <c r="AY1" s="728"/>
    </row>
    <row r="2" spans="1:51" ht="16.5" customHeight="1" thickBot="1" x14ac:dyDescent="0.3">
      <c r="A2" s="688"/>
      <c r="B2" s="689"/>
      <c r="C2" s="689"/>
      <c r="D2" s="689"/>
      <c r="E2" s="841" t="s">
        <v>420</v>
      </c>
      <c r="F2" s="738"/>
      <c r="G2" s="738"/>
      <c r="H2" s="738"/>
      <c r="I2" s="738"/>
      <c r="J2" s="738"/>
      <c r="K2" s="738"/>
      <c r="L2" s="738"/>
      <c r="M2" s="738"/>
      <c r="N2" s="738"/>
      <c r="O2" s="738"/>
      <c r="P2" s="738"/>
      <c r="Q2" s="738"/>
      <c r="R2" s="738"/>
      <c r="S2" s="738"/>
      <c r="T2" s="738"/>
      <c r="U2" s="738"/>
      <c r="V2" s="738"/>
      <c r="W2" s="738"/>
      <c r="X2" s="738"/>
      <c r="Y2" s="738"/>
      <c r="Z2" s="738"/>
      <c r="AA2" s="738"/>
      <c r="AB2" s="738"/>
      <c r="AC2" s="738"/>
      <c r="AD2" s="738"/>
      <c r="AE2" s="738"/>
      <c r="AF2" s="738"/>
      <c r="AG2" s="738"/>
      <c r="AH2" s="738"/>
      <c r="AI2" s="738"/>
      <c r="AJ2" s="738"/>
      <c r="AK2" s="738"/>
      <c r="AL2" s="738"/>
      <c r="AM2" s="738"/>
      <c r="AN2" s="738"/>
      <c r="AO2" s="738"/>
      <c r="AP2" s="738"/>
      <c r="AQ2" s="738"/>
      <c r="AR2" s="738"/>
      <c r="AS2" s="738"/>
      <c r="AT2" s="738"/>
      <c r="AU2" s="738"/>
      <c r="AV2" s="738"/>
      <c r="AW2" s="738"/>
      <c r="AX2" s="738"/>
      <c r="AY2" s="842"/>
    </row>
    <row r="3" spans="1:51" ht="16.5" customHeight="1" thickBot="1" x14ac:dyDescent="0.3">
      <c r="A3" s="688"/>
      <c r="B3" s="689"/>
      <c r="C3" s="689"/>
      <c r="D3" s="689"/>
      <c r="E3" s="843" t="s">
        <v>378</v>
      </c>
      <c r="F3" s="743"/>
      <c r="G3" s="743"/>
      <c r="H3" s="743"/>
      <c r="I3" s="743"/>
      <c r="J3" s="743"/>
      <c r="K3" s="743"/>
      <c r="L3" s="743"/>
      <c r="M3" s="743"/>
      <c r="N3" s="743"/>
      <c r="O3" s="743"/>
      <c r="P3" s="743"/>
      <c r="Q3" s="743"/>
      <c r="R3" s="743"/>
      <c r="S3" s="743"/>
      <c r="T3" s="743"/>
      <c r="U3" s="743"/>
      <c r="V3" s="743"/>
      <c r="W3" s="743"/>
      <c r="X3" s="743"/>
      <c r="Y3" s="743"/>
      <c r="Z3" s="743"/>
      <c r="AA3" s="743"/>
      <c r="AB3" s="743"/>
      <c r="AC3" s="743"/>
      <c r="AD3" s="744"/>
      <c r="AE3" s="844" t="s">
        <v>421</v>
      </c>
      <c r="AF3" s="743"/>
      <c r="AG3" s="743"/>
      <c r="AH3" s="743"/>
      <c r="AI3" s="743"/>
      <c r="AJ3" s="743"/>
      <c r="AK3" s="743"/>
      <c r="AL3" s="743"/>
      <c r="AM3" s="743"/>
      <c r="AN3" s="743"/>
      <c r="AO3" s="743"/>
      <c r="AP3" s="743"/>
      <c r="AQ3" s="743"/>
      <c r="AR3" s="743"/>
      <c r="AS3" s="743"/>
      <c r="AT3" s="743"/>
      <c r="AU3" s="743"/>
      <c r="AV3" s="743"/>
      <c r="AW3" s="743"/>
      <c r="AX3" s="743"/>
      <c r="AY3" s="744"/>
    </row>
    <row r="4" spans="1:51" ht="18.75" thickBot="1" x14ac:dyDescent="0.3">
      <c r="A4" s="845" t="s">
        <v>4</v>
      </c>
      <c r="B4" s="701"/>
      <c r="C4" s="701"/>
      <c r="D4" s="704"/>
      <c r="E4" s="846" t="s">
        <v>205</v>
      </c>
      <c r="F4" s="701"/>
      <c r="G4" s="701"/>
      <c r="H4" s="701"/>
      <c r="I4" s="701"/>
      <c r="J4" s="701"/>
      <c r="K4" s="701"/>
      <c r="L4" s="701"/>
      <c r="M4" s="701"/>
      <c r="N4" s="701"/>
      <c r="O4" s="701"/>
      <c r="P4" s="701"/>
      <c r="Q4" s="701"/>
      <c r="R4" s="701"/>
      <c r="S4" s="701"/>
      <c r="T4" s="701"/>
      <c r="U4" s="701"/>
      <c r="V4" s="701"/>
      <c r="W4" s="701"/>
      <c r="X4" s="701"/>
      <c r="Y4" s="701"/>
      <c r="Z4" s="701"/>
      <c r="AA4" s="701"/>
      <c r="AB4" s="701"/>
      <c r="AC4" s="701"/>
      <c r="AD4" s="701"/>
      <c r="AE4" s="701"/>
      <c r="AF4" s="701"/>
      <c r="AG4" s="701"/>
      <c r="AH4" s="701"/>
      <c r="AI4" s="701"/>
      <c r="AJ4" s="701"/>
      <c r="AK4" s="701"/>
      <c r="AL4" s="701"/>
      <c r="AM4" s="701"/>
      <c r="AN4" s="701"/>
      <c r="AO4" s="701"/>
      <c r="AP4" s="701"/>
      <c r="AQ4" s="701"/>
      <c r="AR4" s="701"/>
      <c r="AS4" s="701"/>
      <c r="AT4" s="701"/>
      <c r="AU4" s="701"/>
      <c r="AV4" s="701"/>
      <c r="AW4" s="701"/>
      <c r="AX4" s="701"/>
      <c r="AY4" s="704"/>
    </row>
    <row r="5" spans="1:51" ht="18.75" customHeight="1" thickBot="1" x14ac:dyDescent="0.3">
      <c r="A5" s="847" t="s">
        <v>5</v>
      </c>
      <c r="B5" s="701"/>
      <c r="C5" s="701"/>
      <c r="D5" s="704"/>
      <c r="E5" s="848" t="s">
        <v>422</v>
      </c>
      <c r="F5" s="701"/>
      <c r="G5" s="701"/>
      <c r="H5" s="701"/>
      <c r="I5" s="701"/>
      <c r="J5" s="701"/>
      <c r="K5" s="701"/>
      <c r="L5" s="701"/>
      <c r="M5" s="701"/>
      <c r="N5" s="701"/>
      <c r="O5" s="701"/>
      <c r="P5" s="701"/>
      <c r="Q5" s="701"/>
      <c r="R5" s="701"/>
      <c r="S5" s="701"/>
      <c r="T5" s="701"/>
      <c r="U5" s="701"/>
      <c r="V5" s="701"/>
      <c r="W5" s="701"/>
      <c r="X5" s="701"/>
      <c r="Y5" s="701"/>
      <c r="Z5" s="701"/>
      <c r="AA5" s="701"/>
      <c r="AB5" s="701"/>
      <c r="AC5" s="701"/>
      <c r="AD5" s="701"/>
      <c r="AE5" s="701"/>
      <c r="AF5" s="701"/>
      <c r="AG5" s="701"/>
      <c r="AH5" s="701"/>
      <c r="AI5" s="701"/>
      <c r="AJ5" s="701"/>
      <c r="AK5" s="701"/>
      <c r="AL5" s="701"/>
      <c r="AM5" s="701"/>
      <c r="AN5" s="701"/>
      <c r="AO5" s="701"/>
      <c r="AP5" s="701"/>
      <c r="AQ5" s="701"/>
      <c r="AR5" s="701"/>
      <c r="AS5" s="701"/>
      <c r="AT5" s="701"/>
      <c r="AU5" s="701"/>
      <c r="AV5" s="701"/>
      <c r="AW5" s="701"/>
      <c r="AX5" s="701"/>
      <c r="AY5" s="704"/>
    </row>
    <row r="6" spans="1:51" ht="18" customHeight="1" x14ac:dyDescent="0.25">
      <c r="A6" s="858" t="s">
        <v>423</v>
      </c>
      <c r="B6" s="859"/>
      <c r="C6" s="859"/>
      <c r="D6" s="860"/>
      <c r="E6" s="849" t="s">
        <v>1614</v>
      </c>
      <c r="F6" s="743"/>
      <c r="G6" s="743"/>
      <c r="H6" s="743"/>
      <c r="I6" s="743"/>
      <c r="J6" s="743"/>
      <c r="K6" s="743"/>
      <c r="L6" s="743"/>
      <c r="M6" s="743"/>
      <c r="N6" s="743"/>
      <c r="O6" s="743"/>
      <c r="P6" s="743"/>
      <c r="Q6" s="743"/>
      <c r="R6" s="743"/>
      <c r="S6" s="743"/>
      <c r="T6" s="743"/>
      <c r="U6" s="743"/>
      <c r="V6" s="743"/>
      <c r="W6" s="743"/>
      <c r="X6" s="743"/>
      <c r="Y6" s="743"/>
      <c r="Z6" s="743"/>
      <c r="AA6" s="743"/>
      <c r="AB6" s="743"/>
      <c r="AC6" s="743"/>
      <c r="AD6" s="743"/>
      <c r="AE6" s="743"/>
      <c r="AF6" s="743"/>
      <c r="AG6" s="743"/>
      <c r="AH6" s="743"/>
      <c r="AI6" s="743"/>
      <c r="AJ6" s="743"/>
      <c r="AK6" s="743"/>
      <c r="AL6" s="743"/>
      <c r="AM6" s="743"/>
      <c r="AN6" s="743"/>
      <c r="AO6" s="743"/>
      <c r="AP6" s="743"/>
      <c r="AQ6" s="743"/>
      <c r="AR6" s="743"/>
      <c r="AS6" s="743"/>
      <c r="AT6" s="743"/>
      <c r="AU6" s="743"/>
      <c r="AV6" s="743"/>
      <c r="AW6" s="743"/>
      <c r="AX6" s="743"/>
      <c r="AY6" s="744"/>
    </row>
    <row r="7" spans="1:51" ht="18.75" thickBot="1" x14ac:dyDescent="0.3">
      <c r="A7" s="143"/>
      <c r="B7" s="628"/>
      <c r="C7" s="629"/>
      <c r="D7" s="144"/>
      <c r="E7" s="145"/>
      <c r="F7" s="145"/>
      <c r="G7" s="565"/>
      <c r="H7" s="145"/>
      <c r="I7" s="145"/>
      <c r="J7" s="145"/>
      <c r="K7" s="145"/>
      <c r="L7" s="145"/>
      <c r="M7" s="146"/>
      <c r="N7" s="145"/>
      <c r="O7" s="145"/>
      <c r="P7" s="145"/>
      <c r="Q7" s="145"/>
      <c r="R7" s="146"/>
      <c r="S7" s="565"/>
      <c r="T7" s="565"/>
      <c r="U7" s="145"/>
      <c r="V7" s="145"/>
      <c r="W7" s="145"/>
      <c r="X7" s="145"/>
      <c r="Y7" s="145"/>
      <c r="Z7" s="146"/>
      <c r="AA7" s="146"/>
      <c r="AB7" s="146"/>
      <c r="AC7" s="146"/>
      <c r="AD7" s="146"/>
      <c r="AE7" s="146"/>
      <c r="AF7" s="146"/>
      <c r="AG7" s="147"/>
      <c r="AH7" s="147"/>
      <c r="AI7" s="147"/>
      <c r="AJ7" s="147"/>
      <c r="AK7" s="147"/>
      <c r="AL7" s="147"/>
      <c r="AM7" s="145"/>
      <c r="AN7" s="145"/>
      <c r="AO7" s="145"/>
      <c r="AP7" s="145"/>
      <c r="AQ7" s="145"/>
      <c r="AR7" s="145"/>
      <c r="AS7" s="145"/>
      <c r="AT7" s="145"/>
      <c r="AU7" s="145"/>
      <c r="AV7" s="145"/>
      <c r="AW7" s="145"/>
      <c r="AX7" s="145"/>
      <c r="AY7" s="148"/>
    </row>
    <row r="8" spans="1:51" ht="29.25" customHeight="1" thickBot="1" x14ac:dyDescent="0.3">
      <c r="A8" s="850" t="s">
        <v>424</v>
      </c>
      <c r="B8" s="701"/>
      <c r="C8" s="701"/>
      <c r="D8" s="701"/>
      <c r="E8" s="701"/>
      <c r="F8" s="704"/>
      <c r="G8" s="851" t="s">
        <v>425</v>
      </c>
      <c r="H8" s="701"/>
      <c r="I8" s="701"/>
      <c r="J8" s="701"/>
      <c r="K8" s="701"/>
      <c r="L8" s="701"/>
      <c r="M8" s="701"/>
      <c r="N8" s="701"/>
      <c r="O8" s="701"/>
      <c r="P8" s="701"/>
      <c r="Q8" s="701"/>
      <c r="R8" s="701"/>
      <c r="S8" s="704"/>
      <c r="T8" s="851" t="s">
        <v>426</v>
      </c>
      <c r="U8" s="701"/>
      <c r="V8" s="701"/>
      <c r="W8" s="701"/>
      <c r="X8" s="701"/>
      <c r="Y8" s="701"/>
      <c r="Z8" s="701"/>
      <c r="AA8" s="701"/>
      <c r="AB8" s="701"/>
      <c r="AC8" s="701"/>
      <c r="AD8" s="701"/>
      <c r="AE8" s="701"/>
      <c r="AF8" s="704"/>
      <c r="AG8" s="854" t="s">
        <v>427</v>
      </c>
      <c r="AH8" s="695"/>
      <c r="AI8" s="695"/>
      <c r="AJ8" s="695"/>
      <c r="AK8" s="853"/>
      <c r="AL8" s="855" t="s">
        <v>428</v>
      </c>
      <c r="AM8" s="853"/>
      <c r="AN8" s="149"/>
      <c r="AO8" s="852" t="s">
        <v>429</v>
      </c>
      <c r="AP8" s="695"/>
      <c r="AQ8" s="695"/>
      <c r="AR8" s="695"/>
      <c r="AS8" s="695"/>
      <c r="AT8" s="695"/>
      <c r="AU8" s="695"/>
      <c r="AV8" s="695"/>
      <c r="AW8" s="695"/>
      <c r="AX8" s="853"/>
      <c r="AY8" s="856" t="s">
        <v>430</v>
      </c>
    </row>
    <row r="9" spans="1:51" ht="64.5" customHeight="1" thickBot="1" x14ac:dyDescent="0.3">
      <c r="A9" s="150" t="s">
        <v>431</v>
      </c>
      <c r="B9" s="150" t="s">
        <v>432</v>
      </c>
      <c r="C9" s="150" t="s">
        <v>1495</v>
      </c>
      <c r="D9" s="151" t="s">
        <v>433</v>
      </c>
      <c r="E9" s="152" t="s">
        <v>1424</v>
      </c>
      <c r="F9" s="152" t="s">
        <v>434</v>
      </c>
      <c r="G9" s="153" t="s">
        <v>389</v>
      </c>
      <c r="H9" s="153" t="s">
        <v>390</v>
      </c>
      <c r="I9" s="153" t="s">
        <v>391</v>
      </c>
      <c r="J9" s="153" t="s">
        <v>392</v>
      </c>
      <c r="K9" s="153" t="s">
        <v>393</v>
      </c>
      <c r="L9" s="153" t="s">
        <v>394</v>
      </c>
      <c r="M9" s="153" t="s">
        <v>395</v>
      </c>
      <c r="N9" s="153" t="s">
        <v>396</v>
      </c>
      <c r="O9" s="153" t="s">
        <v>397</v>
      </c>
      <c r="P9" s="153" t="s">
        <v>398</v>
      </c>
      <c r="Q9" s="153" t="s">
        <v>399</v>
      </c>
      <c r="R9" s="153" t="s">
        <v>400</v>
      </c>
      <c r="S9" s="138" t="s">
        <v>435</v>
      </c>
      <c r="T9" s="153" t="s">
        <v>389</v>
      </c>
      <c r="U9" s="153" t="s">
        <v>390</v>
      </c>
      <c r="V9" s="153" t="s">
        <v>391</v>
      </c>
      <c r="W9" s="153" t="s">
        <v>392</v>
      </c>
      <c r="X9" s="153" t="s">
        <v>393</v>
      </c>
      <c r="Y9" s="153" t="s">
        <v>394</v>
      </c>
      <c r="Z9" s="153" t="s">
        <v>395</v>
      </c>
      <c r="AA9" s="153" t="s">
        <v>396</v>
      </c>
      <c r="AB9" s="153" t="s">
        <v>397</v>
      </c>
      <c r="AC9" s="153" t="s">
        <v>398</v>
      </c>
      <c r="AD9" s="155" t="s">
        <v>399</v>
      </c>
      <c r="AE9" s="156" t="s">
        <v>400</v>
      </c>
      <c r="AF9" s="157" t="s">
        <v>1496</v>
      </c>
      <c r="AG9" s="158" t="s">
        <v>437</v>
      </c>
      <c r="AH9" s="128" t="s">
        <v>438</v>
      </c>
      <c r="AI9" s="128" t="s">
        <v>439</v>
      </c>
      <c r="AJ9" s="128" t="s">
        <v>440</v>
      </c>
      <c r="AK9" s="128" t="s">
        <v>441</v>
      </c>
      <c r="AL9" s="128" t="s">
        <v>442</v>
      </c>
      <c r="AM9" s="128" t="s">
        <v>443</v>
      </c>
      <c r="AN9" s="159" t="s">
        <v>444</v>
      </c>
      <c r="AO9" s="159" t="s">
        <v>445</v>
      </c>
      <c r="AP9" s="159" t="s">
        <v>446</v>
      </c>
      <c r="AQ9" s="159" t="s">
        <v>447</v>
      </c>
      <c r="AR9" s="159" t="s">
        <v>448</v>
      </c>
      <c r="AS9" s="159" t="s">
        <v>449</v>
      </c>
      <c r="AT9" s="159" t="s">
        <v>450</v>
      </c>
      <c r="AU9" s="159" t="s">
        <v>451</v>
      </c>
      <c r="AV9" s="159" t="s">
        <v>452</v>
      </c>
      <c r="AW9" s="159" t="s">
        <v>453</v>
      </c>
      <c r="AX9" s="160" t="s">
        <v>454</v>
      </c>
      <c r="AY9" s="857"/>
    </row>
    <row r="10" spans="1:51" ht="28.9" customHeight="1" x14ac:dyDescent="0.25">
      <c r="A10" s="1373">
        <v>1</v>
      </c>
      <c r="B10" s="1374" t="s">
        <v>339</v>
      </c>
      <c r="C10" s="1375" t="s">
        <v>455</v>
      </c>
      <c r="D10" s="161" t="s">
        <v>340</v>
      </c>
      <c r="E10" s="1059">
        <f>+INVERSIÓN!DN10</f>
        <v>81</v>
      </c>
      <c r="F10" s="1059">
        <v>81</v>
      </c>
      <c r="G10" s="1059">
        <v>81</v>
      </c>
      <c r="H10" s="1059">
        <v>81</v>
      </c>
      <c r="I10" s="1059">
        <v>81</v>
      </c>
      <c r="J10" s="1059"/>
      <c r="K10" s="1059"/>
      <c r="L10" s="1059"/>
      <c r="M10" s="1059"/>
      <c r="N10" s="1020"/>
      <c r="O10" s="1059"/>
      <c r="P10" s="1059"/>
      <c r="Q10" s="1059"/>
      <c r="R10" s="1059"/>
      <c r="S10" s="1272"/>
      <c r="T10" s="1020">
        <v>12</v>
      </c>
      <c r="U10" s="1020">
        <v>26</v>
      </c>
      <c r="V10" s="1020">
        <v>40</v>
      </c>
      <c r="W10" s="1020"/>
      <c r="X10" s="1020"/>
      <c r="Y10" s="1020"/>
      <c r="Z10" s="1020"/>
      <c r="AA10" s="1020"/>
      <c r="AB10" s="1059"/>
      <c r="AC10" s="1225"/>
      <c r="AD10" s="1059"/>
      <c r="AE10" s="1059"/>
      <c r="AF10" s="1273" t="s">
        <v>1511</v>
      </c>
      <c r="AG10" s="1274" t="s">
        <v>456</v>
      </c>
      <c r="AH10" s="1275" t="s">
        <v>178</v>
      </c>
      <c r="AI10" s="1275" t="s">
        <v>178</v>
      </c>
      <c r="AJ10" s="1275" t="s">
        <v>178</v>
      </c>
      <c r="AK10" s="1275" t="s">
        <v>457</v>
      </c>
      <c r="AL10" s="1276" t="s">
        <v>178</v>
      </c>
      <c r="AM10" s="1276" t="s">
        <v>458</v>
      </c>
      <c r="AN10" s="1277">
        <v>8371164</v>
      </c>
      <c r="AO10" s="1277">
        <v>4014958</v>
      </c>
      <c r="AP10" s="1277">
        <v>4356206</v>
      </c>
      <c r="AQ10" s="1278" t="s">
        <v>459</v>
      </c>
      <c r="AR10" s="1278" t="s">
        <v>459</v>
      </c>
      <c r="AS10" s="1278" t="s">
        <v>459</v>
      </c>
      <c r="AT10" s="1278" t="s">
        <v>459</v>
      </c>
      <c r="AU10" s="1278" t="s">
        <v>459</v>
      </c>
      <c r="AV10" s="1278" t="s">
        <v>459</v>
      </c>
      <c r="AW10" s="1278" t="s">
        <v>459</v>
      </c>
      <c r="AX10" s="1277">
        <v>8371164</v>
      </c>
      <c r="AY10" s="1275" t="s">
        <v>460</v>
      </c>
    </row>
    <row r="11" spans="1:51" ht="28.9" customHeight="1" x14ac:dyDescent="0.25">
      <c r="A11" s="1189"/>
      <c r="B11" s="1018"/>
      <c r="C11" s="1018"/>
      <c r="D11" s="164" t="s">
        <v>343</v>
      </c>
      <c r="E11" s="1059">
        <f>+INVERSIÓN!DN11</f>
        <v>689277000</v>
      </c>
      <c r="F11" s="1059">
        <v>689277000</v>
      </c>
      <c r="G11" s="1059">
        <v>689277000</v>
      </c>
      <c r="H11" s="1059">
        <v>689277000</v>
      </c>
      <c r="I11" s="1059">
        <v>689277000</v>
      </c>
      <c r="J11" s="1059"/>
      <c r="K11" s="1059"/>
      <c r="L11" s="1059"/>
      <c r="M11" s="1059"/>
      <c r="N11" s="1059"/>
      <c r="O11" s="1059"/>
      <c r="P11" s="1059"/>
      <c r="Q11" s="1059"/>
      <c r="R11" s="1059"/>
      <c r="S11" s="1073"/>
      <c r="T11" s="1020">
        <v>61986000</v>
      </c>
      <c r="U11" s="1020">
        <v>207576000</v>
      </c>
      <c r="V11" s="1020">
        <v>207576000</v>
      </c>
      <c r="W11" s="1020"/>
      <c r="X11" s="1059"/>
      <c r="Y11" s="1059"/>
      <c r="Z11" s="1059"/>
      <c r="AA11" s="1020"/>
      <c r="AB11" s="1059"/>
      <c r="AC11" s="1059"/>
      <c r="AD11" s="1059"/>
      <c r="AE11" s="1059"/>
      <c r="AF11" s="1203"/>
      <c r="AG11" s="1204"/>
      <c r="AH11" s="1073"/>
      <c r="AI11" s="1073"/>
      <c r="AJ11" s="1073"/>
      <c r="AK11" s="1073"/>
      <c r="AL11" s="1073"/>
      <c r="AM11" s="1073"/>
      <c r="AN11" s="1073"/>
      <c r="AO11" s="1073"/>
      <c r="AP11" s="1073"/>
      <c r="AQ11" s="1073"/>
      <c r="AR11" s="1073"/>
      <c r="AS11" s="1073"/>
      <c r="AT11" s="1073"/>
      <c r="AU11" s="1073"/>
      <c r="AV11" s="1073"/>
      <c r="AW11" s="1073"/>
      <c r="AX11" s="1073"/>
      <c r="AY11" s="1073"/>
    </row>
    <row r="12" spans="1:51" ht="28.9" customHeight="1" x14ac:dyDescent="0.25">
      <c r="A12" s="1189"/>
      <c r="B12" s="1018"/>
      <c r="C12" s="1018"/>
      <c r="D12" s="165" t="s">
        <v>345</v>
      </c>
      <c r="E12" s="1059">
        <v>5</v>
      </c>
      <c r="F12" s="1059">
        <v>5</v>
      </c>
      <c r="G12" s="1059">
        <v>5</v>
      </c>
      <c r="H12" s="1059">
        <v>5</v>
      </c>
      <c r="I12" s="1059">
        <v>5</v>
      </c>
      <c r="J12" s="1059"/>
      <c r="K12" s="1225"/>
      <c r="L12" s="1225"/>
      <c r="M12" s="1059"/>
      <c r="N12" s="1020"/>
      <c r="O12" s="1059"/>
      <c r="P12" s="1059"/>
      <c r="Q12" s="1059"/>
      <c r="R12" s="1059"/>
      <c r="S12" s="1073"/>
      <c r="T12" s="1020">
        <v>5</v>
      </c>
      <c r="U12" s="1020">
        <v>5</v>
      </c>
      <c r="V12" s="1020">
        <v>5</v>
      </c>
      <c r="W12" s="1020"/>
      <c r="X12" s="1023"/>
      <c r="Y12" s="1023"/>
      <c r="Z12" s="1020"/>
      <c r="AA12" s="1020"/>
      <c r="AB12" s="1059"/>
      <c r="AC12" s="1059"/>
      <c r="AD12" s="1059"/>
      <c r="AE12" s="1059"/>
      <c r="AF12" s="1203"/>
      <c r="AG12" s="1204"/>
      <c r="AH12" s="1073"/>
      <c r="AI12" s="1073"/>
      <c r="AJ12" s="1073"/>
      <c r="AK12" s="1073"/>
      <c r="AL12" s="1073"/>
      <c r="AM12" s="1073"/>
      <c r="AN12" s="1073"/>
      <c r="AO12" s="1073"/>
      <c r="AP12" s="1073"/>
      <c r="AQ12" s="1073"/>
      <c r="AR12" s="1073"/>
      <c r="AS12" s="1073"/>
      <c r="AT12" s="1073"/>
      <c r="AU12" s="1073"/>
      <c r="AV12" s="1073"/>
      <c r="AW12" s="1073"/>
      <c r="AX12" s="1073"/>
      <c r="AY12" s="1073"/>
    </row>
    <row r="13" spans="1:51" ht="28.9" customHeight="1" x14ac:dyDescent="0.25">
      <c r="A13" s="1189"/>
      <c r="B13" s="1018"/>
      <c r="C13" s="1018"/>
      <c r="D13" s="164" t="s">
        <v>346</v>
      </c>
      <c r="E13" s="1059">
        <f>+INVERSIÓN!DN14</f>
        <v>125673233</v>
      </c>
      <c r="F13" s="1059">
        <v>125673233</v>
      </c>
      <c r="G13" s="1059">
        <v>125673233</v>
      </c>
      <c r="H13" s="1059">
        <v>125673233</v>
      </c>
      <c r="I13" s="1059">
        <v>125673233</v>
      </c>
      <c r="J13" s="1059"/>
      <c r="K13" s="1225"/>
      <c r="L13" s="1225"/>
      <c r="M13" s="1059"/>
      <c r="N13" s="1020"/>
      <c r="O13" s="1020"/>
      <c r="P13" s="1059"/>
      <c r="Q13" s="1059"/>
      <c r="R13" s="1059"/>
      <c r="S13" s="1073"/>
      <c r="T13" s="1020">
        <v>51565843</v>
      </c>
      <c r="U13" s="1020">
        <v>114982761</v>
      </c>
      <c r="V13" s="1020">
        <v>121334443</v>
      </c>
      <c r="W13" s="1020"/>
      <c r="X13" s="1059"/>
      <c r="Y13" s="1059"/>
      <c r="Z13" s="1020"/>
      <c r="AA13" s="1020"/>
      <c r="AB13" s="1020"/>
      <c r="AC13" s="1059"/>
      <c r="AD13" s="1059"/>
      <c r="AE13" s="1059"/>
      <c r="AF13" s="1203"/>
      <c r="AG13" s="1204"/>
      <c r="AH13" s="1073"/>
      <c r="AI13" s="1073"/>
      <c r="AJ13" s="1073"/>
      <c r="AK13" s="1073"/>
      <c r="AL13" s="1073"/>
      <c r="AM13" s="1073"/>
      <c r="AN13" s="1073"/>
      <c r="AO13" s="1073"/>
      <c r="AP13" s="1073"/>
      <c r="AQ13" s="1073"/>
      <c r="AR13" s="1073"/>
      <c r="AS13" s="1073"/>
      <c r="AT13" s="1073"/>
      <c r="AU13" s="1073"/>
      <c r="AV13" s="1073"/>
      <c r="AW13" s="1073"/>
      <c r="AX13" s="1073"/>
      <c r="AY13" s="1073"/>
    </row>
    <row r="14" spans="1:51" ht="28.9" customHeight="1" x14ac:dyDescent="0.25">
      <c r="A14" s="1189"/>
      <c r="B14" s="1018"/>
      <c r="C14" s="1018"/>
      <c r="D14" s="165" t="s">
        <v>347</v>
      </c>
      <c r="E14" s="1059">
        <f>+INVERSIÓN!DN15</f>
        <v>86</v>
      </c>
      <c r="F14" s="1059">
        <v>81</v>
      </c>
      <c r="G14" s="1059">
        <f>+G10+G12</f>
        <v>86</v>
      </c>
      <c r="H14" s="1059">
        <f>+H10+H12</f>
        <v>86</v>
      </c>
      <c r="I14" s="1059">
        <v>86</v>
      </c>
      <c r="J14" s="1059"/>
      <c r="K14" s="1225"/>
      <c r="L14" s="1225"/>
      <c r="M14" s="1059"/>
      <c r="N14" s="1059"/>
      <c r="O14" s="1059"/>
      <c r="P14" s="1059"/>
      <c r="Q14" s="1059"/>
      <c r="R14" s="1059"/>
      <c r="S14" s="1073"/>
      <c r="T14" s="1020">
        <v>17</v>
      </c>
      <c r="U14" s="1020">
        <v>31</v>
      </c>
      <c r="V14" s="1020">
        <v>45</v>
      </c>
      <c r="W14" s="1020"/>
      <c r="X14" s="1023"/>
      <c r="Y14" s="1023"/>
      <c r="Z14" s="1020"/>
      <c r="AA14" s="1020"/>
      <c r="AB14" s="1059"/>
      <c r="AC14" s="1059"/>
      <c r="AD14" s="1059"/>
      <c r="AE14" s="1059"/>
      <c r="AF14" s="1203"/>
      <c r="AG14" s="1204"/>
      <c r="AH14" s="1073"/>
      <c r="AI14" s="1073"/>
      <c r="AJ14" s="1073"/>
      <c r="AK14" s="1073"/>
      <c r="AL14" s="1073"/>
      <c r="AM14" s="1073"/>
      <c r="AN14" s="1073"/>
      <c r="AO14" s="1073"/>
      <c r="AP14" s="1073"/>
      <c r="AQ14" s="1073"/>
      <c r="AR14" s="1073"/>
      <c r="AS14" s="1073"/>
      <c r="AT14" s="1073"/>
      <c r="AU14" s="1073"/>
      <c r="AV14" s="1073"/>
      <c r="AW14" s="1073"/>
      <c r="AX14" s="1073"/>
      <c r="AY14" s="1073"/>
    </row>
    <row r="15" spans="1:51" ht="28.9" customHeight="1" x14ac:dyDescent="0.25">
      <c r="A15" s="1189"/>
      <c r="B15" s="1018"/>
      <c r="C15" s="1048"/>
      <c r="D15" s="164" t="s">
        <v>348</v>
      </c>
      <c r="E15" s="1059">
        <f>+INVERSIÓN!DN16</f>
        <v>814950233</v>
      </c>
      <c r="F15" s="1059">
        <v>689277000</v>
      </c>
      <c r="G15" s="1059">
        <f>+G11+G13</f>
        <v>814950233</v>
      </c>
      <c r="H15" s="1059">
        <f>+H11+H13</f>
        <v>814950233</v>
      </c>
      <c r="I15" s="1059">
        <v>814950233</v>
      </c>
      <c r="J15" s="1059"/>
      <c r="K15" s="1225"/>
      <c r="L15" s="1225"/>
      <c r="M15" s="1225"/>
      <c r="N15" s="1225"/>
      <c r="O15" s="1225"/>
      <c r="P15" s="1225"/>
      <c r="Q15" s="1225"/>
      <c r="R15" s="1225"/>
      <c r="S15" s="1076"/>
      <c r="T15" s="1059">
        <v>113551843</v>
      </c>
      <c r="U15" s="1020">
        <f>+U11+U13</f>
        <v>322558761</v>
      </c>
      <c r="V15" s="1020">
        <f>+V11+V13</f>
        <v>328910443</v>
      </c>
      <c r="W15" s="1059"/>
      <c r="X15" s="1059"/>
      <c r="Y15" s="1059"/>
      <c r="Z15" s="1020"/>
      <c r="AA15" s="1020"/>
      <c r="AB15" s="1020"/>
      <c r="AC15" s="1020"/>
      <c r="AD15" s="1020"/>
      <c r="AE15" s="1020"/>
      <c r="AF15" s="1203"/>
      <c r="AG15" s="1190"/>
      <c r="AH15" s="1076"/>
      <c r="AI15" s="1076"/>
      <c r="AJ15" s="1076"/>
      <c r="AK15" s="1076"/>
      <c r="AL15" s="1076"/>
      <c r="AM15" s="1076"/>
      <c r="AN15" s="1076"/>
      <c r="AO15" s="1076"/>
      <c r="AP15" s="1076"/>
      <c r="AQ15" s="1076"/>
      <c r="AR15" s="1076"/>
      <c r="AS15" s="1076"/>
      <c r="AT15" s="1076"/>
      <c r="AU15" s="1076"/>
      <c r="AV15" s="1076"/>
      <c r="AW15" s="1076"/>
      <c r="AX15" s="1076"/>
      <c r="AY15" s="1073"/>
    </row>
    <row r="16" spans="1:51" ht="22.9" customHeight="1" x14ac:dyDescent="0.25">
      <c r="A16" s="1189"/>
      <c r="B16" s="1018"/>
      <c r="C16" s="1217" t="s">
        <v>461</v>
      </c>
      <c r="D16" s="161" t="s">
        <v>340</v>
      </c>
      <c r="E16" s="1225"/>
      <c r="F16" s="1225"/>
      <c r="G16" s="1225">
        <v>1</v>
      </c>
      <c r="H16" s="1020">
        <v>2</v>
      </c>
      <c r="I16" s="1020">
        <v>2</v>
      </c>
      <c r="J16" s="1020"/>
      <c r="K16" s="1020"/>
      <c r="L16" s="1020"/>
      <c r="M16" s="1020"/>
      <c r="N16" s="1020"/>
      <c r="O16" s="1020"/>
      <c r="P16" s="1020"/>
      <c r="Q16" s="1020"/>
      <c r="R16" s="1020"/>
      <c r="S16" s="1183"/>
      <c r="T16" s="1020">
        <f t="shared" ref="T16:U31" si="0">+G16</f>
        <v>1</v>
      </c>
      <c r="U16" s="1020">
        <f t="shared" si="0"/>
        <v>2</v>
      </c>
      <c r="V16" s="1020">
        <f>+I16</f>
        <v>2</v>
      </c>
      <c r="W16" s="1023"/>
      <c r="X16" s="1225"/>
      <c r="Y16" s="1225"/>
      <c r="Z16" s="1023"/>
      <c r="AA16" s="1225"/>
      <c r="AB16" s="1225"/>
      <c r="AC16" s="1225"/>
      <c r="AD16" s="1225"/>
      <c r="AE16" s="1225"/>
      <c r="AF16" s="1279" t="s">
        <v>1497</v>
      </c>
      <c r="AG16" s="1280" t="s">
        <v>462</v>
      </c>
      <c r="AH16" s="1275" t="s">
        <v>1514</v>
      </c>
      <c r="AI16" s="1275" t="s">
        <v>1515</v>
      </c>
      <c r="AJ16" s="1281" t="s">
        <v>463</v>
      </c>
      <c r="AK16" s="1275" t="s">
        <v>457</v>
      </c>
      <c r="AL16" s="1275" t="s">
        <v>1615</v>
      </c>
      <c r="AM16" s="1275" t="s">
        <v>458</v>
      </c>
      <c r="AN16" s="1282">
        <v>593978</v>
      </c>
      <c r="AO16" s="1282">
        <v>272693</v>
      </c>
      <c r="AP16" s="1282">
        <v>321285</v>
      </c>
      <c r="AQ16" s="1283" t="s">
        <v>459</v>
      </c>
      <c r="AR16" s="1283" t="s">
        <v>459</v>
      </c>
      <c r="AS16" s="1283" t="s">
        <v>459</v>
      </c>
      <c r="AT16" s="1283" t="s">
        <v>459</v>
      </c>
      <c r="AU16" s="1284" t="s">
        <v>459</v>
      </c>
      <c r="AV16" s="1284" t="s">
        <v>459</v>
      </c>
      <c r="AW16" s="1284" t="s">
        <v>459</v>
      </c>
      <c r="AX16" s="1282">
        <v>593978</v>
      </c>
      <c r="AY16" s="1073"/>
    </row>
    <row r="17" spans="1:51" ht="28.15" customHeight="1" x14ac:dyDescent="0.25">
      <c r="A17" s="1189"/>
      <c r="B17" s="1018"/>
      <c r="C17" s="1018"/>
      <c r="D17" s="164" t="s">
        <v>343</v>
      </c>
      <c r="E17" s="1225"/>
      <c r="F17" s="1225"/>
      <c r="G17" s="1225">
        <f>+G16*$T$11/$T$10</f>
        <v>5165500</v>
      </c>
      <c r="H17" s="1225">
        <f>+H16*$U$11/$U$10</f>
        <v>15967384.615384616</v>
      </c>
      <c r="I17" s="1225">
        <f>+I16*$V$11/$V$10</f>
        <v>10378800</v>
      </c>
      <c r="J17" s="1225"/>
      <c r="K17" s="1225"/>
      <c r="L17" s="1225"/>
      <c r="M17" s="1225"/>
      <c r="N17" s="1225"/>
      <c r="O17" s="1225"/>
      <c r="P17" s="1225"/>
      <c r="Q17" s="1225"/>
      <c r="R17" s="1225"/>
      <c r="S17" s="1183"/>
      <c r="T17" s="1020">
        <f t="shared" ref="T17:U80" si="1">+G17</f>
        <v>5165500</v>
      </c>
      <c r="U17" s="1020">
        <f t="shared" si="0"/>
        <v>15967384.615384616</v>
      </c>
      <c r="V17" s="1020">
        <f t="shared" ref="V17:V80" si="2">+I17</f>
        <v>10378800</v>
      </c>
      <c r="W17" s="1023"/>
      <c r="X17" s="1225"/>
      <c r="Y17" s="1225"/>
      <c r="Z17" s="1225"/>
      <c r="AA17" s="1225"/>
      <c r="AB17" s="1225"/>
      <c r="AC17" s="1225"/>
      <c r="AD17" s="1225"/>
      <c r="AE17" s="1225"/>
      <c r="AF17" s="1203"/>
      <c r="AG17" s="1204"/>
      <c r="AH17" s="1073"/>
      <c r="AI17" s="1073"/>
      <c r="AJ17" s="1285" t="s">
        <v>464</v>
      </c>
      <c r="AK17" s="1073"/>
      <c r="AL17" s="1073"/>
      <c r="AM17" s="1073"/>
      <c r="AN17" s="1073"/>
      <c r="AO17" s="1073"/>
      <c r="AP17" s="1073"/>
      <c r="AQ17" s="1073"/>
      <c r="AR17" s="1073"/>
      <c r="AS17" s="1073"/>
      <c r="AT17" s="1073"/>
      <c r="AU17" s="1073"/>
      <c r="AV17" s="1073"/>
      <c r="AW17" s="1073"/>
      <c r="AX17" s="1073"/>
      <c r="AY17" s="1073"/>
    </row>
    <row r="18" spans="1:51" ht="28.5" x14ac:dyDescent="0.25">
      <c r="A18" s="1189"/>
      <c r="B18" s="1018"/>
      <c r="C18" s="1018"/>
      <c r="D18" s="165" t="s">
        <v>345</v>
      </c>
      <c r="E18" s="1225"/>
      <c r="F18" s="1225"/>
      <c r="G18" s="1225"/>
      <c r="H18" s="1020"/>
      <c r="I18" s="1020"/>
      <c r="J18" s="1020"/>
      <c r="K18" s="1020"/>
      <c r="L18" s="1020"/>
      <c r="M18" s="1020"/>
      <c r="N18" s="1020"/>
      <c r="O18" s="1020"/>
      <c r="P18" s="1020"/>
      <c r="Q18" s="1020"/>
      <c r="R18" s="1020"/>
      <c r="S18" s="1183"/>
      <c r="T18" s="1020">
        <f t="shared" si="1"/>
        <v>0</v>
      </c>
      <c r="U18" s="1020">
        <f t="shared" si="0"/>
        <v>0</v>
      </c>
      <c r="V18" s="1020">
        <f t="shared" si="2"/>
        <v>0</v>
      </c>
      <c r="W18" s="1023"/>
      <c r="X18" s="1225"/>
      <c r="Y18" s="1225"/>
      <c r="Z18" s="1023"/>
      <c r="AA18" s="1225"/>
      <c r="AB18" s="1225"/>
      <c r="AC18" s="1225"/>
      <c r="AD18" s="1225"/>
      <c r="AE18" s="1225"/>
      <c r="AF18" s="1203"/>
      <c r="AG18" s="1204"/>
      <c r="AH18" s="1073"/>
      <c r="AI18" s="1073"/>
      <c r="AJ18" s="1285" t="s">
        <v>1475</v>
      </c>
      <c r="AK18" s="1073"/>
      <c r="AL18" s="1073"/>
      <c r="AM18" s="1073"/>
      <c r="AN18" s="1073"/>
      <c r="AO18" s="1073"/>
      <c r="AP18" s="1073"/>
      <c r="AQ18" s="1073"/>
      <c r="AR18" s="1073"/>
      <c r="AS18" s="1073"/>
      <c r="AT18" s="1073"/>
      <c r="AU18" s="1073"/>
      <c r="AV18" s="1073"/>
      <c r="AW18" s="1073"/>
      <c r="AX18" s="1073"/>
      <c r="AY18" s="1073"/>
    </row>
    <row r="19" spans="1:51" ht="27" customHeight="1" x14ac:dyDescent="0.25">
      <c r="A19" s="1189"/>
      <c r="B19" s="1018"/>
      <c r="C19" s="1018"/>
      <c r="D19" s="164" t="s">
        <v>346</v>
      </c>
      <c r="E19" s="1225"/>
      <c r="F19" s="1225"/>
      <c r="G19" s="1225">
        <v>0</v>
      </c>
      <c r="H19" s="1020">
        <v>0</v>
      </c>
      <c r="I19" s="1020">
        <v>0</v>
      </c>
      <c r="J19" s="1020"/>
      <c r="K19" s="1020"/>
      <c r="L19" s="1020"/>
      <c r="M19" s="1020"/>
      <c r="N19" s="1020"/>
      <c r="O19" s="1020"/>
      <c r="P19" s="1020"/>
      <c r="Q19" s="1020"/>
      <c r="R19" s="1020"/>
      <c r="S19" s="1183"/>
      <c r="T19" s="1020">
        <f t="shared" si="1"/>
        <v>0</v>
      </c>
      <c r="U19" s="1020">
        <f t="shared" si="0"/>
        <v>0</v>
      </c>
      <c r="V19" s="1020">
        <f t="shared" si="2"/>
        <v>0</v>
      </c>
      <c r="W19" s="1023"/>
      <c r="X19" s="1225"/>
      <c r="Y19" s="1225"/>
      <c r="Z19" s="1059"/>
      <c r="AA19" s="1225"/>
      <c r="AB19" s="1225"/>
      <c r="AC19" s="1225"/>
      <c r="AD19" s="1225"/>
      <c r="AE19" s="1225"/>
      <c r="AF19" s="1203"/>
      <c r="AG19" s="1204"/>
      <c r="AH19" s="1073"/>
      <c r="AI19" s="1073"/>
      <c r="AJ19" s="1285" t="s">
        <v>465</v>
      </c>
      <c r="AK19" s="1073"/>
      <c r="AL19" s="1073"/>
      <c r="AM19" s="1073"/>
      <c r="AN19" s="1073"/>
      <c r="AO19" s="1073"/>
      <c r="AP19" s="1073"/>
      <c r="AQ19" s="1073"/>
      <c r="AR19" s="1073"/>
      <c r="AS19" s="1073"/>
      <c r="AT19" s="1073"/>
      <c r="AU19" s="1073"/>
      <c r="AV19" s="1073"/>
      <c r="AW19" s="1073"/>
      <c r="AX19" s="1073"/>
      <c r="AY19" s="1073"/>
    </row>
    <row r="20" spans="1:51" ht="27" customHeight="1" x14ac:dyDescent="0.25">
      <c r="A20" s="1189"/>
      <c r="B20" s="1018"/>
      <c r="C20" s="1018"/>
      <c r="D20" s="165" t="s">
        <v>347</v>
      </c>
      <c r="E20" s="1225"/>
      <c r="F20" s="1225"/>
      <c r="G20" s="1225">
        <f>+G16+G18</f>
        <v>1</v>
      </c>
      <c r="H20" s="1225">
        <f t="shared" ref="H20:R20" si="3">+H16+H18</f>
        <v>2</v>
      </c>
      <c r="I20" s="1225">
        <f t="shared" si="3"/>
        <v>2</v>
      </c>
      <c r="J20" s="1225"/>
      <c r="K20" s="1225"/>
      <c r="L20" s="1225"/>
      <c r="M20" s="1225"/>
      <c r="N20" s="1225"/>
      <c r="O20" s="1225"/>
      <c r="P20" s="1225"/>
      <c r="Q20" s="1225"/>
      <c r="R20" s="1225"/>
      <c r="S20" s="1183"/>
      <c r="T20" s="1020">
        <f t="shared" si="1"/>
        <v>1</v>
      </c>
      <c r="U20" s="1020">
        <f t="shared" si="0"/>
        <v>2</v>
      </c>
      <c r="V20" s="1020">
        <f t="shared" si="2"/>
        <v>2</v>
      </c>
      <c r="W20" s="1023"/>
      <c r="X20" s="1225"/>
      <c r="Y20" s="1225"/>
      <c r="Z20" s="1023"/>
      <c r="AA20" s="1225"/>
      <c r="AB20" s="1225"/>
      <c r="AC20" s="1225"/>
      <c r="AD20" s="1225"/>
      <c r="AE20" s="1225"/>
      <c r="AF20" s="1203"/>
      <c r="AG20" s="1204"/>
      <c r="AH20" s="1073"/>
      <c r="AI20" s="1073"/>
      <c r="AJ20" s="1205" t="s">
        <v>466</v>
      </c>
      <c r="AK20" s="1073"/>
      <c r="AL20" s="1073"/>
      <c r="AM20" s="1073"/>
      <c r="AN20" s="1073"/>
      <c r="AO20" s="1073"/>
      <c r="AP20" s="1073"/>
      <c r="AQ20" s="1073"/>
      <c r="AR20" s="1073"/>
      <c r="AS20" s="1073"/>
      <c r="AT20" s="1073"/>
      <c r="AU20" s="1073"/>
      <c r="AV20" s="1073"/>
      <c r="AW20" s="1073"/>
      <c r="AX20" s="1073"/>
      <c r="AY20" s="1073"/>
    </row>
    <row r="21" spans="1:51" ht="28.9" customHeight="1" thickBot="1" x14ac:dyDescent="0.3">
      <c r="A21" s="1189"/>
      <c r="B21" s="1018"/>
      <c r="C21" s="1048"/>
      <c r="D21" s="164" t="s">
        <v>348</v>
      </c>
      <c r="E21" s="1225"/>
      <c r="F21" s="1225"/>
      <c r="G21" s="1225">
        <f>+G17+G19</f>
        <v>5165500</v>
      </c>
      <c r="H21" s="1225">
        <f>+H17+H19</f>
        <v>15967384.615384616</v>
      </c>
      <c r="I21" s="1225">
        <f>+I20*$V$11/$V$10</f>
        <v>10378800</v>
      </c>
      <c r="J21" s="1225"/>
      <c r="K21" s="1225"/>
      <c r="L21" s="1225"/>
      <c r="M21" s="1225"/>
      <c r="N21" s="1225"/>
      <c r="O21" s="1225"/>
      <c r="P21" s="1225"/>
      <c r="Q21" s="1225"/>
      <c r="R21" s="1225"/>
      <c r="S21" s="1183"/>
      <c r="T21" s="1020">
        <f t="shared" si="1"/>
        <v>5165500</v>
      </c>
      <c r="U21" s="1020">
        <f t="shared" si="0"/>
        <v>15967384.615384616</v>
      </c>
      <c r="V21" s="1020">
        <f t="shared" si="2"/>
        <v>10378800</v>
      </c>
      <c r="W21" s="1023"/>
      <c r="X21" s="1225"/>
      <c r="Y21" s="1225"/>
      <c r="Z21" s="1225"/>
      <c r="AA21" s="1225"/>
      <c r="AB21" s="1225"/>
      <c r="AC21" s="1225"/>
      <c r="AD21" s="1225"/>
      <c r="AE21" s="1225"/>
      <c r="AF21" s="1206"/>
      <c r="AG21" s="1190"/>
      <c r="AH21" s="1076"/>
      <c r="AI21" s="1076"/>
      <c r="AJ21" s="1286" t="s">
        <v>467</v>
      </c>
      <c r="AK21" s="1076"/>
      <c r="AL21" s="1076"/>
      <c r="AM21" s="1076"/>
      <c r="AN21" s="1076"/>
      <c r="AO21" s="1076"/>
      <c r="AP21" s="1076"/>
      <c r="AQ21" s="1076"/>
      <c r="AR21" s="1076"/>
      <c r="AS21" s="1076"/>
      <c r="AT21" s="1076"/>
      <c r="AU21" s="1076"/>
      <c r="AV21" s="1076"/>
      <c r="AW21" s="1076"/>
      <c r="AX21" s="1076"/>
      <c r="AY21" s="1073"/>
    </row>
    <row r="22" spans="1:51" ht="31.5" customHeight="1" x14ac:dyDescent="0.25">
      <c r="A22" s="1189"/>
      <c r="B22" s="1018"/>
      <c r="C22" s="1217" t="s">
        <v>468</v>
      </c>
      <c r="D22" s="161" t="s">
        <v>340</v>
      </c>
      <c r="E22" s="1225"/>
      <c r="F22" s="1225"/>
      <c r="G22" s="1225"/>
      <c r="H22" s="1225"/>
      <c r="I22" s="1225"/>
      <c r="J22" s="1023"/>
      <c r="K22" s="1225"/>
      <c r="L22" s="1225"/>
      <c r="M22" s="1023"/>
      <c r="N22" s="1225"/>
      <c r="O22" s="1225"/>
      <c r="P22" s="1225"/>
      <c r="Q22" s="1225"/>
      <c r="R22" s="1225"/>
      <c r="S22" s="1183"/>
      <c r="T22" s="1020">
        <f t="shared" si="1"/>
        <v>0</v>
      </c>
      <c r="U22" s="1020">
        <f t="shared" si="0"/>
        <v>0</v>
      </c>
      <c r="V22" s="1020">
        <f t="shared" si="2"/>
        <v>0</v>
      </c>
      <c r="W22" s="1023"/>
      <c r="X22" s="1225"/>
      <c r="Y22" s="1225"/>
      <c r="Z22" s="1023"/>
      <c r="AA22" s="1225"/>
      <c r="AB22" s="1225"/>
      <c r="AC22" s="1225"/>
      <c r="AD22" s="1225"/>
      <c r="AE22" s="1225"/>
      <c r="AF22" s="1279"/>
      <c r="AG22" s="1280" t="s">
        <v>469</v>
      </c>
      <c r="AH22" s="1275" t="s">
        <v>470</v>
      </c>
      <c r="AI22" s="1275" t="s">
        <v>471</v>
      </c>
      <c r="AJ22" s="1281" t="s">
        <v>463</v>
      </c>
      <c r="AK22" s="1275" t="s">
        <v>457</v>
      </c>
      <c r="AL22" s="1275" t="s">
        <v>178</v>
      </c>
      <c r="AM22" s="1275" t="s">
        <v>458</v>
      </c>
      <c r="AN22" s="1282">
        <v>18703</v>
      </c>
      <c r="AO22" s="1277">
        <v>9562</v>
      </c>
      <c r="AP22" s="1277">
        <v>9141</v>
      </c>
      <c r="AQ22" s="1120" t="s">
        <v>459</v>
      </c>
      <c r="AR22" s="1120" t="s">
        <v>459</v>
      </c>
      <c r="AS22" s="1120" t="s">
        <v>459</v>
      </c>
      <c r="AT22" s="1120" t="s">
        <v>459</v>
      </c>
      <c r="AU22" s="1278" t="s">
        <v>459</v>
      </c>
      <c r="AV22" s="1278" t="s">
        <v>459</v>
      </c>
      <c r="AW22" s="1278" t="s">
        <v>459</v>
      </c>
      <c r="AX22" s="1277">
        <v>18703</v>
      </c>
      <c r="AY22" s="1183"/>
    </row>
    <row r="23" spans="1:51" ht="34.15" customHeight="1" x14ac:dyDescent="0.25">
      <c r="A23" s="1189"/>
      <c r="B23" s="1018"/>
      <c r="C23" s="1018"/>
      <c r="D23" s="164" t="s">
        <v>343</v>
      </c>
      <c r="E23" s="1225"/>
      <c r="F23" s="1225"/>
      <c r="G23" s="1225"/>
      <c r="H23" s="1225"/>
      <c r="I23" s="1225"/>
      <c r="J23" s="1023"/>
      <c r="K23" s="1225"/>
      <c r="L23" s="1225"/>
      <c r="M23" s="1225"/>
      <c r="N23" s="1225"/>
      <c r="O23" s="1225"/>
      <c r="P23" s="1225"/>
      <c r="Q23" s="1225"/>
      <c r="R23" s="1225"/>
      <c r="S23" s="1183"/>
      <c r="T23" s="1020">
        <f t="shared" si="1"/>
        <v>0</v>
      </c>
      <c r="U23" s="1020">
        <f t="shared" si="0"/>
        <v>0</v>
      </c>
      <c r="V23" s="1020">
        <f t="shared" si="2"/>
        <v>0</v>
      </c>
      <c r="W23" s="1023"/>
      <c r="X23" s="1225"/>
      <c r="Y23" s="1225"/>
      <c r="Z23" s="1225"/>
      <c r="AA23" s="1225"/>
      <c r="AB23" s="1225"/>
      <c r="AC23" s="1225"/>
      <c r="AD23" s="1225"/>
      <c r="AE23" s="1225"/>
      <c r="AF23" s="1203"/>
      <c r="AG23" s="1204"/>
      <c r="AH23" s="1073"/>
      <c r="AI23" s="1073"/>
      <c r="AJ23" s="1285" t="s">
        <v>464</v>
      </c>
      <c r="AK23" s="1073"/>
      <c r="AL23" s="1073"/>
      <c r="AM23" s="1073"/>
      <c r="AN23" s="1073"/>
      <c r="AO23" s="1073"/>
      <c r="AP23" s="1073"/>
      <c r="AQ23" s="1073"/>
      <c r="AR23" s="1073"/>
      <c r="AS23" s="1073"/>
      <c r="AT23" s="1073"/>
      <c r="AU23" s="1073"/>
      <c r="AV23" s="1073"/>
      <c r="AW23" s="1073"/>
      <c r="AX23" s="1073"/>
      <c r="AY23" s="1183"/>
    </row>
    <row r="24" spans="1:51" ht="30.75" customHeight="1" x14ac:dyDescent="0.25">
      <c r="A24" s="1189"/>
      <c r="B24" s="1018"/>
      <c r="C24" s="1018"/>
      <c r="D24" s="165" t="s">
        <v>345</v>
      </c>
      <c r="E24" s="1225"/>
      <c r="F24" s="1225"/>
      <c r="G24" s="1225"/>
      <c r="H24" s="1225"/>
      <c r="I24" s="1225"/>
      <c r="J24" s="1023"/>
      <c r="K24" s="1225"/>
      <c r="L24" s="1225"/>
      <c r="M24" s="1023"/>
      <c r="N24" s="1225"/>
      <c r="O24" s="1225"/>
      <c r="P24" s="1225"/>
      <c r="Q24" s="1225"/>
      <c r="R24" s="1225"/>
      <c r="S24" s="1183"/>
      <c r="T24" s="1020">
        <f t="shared" si="1"/>
        <v>0</v>
      </c>
      <c r="U24" s="1020">
        <f t="shared" si="0"/>
        <v>0</v>
      </c>
      <c r="V24" s="1020">
        <f t="shared" si="2"/>
        <v>0</v>
      </c>
      <c r="W24" s="1023"/>
      <c r="X24" s="1225"/>
      <c r="Y24" s="1225"/>
      <c r="Z24" s="1023"/>
      <c r="AA24" s="1225"/>
      <c r="AB24" s="1225"/>
      <c r="AC24" s="1225"/>
      <c r="AD24" s="1225"/>
      <c r="AE24" s="1225"/>
      <c r="AF24" s="1203"/>
      <c r="AG24" s="1204"/>
      <c r="AH24" s="1073"/>
      <c r="AI24" s="1073"/>
      <c r="AJ24" s="1285" t="s">
        <v>1475</v>
      </c>
      <c r="AK24" s="1073"/>
      <c r="AL24" s="1073"/>
      <c r="AM24" s="1073"/>
      <c r="AN24" s="1073"/>
      <c r="AO24" s="1073"/>
      <c r="AP24" s="1073"/>
      <c r="AQ24" s="1073"/>
      <c r="AR24" s="1073"/>
      <c r="AS24" s="1073"/>
      <c r="AT24" s="1073"/>
      <c r="AU24" s="1073"/>
      <c r="AV24" s="1073"/>
      <c r="AW24" s="1073"/>
      <c r="AX24" s="1073"/>
      <c r="AY24" s="1183"/>
    </row>
    <row r="25" spans="1:51" ht="32.450000000000003" customHeight="1" x14ac:dyDescent="0.25">
      <c r="A25" s="1189"/>
      <c r="B25" s="1018"/>
      <c r="C25" s="1018"/>
      <c r="D25" s="164" t="s">
        <v>346</v>
      </c>
      <c r="E25" s="1225"/>
      <c r="F25" s="1225"/>
      <c r="G25" s="1225"/>
      <c r="H25" s="1225"/>
      <c r="I25" s="1225"/>
      <c r="J25" s="1023"/>
      <c r="K25" s="1225"/>
      <c r="L25" s="1225"/>
      <c r="M25" s="1023"/>
      <c r="N25" s="1225"/>
      <c r="O25" s="1225"/>
      <c r="P25" s="1225"/>
      <c r="Q25" s="1225"/>
      <c r="R25" s="1225"/>
      <c r="S25" s="1183"/>
      <c r="T25" s="1020">
        <f t="shared" si="1"/>
        <v>0</v>
      </c>
      <c r="U25" s="1020">
        <f t="shared" si="0"/>
        <v>0</v>
      </c>
      <c r="V25" s="1020">
        <f t="shared" si="2"/>
        <v>0</v>
      </c>
      <c r="W25" s="1023"/>
      <c r="X25" s="1225"/>
      <c r="Y25" s="1225"/>
      <c r="Z25" s="1023"/>
      <c r="AA25" s="1225"/>
      <c r="AB25" s="1225"/>
      <c r="AC25" s="1225"/>
      <c r="AD25" s="1225"/>
      <c r="AE25" s="1225"/>
      <c r="AF25" s="1203"/>
      <c r="AG25" s="1204"/>
      <c r="AH25" s="1073"/>
      <c r="AI25" s="1073"/>
      <c r="AJ25" s="1285" t="s">
        <v>465</v>
      </c>
      <c r="AK25" s="1073"/>
      <c r="AL25" s="1073"/>
      <c r="AM25" s="1073"/>
      <c r="AN25" s="1073"/>
      <c r="AO25" s="1073"/>
      <c r="AP25" s="1073"/>
      <c r="AQ25" s="1073"/>
      <c r="AR25" s="1073"/>
      <c r="AS25" s="1073"/>
      <c r="AT25" s="1073"/>
      <c r="AU25" s="1073"/>
      <c r="AV25" s="1073"/>
      <c r="AW25" s="1073"/>
      <c r="AX25" s="1073"/>
      <c r="AY25" s="1183"/>
    </row>
    <row r="26" spans="1:51" ht="31.15" customHeight="1" x14ac:dyDescent="0.25">
      <c r="A26" s="1189"/>
      <c r="B26" s="1018"/>
      <c r="C26" s="1018"/>
      <c r="D26" s="165" t="s">
        <v>347</v>
      </c>
      <c r="E26" s="1225"/>
      <c r="F26" s="1225"/>
      <c r="G26" s="1225"/>
      <c r="H26" s="1225"/>
      <c r="I26" s="1225"/>
      <c r="J26" s="1023"/>
      <c r="K26" s="1225"/>
      <c r="L26" s="1225"/>
      <c r="M26" s="1023"/>
      <c r="N26" s="1225"/>
      <c r="O26" s="1225"/>
      <c r="P26" s="1225"/>
      <c r="Q26" s="1225"/>
      <c r="R26" s="1225"/>
      <c r="S26" s="1183"/>
      <c r="T26" s="1020">
        <f t="shared" si="1"/>
        <v>0</v>
      </c>
      <c r="U26" s="1020">
        <f t="shared" si="0"/>
        <v>0</v>
      </c>
      <c r="V26" s="1020">
        <f t="shared" si="2"/>
        <v>0</v>
      </c>
      <c r="W26" s="1023"/>
      <c r="X26" s="1225"/>
      <c r="Y26" s="1225"/>
      <c r="Z26" s="1023"/>
      <c r="AA26" s="1225"/>
      <c r="AB26" s="1225"/>
      <c r="AC26" s="1225"/>
      <c r="AD26" s="1225"/>
      <c r="AE26" s="1225"/>
      <c r="AF26" s="1203"/>
      <c r="AG26" s="1204"/>
      <c r="AH26" s="1073"/>
      <c r="AI26" s="1073"/>
      <c r="AJ26" s="1205" t="s">
        <v>466</v>
      </c>
      <c r="AK26" s="1073"/>
      <c r="AL26" s="1073"/>
      <c r="AM26" s="1073"/>
      <c r="AN26" s="1073"/>
      <c r="AO26" s="1073"/>
      <c r="AP26" s="1073"/>
      <c r="AQ26" s="1073"/>
      <c r="AR26" s="1073"/>
      <c r="AS26" s="1073"/>
      <c r="AT26" s="1073"/>
      <c r="AU26" s="1073"/>
      <c r="AV26" s="1073"/>
      <c r="AW26" s="1073"/>
      <c r="AX26" s="1073"/>
      <c r="AY26" s="1183"/>
    </row>
    <row r="27" spans="1:51" ht="28.9" customHeight="1" thickBot="1" x14ac:dyDescent="0.3">
      <c r="A27" s="1189"/>
      <c r="B27" s="1018"/>
      <c r="C27" s="1048"/>
      <c r="D27" s="164" t="s">
        <v>348</v>
      </c>
      <c r="E27" s="1225"/>
      <c r="F27" s="1225"/>
      <c r="G27" s="1225"/>
      <c r="H27" s="1225"/>
      <c r="I27" s="1225"/>
      <c r="J27" s="1023"/>
      <c r="K27" s="1225"/>
      <c r="L27" s="1225"/>
      <c r="M27" s="1225"/>
      <c r="N27" s="1225"/>
      <c r="O27" s="1225"/>
      <c r="P27" s="1225"/>
      <c r="Q27" s="1225"/>
      <c r="R27" s="1225"/>
      <c r="S27" s="1183"/>
      <c r="T27" s="1020">
        <f t="shared" si="1"/>
        <v>0</v>
      </c>
      <c r="U27" s="1020">
        <f t="shared" si="0"/>
        <v>0</v>
      </c>
      <c r="V27" s="1020">
        <f t="shared" si="2"/>
        <v>0</v>
      </c>
      <c r="W27" s="1023"/>
      <c r="X27" s="1225"/>
      <c r="Y27" s="1225"/>
      <c r="Z27" s="1225"/>
      <c r="AA27" s="1225"/>
      <c r="AB27" s="1225"/>
      <c r="AC27" s="1225"/>
      <c r="AD27" s="1225"/>
      <c r="AE27" s="1225"/>
      <c r="AF27" s="1206"/>
      <c r="AG27" s="1190"/>
      <c r="AH27" s="1076"/>
      <c r="AI27" s="1076"/>
      <c r="AJ27" s="1286" t="s">
        <v>467</v>
      </c>
      <c r="AK27" s="1076"/>
      <c r="AL27" s="1076"/>
      <c r="AM27" s="1076"/>
      <c r="AN27" s="1076"/>
      <c r="AO27" s="1076"/>
      <c r="AP27" s="1076"/>
      <c r="AQ27" s="1076"/>
      <c r="AR27" s="1076"/>
      <c r="AS27" s="1076"/>
      <c r="AT27" s="1076"/>
      <c r="AU27" s="1076"/>
      <c r="AV27" s="1076"/>
      <c r="AW27" s="1076"/>
      <c r="AX27" s="1076"/>
      <c r="AY27" s="1183"/>
    </row>
    <row r="28" spans="1:51" ht="22.9" customHeight="1" x14ac:dyDescent="0.25">
      <c r="A28" s="1189"/>
      <c r="B28" s="1018"/>
      <c r="C28" s="1217" t="s">
        <v>472</v>
      </c>
      <c r="D28" s="161" t="s">
        <v>340</v>
      </c>
      <c r="E28" s="1225"/>
      <c r="F28" s="1225"/>
      <c r="G28" s="1225">
        <v>1</v>
      </c>
      <c r="H28" s="1225">
        <v>1</v>
      </c>
      <c r="I28" s="1225">
        <v>2</v>
      </c>
      <c r="J28" s="1023"/>
      <c r="K28" s="1225"/>
      <c r="L28" s="1225"/>
      <c r="M28" s="1023"/>
      <c r="N28" s="1225"/>
      <c r="O28" s="1225"/>
      <c r="P28" s="1225"/>
      <c r="Q28" s="1225"/>
      <c r="R28" s="1225"/>
      <c r="S28" s="1183"/>
      <c r="T28" s="1020">
        <f t="shared" si="1"/>
        <v>1</v>
      </c>
      <c r="U28" s="1020">
        <f t="shared" si="0"/>
        <v>1</v>
      </c>
      <c r="V28" s="1020">
        <f t="shared" si="2"/>
        <v>2</v>
      </c>
      <c r="W28" s="1023"/>
      <c r="X28" s="1225"/>
      <c r="Y28" s="1225"/>
      <c r="Z28" s="1023"/>
      <c r="AA28" s="1225"/>
      <c r="AB28" s="1225"/>
      <c r="AC28" s="1225"/>
      <c r="AD28" s="1225"/>
      <c r="AE28" s="1225"/>
      <c r="AF28" s="1287" t="s">
        <v>1516</v>
      </c>
      <c r="AG28" s="1288" t="s">
        <v>473</v>
      </c>
      <c r="AH28" s="1275" t="s">
        <v>1616</v>
      </c>
      <c r="AI28" s="1275" t="s">
        <v>1617</v>
      </c>
      <c r="AJ28" s="1281" t="s">
        <v>463</v>
      </c>
      <c r="AK28" s="1275" t="s">
        <v>457</v>
      </c>
      <c r="AL28" s="1275" t="s">
        <v>178</v>
      </c>
      <c r="AM28" s="1275" t="s">
        <v>458</v>
      </c>
      <c r="AN28" s="1282">
        <v>180974</v>
      </c>
      <c r="AO28" s="1277">
        <v>86932</v>
      </c>
      <c r="AP28" s="1277">
        <v>94042</v>
      </c>
      <c r="AQ28" s="1120" t="s">
        <v>459</v>
      </c>
      <c r="AR28" s="1120" t="s">
        <v>459</v>
      </c>
      <c r="AS28" s="1120" t="s">
        <v>459</v>
      </c>
      <c r="AT28" s="1120" t="s">
        <v>459</v>
      </c>
      <c r="AU28" s="1278" t="s">
        <v>459</v>
      </c>
      <c r="AV28" s="1278" t="s">
        <v>459</v>
      </c>
      <c r="AW28" s="1278" t="s">
        <v>459</v>
      </c>
      <c r="AX28" s="1282">
        <v>180974</v>
      </c>
      <c r="AY28" s="1183"/>
    </row>
    <row r="29" spans="1:51" ht="34.15" customHeight="1" x14ac:dyDescent="0.25">
      <c r="A29" s="1189"/>
      <c r="B29" s="1018"/>
      <c r="C29" s="1018"/>
      <c r="D29" s="164" t="s">
        <v>343</v>
      </c>
      <c r="E29" s="1225"/>
      <c r="F29" s="1225"/>
      <c r="G29" s="1225">
        <f>+G28*$T$11/$T$10</f>
        <v>5165500</v>
      </c>
      <c r="H29" s="1225">
        <f>+H28*$U$11/$U$10</f>
        <v>7983692.307692308</v>
      </c>
      <c r="I29" s="1225">
        <f>+I28*$V$11/$V$10</f>
        <v>10378800</v>
      </c>
      <c r="J29" s="1225"/>
      <c r="K29" s="1225"/>
      <c r="L29" s="1225"/>
      <c r="M29" s="1225"/>
      <c r="N29" s="1225"/>
      <c r="O29" s="1225"/>
      <c r="P29" s="1225"/>
      <c r="Q29" s="1225"/>
      <c r="R29" s="1225"/>
      <c r="S29" s="1183"/>
      <c r="T29" s="1020">
        <f t="shared" si="1"/>
        <v>5165500</v>
      </c>
      <c r="U29" s="1020">
        <f t="shared" si="0"/>
        <v>7983692.307692308</v>
      </c>
      <c r="V29" s="1020">
        <f t="shared" si="2"/>
        <v>10378800</v>
      </c>
      <c r="W29" s="1225"/>
      <c r="X29" s="1225"/>
      <c r="Y29" s="1225"/>
      <c r="Z29" s="1225"/>
      <c r="AA29" s="1225"/>
      <c r="AB29" s="1225"/>
      <c r="AC29" s="1225"/>
      <c r="AD29" s="1225"/>
      <c r="AE29" s="1225"/>
      <c r="AF29" s="1207"/>
      <c r="AG29" s="1208"/>
      <c r="AH29" s="1073"/>
      <c r="AI29" s="1073"/>
      <c r="AJ29" s="1285" t="s">
        <v>464</v>
      </c>
      <c r="AK29" s="1073"/>
      <c r="AL29" s="1073"/>
      <c r="AM29" s="1073"/>
      <c r="AN29" s="1073"/>
      <c r="AO29" s="1289"/>
      <c r="AP29" s="1289"/>
      <c r="AQ29" s="1073"/>
      <c r="AR29" s="1073"/>
      <c r="AS29" s="1073"/>
      <c r="AT29" s="1073"/>
      <c r="AU29" s="1073"/>
      <c r="AV29" s="1073"/>
      <c r="AW29" s="1073"/>
      <c r="AX29" s="1073"/>
      <c r="AY29" s="1183"/>
    </row>
    <row r="30" spans="1:51" ht="28.9" customHeight="1" x14ac:dyDescent="0.25">
      <c r="A30" s="1189"/>
      <c r="B30" s="1018"/>
      <c r="C30" s="1018"/>
      <c r="D30" s="165" t="s">
        <v>345</v>
      </c>
      <c r="E30" s="1225"/>
      <c r="F30" s="1225"/>
      <c r="G30" s="1225">
        <v>2</v>
      </c>
      <c r="H30" s="1225">
        <v>2</v>
      </c>
      <c r="I30" s="1020">
        <v>2</v>
      </c>
      <c r="J30" s="1020"/>
      <c r="K30" s="1020"/>
      <c r="L30" s="1020"/>
      <c r="M30" s="1020"/>
      <c r="N30" s="1020"/>
      <c r="O30" s="1020"/>
      <c r="P30" s="1020"/>
      <c r="Q30" s="1020"/>
      <c r="R30" s="1020"/>
      <c r="S30" s="1183"/>
      <c r="T30" s="1020">
        <f t="shared" si="1"/>
        <v>2</v>
      </c>
      <c r="U30" s="1020">
        <f t="shared" si="0"/>
        <v>2</v>
      </c>
      <c r="V30" s="1020">
        <f t="shared" si="2"/>
        <v>2</v>
      </c>
      <c r="W30" s="1023"/>
      <c r="X30" s="1225"/>
      <c r="Y30" s="1225"/>
      <c r="Z30" s="1023"/>
      <c r="AA30" s="1225"/>
      <c r="AB30" s="1225"/>
      <c r="AC30" s="1225"/>
      <c r="AD30" s="1225"/>
      <c r="AE30" s="1225"/>
      <c r="AF30" s="1207"/>
      <c r="AG30" s="1208"/>
      <c r="AH30" s="1073"/>
      <c r="AI30" s="1073"/>
      <c r="AJ30" s="1285" t="s">
        <v>1475</v>
      </c>
      <c r="AK30" s="1073"/>
      <c r="AL30" s="1073"/>
      <c r="AM30" s="1073"/>
      <c r="AN30" s="1073"/>
      <c r="AO30" s="1289"/>
      <c r="AP30" s="1289"/>
      <c r="AQ30" s="1073"/>
      <c r="AR30" s="1073"/>
      <c r="AS30" s="1073"/>
      <c r="AT30" s="1073"/>
      <c r="AU30" s="1073"/>
      <c r="AV30" s="1073"/>
      <c r="AW30" s="1073"/>
      <c r="AX30" s="1073"/>
      <c r="AY30" s="1183"/>
    </row>
    <row r="31" spans="1:51" ht="31.15" customHeight="1" x14ac:dyDescent="0.25">
      <c r="A31" s="1189"/>
      <c r="B31" s="1018"/>
      <c r="C31" s="1018"/>
      <c r="D31" s="164" t="s">
        <v>346</v>
      </c>
      <c r="E31" s="1225"/>
      <c r="F31" s="1225"/>
      <c r="G31" s="1225">
        <f>+G30*$T$13/$T$12</f>
        <v>20626337.199999999</v>
      </c>
      <c r="H31" s="1225">
        <f>+H30*$U$13/$U$12</f>
        <v>45993104.399999999</v>
      </c>
      <c r="I31" s="1225">
        <f>+I30*$V$13/$V$12</f>
        <v>48533777.200000003</v>
      </c>
      <c r="J31" s="1020"/>
      <c r="K31" s="1020"/>
      <c r="L31" s="1020"/>
      <c r="M31" s="1020"/>
      <c r="N31" s="1020"/>
      <c r="O31" s="1020"/>
      <c r="P31" s="1020"/>
      <c r="Q31" s="1020"/>
      <c r="R31" s="1020"/>
      <c r="S31" s="1183"/>
      <c r="T31" s="1020">
        <f t="shared" si="1"/>
        <v>20626337.199999999</v>
      </c>
      <c r="U31" s="1020">
        <f t="shared" si="0"/>
        <v>45993104.399999999</v>
      </c>
      <c r="V31" s="1020">
        <f t="shared" si="2"/>
        <v>48533777.200000003</v>
      </c>
      <c r="W31" s="1059"/>
      <c r="X31" s="1225"/>
      <c r="Y31" s="1225"/>
      <c r="Z31" s="1059"/>
      <c r="AA31" s="1225"/>
      <c r="AB31" s="1225"/>
      <c r="AC31" s="1225"/>
      <c r="AD31" s="1225"/>
      <c r="AE31" s="1225"/>
      <c r="AF31" s="1207"/>
      <c r="AG31" s="1208"/>
      <c r="AH31" s="1073"/>
      <c r="AI31" s="1073"/>
      <c r="AJ31" s="1285" t="s">
        <v>465</v>
      </c>
      <c r="AK31" s="1073"/>
      <c r="AL31" s="1073"/>
      <c r="AM31" s="1073"/>
      <c r="AN31" s="1073"/>
      <c r="AO31" s="1289"/>
      <c r="AP31" s="1289"/>
      <c r="AQ31" s="1073"/>
      <c r="AR31" s="1073"/>
      <c r="AS31" s="1073"/>
      <c r="AT31" s="1073"/>
      <c r="AU31" s="1073"/>
      <c r="AV31" s="1073"/>
      <c r="AW31" s="1073"/>
      <c r="AX31" s="1073"/>
      <c r="AY31" s="1183"/>
    </row>
    <row r="32" spans="1:51" ht="37.15" customHeight="1" x14ac:dyDescent="0.25">
      <c r="A32" s="1189"/>
      <c r="B32" s="1018"/>
      <c r="C32" s="1018"/>
      <c r="D32" s="165" t="s">
        <v>347</v>
      </c>
      <c r="E32" s="1225"/>
      <c r="F32" s="1225"/>
      <c r="G32" s="1225">
        <f>+G28+G30</f>
        <v>3</v>
      </c>
      <c r="H32" s="1225">
        <f>+H28+H30</f>
        <v>3</v>
      </c>
      <c r="I32" s="1225">
        <v>4</v>
      </c>
      <c r="J32" s="1023"/>
      <c r="K32" s="1225"/>
      <c r="L32" s="1225"/>
      <c r="M32" s="1023"/>
      <c r="N32" s="1225"/>
      <c r="O32" s="1225"/>
      <c r="P32" s="1225"/>
      <c r="Q32" s="1225"/>
      <c r="R32" s="1225"/>
      <c r="S32" s="1183"/>
      <c r="T32" s="1020">
        <f t="shared" si="1"/>
        <v>3</v>
      </c>
      <c r="U32" s="1020">
        <f t="shared" si="1"/>
        <v>3</v>
      </c>
      <c r="V32" s="1020">
        <f t="shared" si="2"/>
        <v>4</v>
      </c>
      <c r="W32" s="1023"/>
      <c r="X32" s="1225"/>
      <c r="Y32" s="1225"/>
      <c r="Z32" s="1023"/>
      <c r="AA32" s="1225"/>
      <c r="AB32" s="1225"/>
      <c r="AC32" s="1225"/>
      <c r="AD32" s="1225"/>
      <c r="AE32" s="1225"/>
      <c r="AF32" s="1207"/>
      <c r="AG32" s="1208"/>
      <c r="AH32" s="1073"/>
      <c r="AI32" s="1073"/>
      <c r="AJ32" s="1205" t="s">
        <v>466</v>
      </c>
      <c r="AK32" s="1073"/>
      <c r="AL32" s="1073"/>
      <c r="AM32" s="1073"/>
      <c r="AN32" s="1073"/>
      <c r="AO32" s="1289"/>
      <c r="AP32" s="1289"/>
      <c r="AQ32" s="1073"/>
      <c r="AR32" s="1073"/>
      <c r="AS32" s="1073"/>
      <c r="AT32" s="1073"/>
      <c r="AU32" s="1073"/>
      <c r="AV32" s="1073"/>
      <c r="AW32" s="1073"/>
      <c r="AX32" s="1073"/>
      <c r="AY32" s="1183"/>
    </row>
    <row r="33" spans="1:51" ht="28.9" customHeight="1" thickBot="1" x14ac:dyDescent="0.3">
      <c r="A33" s="1189"/>
      <c r="B33" s="1018"/>
      <c r="C33" s="1048"/>
      <c r="D33" s="164" t="s">
        <v>348</v>
      </c>
      <c r="E33" s="1225"/>
      <c r="F33" s="1225"/>
      <c r="G33" s="1225">
        <f>+G29+G31</f>
        <v>25791837.199999999</v>
      </c>
      <c r="H33" s="1225">
        <f>+H29+H31</f>
        <v>53976796.70769231</v>
      </c>
      <c r="I33" s="1225">
        <f>+I29+I31</f>
        <v>58912577.200000003</v>
      </c>
      <c r="J33" s="1225"/>
      <c r="K33" s="1225"/>
      <c r="L33" s="1225"/>
      <c r="M33" s="1225"/>
      <c r="N33" s="1225"/>
      <c r="O33" s="1225"/>
      <c r="P33" s="1225"/>
      <c r="Q33" s="1225"/>
      <c r="R33" s="1225"/>
      <c r="S33" s="1183"/>
      <c r="T33" s="1020">
        <f t="shared" si="1"/>
        <v>25791837.199999999</v>
      </c>
      <c r="U33" s="1020">
        <f t="shared" si="1"/>
        <v>53976796.70769231</v>
      </c>
      <c r="V33" s="1020">
        <f t="shared" si="2"/>
        <v>58912577.200000003</v>
      </c>
      <c r="W33" s="1225"/>
      <c r="X33" s="1225"/>
      <c r="Y33" s="1225"/>
      <c r="Z33" s="1225"/>
      <c r="AA33" s="1225"/>
      <c r="AB33" s="1225"/>
      <c r="AC33" s="1225"/>
      <c r="AD33" s="1225"/>
      <c r="AE33" s="1225"/>
      <c r="AF33" s="1209"/>
      <c r="AG33" s="1210"/>
      <c r="AH33" s="1076"/>
      <c r="AI33" s="1076"/>
      <c r="AJ33" s="1286" t="s">
        <v>467</v>
      </c>
      <c r="AK33" s="1076"/>
      <c r="AL33" s="1076"/>
      <c r="AM33" s="1076"/>
      <c r="AN33" s="1076"/>
      <c r="AO33" s="1290"/>
      <c r="AP33" s="1290"/>
      <c r="AQ33" s="1076"/>
      <c r="AR33" s="1076"/>
      <c r="AS33" s="1076"/>
      <c r="AT33" s="1076"/>
      <c r="AU33" s="1076"/>
      <c r="AV33" s="1076"/>
      <c r="AW33" s="1076"/>
      <c r="AX33" s="1076"/>
      <c r="AY33" s="1183"/>
    </row>
    <row r="34" spans="1:51" ht="22.9" customHeight="1" x14ac:dyDescent="0.25">
      <c r="A34" s="1189"/>
      <c r="B34" s="1018"/>
      <c r="C34" s="1217" t="s">
        <v>474</v>
      </c>
      <c r="D34" s="161" t="s">
        <v>340</v>
      </c>
      <c r="E34" s="1225"/>
      <c r="F34" s="1225"/>
      <c r="G34" s="1225"/>
      <c r="H34" s="1225">
        <v>2</v>
      </c>
      <c r="I34" s="1225">
        <v>2</v>
      </c>
      <c r="J34" s="1225"/>
      <c r="K34" s="1225"/>
      <c r="L34" s="1225"/>
      <c r="M34" s="1023"/>
      <c r="N34" s="1225"/>
      <c r="O34" s="1225"/>
      <c r="P34" s="1225"/>
      <c r="Q34" s="1225"/>
      <c r="R34" s="1225"/>
      <c r="S34" s="1183"/>
      <c r="T34" s="1020">
        <f t="shared" si="1"/>
        <v>0</v>
      </c>
      <c r="U34" s="1020">
        <f t="shared" si="1"/>
        <v>2</v>
      </c>
      <c r="V34" s="1020">
        <f t="shared" si="2"/>
        <v>2</v>
      </c>
      <c r="W34" s="1023"/>
      <c r="X34" s="1225"/>
      <c r="Y34" s="1225"/>
      <c r="Z34" s="1023"/>
      <c r="AA34" s="1225"/>
      <c r="AB34" s="1225"/>
      <c r="AC34" s="1225"/>
      <c r="AD34" s="1225"/>
      <c r="AE34" s="1225"/>
      <c r="AF34" s="1279" t="s">
        <v>1471</v>
      </c>
      <c r="AG34" s="1280" t="s">
        <v>475</v>
      </c>
      <c r="AH34" s="1275" t="s">
        <v>1517</v>
      </c>
      <c r="AI34" s="1275" t="s">
        <v>1518</v>
      </c>
      <c r="AJ34" s="1281" t="s">
        <v>463</v>
      </c>
      <c r="AK34" s="1275" t="s">
        <v>457</v>
      </c>
      <c r="AL34" s="1275" t="s">
        <v>476</v>
      </c>
      <c r="AM34" s="1275" t="s">
        <v>458</v>
      </c>
      <c r="AN34" s="1282">
        <v>106783</v>
      </c>
      <c r="AO34" s="1277">
        <v>52269</v>
      </c>
      <c r="AP34" s="1277">
        <v>54514</v>
      </c>
      <c r="AQ34" s="1120" t="s">
        <v>459</v>
      </c>
      <c r="AR34" s="1120" t="s">
        <v>459</v>
      </c>
      <c r="AS34" s="1120" t="s">
        <v>459</v>
      </c>
      <c r="AT34" s="1120" t="s">
        <v>459</v>
      </c>
      <c r="AU34" s="1278" t="s">
        <v>459</v>
      </c>
      <c r="AV34" s="1278" t="s">
        <v>459</v>
      </c>
      <c r="AW34" s="1278" t="s">
        <v>459</v>
      </c>
      <c r="AX34" s="1282">
        <v>106783</v>
      </c>
      <c r="AY34" s="1183"/>
    </row>
    <row r="35" spans="1:51" ht="34.15" customHeight="1" x14ac:dyDescent="0.25">
      <c r="A35" s="1189"/>
      <c r="B35" s="1018"/>
      <c r="C35" s="1018"/>
      <c r="D35" s="164" t="s">
        <v>343</v>
      </c>
      <c r="E35" s="1225"/>
      <c r="F35" s="1225"/>
      <c r="G35" s="1225"/>
      <c r="H35" s="1225">
        <f>+H34*$U$11/$U$10</f>
        <v>15967384.615384616</v>
      </c>
      <c r="I35" s="1225">
        <f>+I34*$V$11/$V$10</f>
        <v>10378800</v>
      </c>
      <c r="J35" s="1225"/>
      <c r="K35" s="1225"/>
      <c r="L35" s="1225"/>
      <c r="M35" s="1225"/>
      <c r="N35" s="1225"/>
      <c r="O35" s="1225"/>
      <c r="P35" s="1225"/>
      <c r="Q35" s="1225"/>
      <c r="R35" s="1225"/>
      <c r="S35" s="1183"/>
      <c r="T35" s="1020">
        <f t="shared" si="1"/>
        <v>0</v>
      </c>
      <c r="U35" s="1020">
        <f t="shared" si="1"/>
        <v>15967384.615384616</v>
      </c>
      <c r="V35" s="1020">
        <f t="shared" si="2"/>
        <v>10378800</v>
      </c>
      <c r="W35" s="1023"/>
      <c r="X35" s="1225"/>
      <c r="Y35" s="1225"/>
      <c r="Z35" s="1225"/>
      <c r="AA35" s="1225"/>
      <c r="AB35" s="1225"/>
      <c r="AC35" s="1225"/>
      <c r="AD35" s="1225"/>
      <c r="AE35" s="1225"/>
      <c r="AF35" s="1203"/>
      <c r="AG35" s="1204"/>
      <c r="AH35" s="1073"/>
      <c r="AI35" s="1073"/>
      <c r="AJ35" s="1285" t="s">
        <v>464</v>
      </c>
      <c r="AK35" s="1073"/>
      <c r="AL35" s="1073"/>
      <c r="AM35" s="1073"/>
      <c r="AN35" s="1073"/>
      <c r="AO35" s="1073"/>
      <c r="AP35" s="1073"/>
      <c r="AQ35" s="1073"/>
      <c r="AR35" s="1073"/>
      <c r="AS35" s="1073"/>
      <c r="AT35" s="1073"/>
      <c r="AU35" s="1073"/>
      <c r="AV35" s="1073"/>
      <c r="AW35" s="1073"/>
      <c r="AX35" s="1073"/>
      <c r="AY35" s="1183"/>
    </row>
    <row r="36" spans="1:51" ht="28.9" customHeight="1" x14ac:dyDescent="0.25">
      <c r="A36" s="1189"/>
      <c r="B36" s="1018"/>
      <c r="C36" s="1018"/>
      <c r="D36" s="165" t="s">
        <v>345</v>
      </c>
      <c r="E36" s="1225"/>
      <c r="F36" s="1225"/>
      <c r="G36" s="1225"/>
      <c r="H36" s="1225"/>
      <c r="I36" s="1225"/>
      <c r="J36" s="1023"/>
      <c r="K36" s="1225"/>
      <c r="L36" s="1225"/>
      <c r="M36" s="1023"/>
      <c r="N36" s="1225"/>
      <c r="O36" s="1225"/>
      <c r="P36" s="1225"/>
      <c r="Q36" s="1225"/>
      <c r="R36" s="1225"/>
      <c r="S36" s="1183"/>
      <c r="T36" s="1020">
        <f t="shared" si="1"/>
        <v>0</v>
      </c>
      <c r="U36" s="1020">
        <f t="shared" si="1"/>
        <v>0</v>
      </c>
      <c r="V36" s="1020">
        <f t="shared" si="2"/>
        <v>0</v>
      </c>
      <c r="W36" s="1023"/>
      <c r="X36" s="1225"/>
      <c r="Y36" s="1225"/>
      <c r="Z36" s="1023"/>
      <c r="AA36" s="1225"/>
      <c r="AB36" s="1225"/>
      <c r="AC36" s="1225"/>
      <c r="AD36" s="1225"/>
      <c r="AE36" s="1225"/>
      <c r="AF36" s="1203"/>
      <c r="AG36" s="1204"/>
      <c r="AH36" s="1073"/>
      <c r="AI36" s="1073"/>
      <c r="AJ36" s="1285" t="s">
        <v>1475</v>
      </c>
      <c r="AK36" s="1073"/>
      <c r="AL36" s="1073"/>
      <c r="AM36" s="1073"/>
      <c r="AN36" s="1073"/>
      <c r="AO36" s="1073"/>
      <c r="AP36" s="1073"/>
      <c r="AQ36" s="1073"/>
      <c r="AR36" s="1073"/>
      <c r="AS36" s="1073"/>
      <c r="AT36" s="1073"/>
      <c r="AU36" s="1073"/>
      <c r="AV36" s="1073"/>
      <c r="AW36" s="1073"/>
      <c r="AX36" s="1073"/>
      <c r="AY36" s="1183"/>
    </row>
    <row r="37" spans="1:51" ht="26.45" customHeight="1" x14ac:dyDescent="0.25">
      <c r="A37" s="1189"/>
      <c r="B37" s="1018"/>
      <c r="C37" s="1018"/>
      <c r="D37" s="164" t="s">
        <v>346</v>
      </c>
      <c r="E37" s="1225"/>
      <c r="F37" s="1225"/>
      <c r="G37" s="1225"/>
      <c r="H37" s="1020"/>
      <c r="I37" s="1020"/>
      <c r="J37" s="1020"/>
      <c r="K37" s="1020"/>
      <c r="L37" s="1020"/>
      <c r="M37" s="1020"/>
      <c r="N37" s="1020"/>
      <c r="O37" s="1020"/>
      <c r="P37" s="1020"/>
      <c r="Q37" s="1020"/>
      <c r="R37" s="1020"/>
      <c r="S37" s="1183"/>
      <c r="T37" s="1020">
        <f t="shared" si="1"/>
        <v>0</v>
      </c>
      <c r="U37" s="1020">
        <f t="shared" si="1"/>
        <v>0</v>
      </c>
      <c r="V37" s="1020">
        <f t="shared" si="2"/>
        <v>0</v>
      </c>
      <c r="W37" s="1023"/>
      <c r="X37" s="1225"/>
      <c r="Y37" s="1225"/>
      <c r="Z37" s="1059"/>
      <c r="AA37" s="1225"/>
      <c r="AB37" s="1225"/>
      <c r="AC37" s="1225"/>
      <c r="AD37" s="1225"/>
      <c r="AE37" s="1225"/>
      <c r="AF37" s="1203"/>
      <c r="AG37" s="1204"/>
      <c r="AH37" s="1073"/>
      <c r="AI37" s="1073"/>
      <c r="AJ37" s="1285" t="s">
        <v>465</v>
      </c>
      <c r="AK37" s="1073"/>
      <c r="AL37" s="1073"/>
      <c r="AM37" s="1073"/>
      <c r="AN37" s="1073"/>
      <c r="AO37" s="1073"/>
      <c r="AP37" s="1073"/>
      <c r="AQ37" s="1073"/>
      <c r="AR37" s="1073"/>
      <c r="AS37" s="1073"/>
      <c r="AT37" s="1073"/>
      <c r="AU37" s="1073"/>
      <c r="AV37" s="1073"/>
      <c r="AW37" s="1073"/>
      <c r="AX37" s="1073"/>
      <c r="AY37" s="1183"/>
    </row>
    <row r="38" spans="1:51" ht="28.15" customHeight="1" x14ac:dyDescent="0.25">
      <c r="A38" s="1189"/>
      <c r="B38" s="1018"/>
      <c r="C38" s="1018"/>
      <c r="D38" s="165" t="s">
        <v>347</v>
      </c>
      <c r="E38" s="1225"/>
      <c r="F38" s="1225"/>
      <c r="G38" s="1225"/>
      <c r="H38" s="1225">
        <v>2</v>
      </c>
      <c r="I38" s="1225">
        <v>2</v>
      </c>
      <c r="J38" s="1023"/>
      <c r="K38" s="1225"/>
      <c r="L38" s="1225"/>
      <c r="M38" s="1023"/>
      <c r="N38" s="1225"/>
      <c r="O38" s="1225"/>
      <c r="P38" s="1225"/>
      <c r="Q38" s="1225"/>
      <c r="R38" s="1225"/>
      <c r="S38" s="1183"/>
      <c r="T38" s="1020">
        <f t="shared" si="1"/>
        <v>0</v>
      </c>
      <c r="U38" s="1020">
        <f t="shared" si="1"/>
        <v>2</v>
      </c>
      <c r="V38" s="1020">
        <f t="shared" si="2"/>
        <v>2</v>
      </c>
      <c r="W38" s="1023"/>
      <c r="X38" s="1225"/>
      <c r="Y38" s="1225"/>
      <c r="Z38" s="1023"/>
      <c r="AA38" s="1225"/>
      <c r="AB38" s="1225"/>
      <c r="AC38" s="1225"/>
      <c r="AD38" s="1225"/>
      <c r="AE38" s="1225"/>
      <c r="AF38" s="1203"/>
      <c r="AG38" s="1204"/>
      <c r="AH38" s="1073"/>
      <c r="AI38" s="1073"/>
      <c r="AJ38" s="1205" t="s">
        <v>466</v>
      </c>
      <c r="AK38" s="1073"/>
      <c r="AL38" s="1073"/>
      <c r="AM38" s="1073"/>
      <c r="AN38" s="1073"/>
      <c r="AO38" s="1073"/>
      <c r="AP38" s="1073"/>
      <c r="AQ38" s="1073"/>
      <c r="AR38" s="1073"/>
      <c r="AS38" s="1073"/>
      <c r="AT38" s="1073"/>
      <c r="AU38" s="1073"/>
      <c r="AV38" s="1073"/>
      <c r="AW38" s="1073"/>
      <c r="AX38" s="1073"/>
      <c r="AY38" s="1183"/>
    </row>
    <row r="39" spans="1:51" ht="28.9" customHeight="1" x14ac:dyDescent="0.25">
      <c r="A39" s="1189"/>
      <c r="B39" s="1018"/>
      <c r="C39" s="1048"/>
      <c r="D39" s="164" t="s">
        <v>348</v>
      </c>
      <c r="E39" s="1225"/>
      <c r="F39" s="1225"/>
      <c r="G39" s="1225"/>
      <c r="H39" s="1225">
        <f>+H35+H37</f>
        <v>15967384.615384616</v>
      </c>
      <c r="I39" s="1225">
        <f>+I35+I37</f>
        <v>10378800</v>
      </c>
      <c r="J39" s="1225"/>
      <c r="K39" s="1225"/>
      <c r="L39" s="1225"/>
      <c r="M39" s="1225"/>
      <c r="N39" s="1225"/>
      <c r="O39" s="1225"/>
      <c r="P39" s="1225"/>
      <c r="Q39" s="1225"/>
      <c r="R39" s="1225"/>
      <c r="S39" s="1183"/>
      <c r="T39" s="1020">
        <f t="shared" si="1"/>
        <v>0</v>
      </c>
      <c r="U39" s="1020">
        <f t="shared" si="1"/>
        <v>15967384.615384616</v>
      </c>
      <c r="V39" s="1020">
        <f t="shared" si="2"/>
        <v>10378800</v>
      </c>
      <c r="W39" s="1023"/>
      <c r="X39" s="1225"/>
      <c r="Y39" s="1225"/>
      <c r="Z39" s="1225"/>
      <c r="AA39" s="1225"/>
      <c r="AB39" s="1225"/>
      <c r="AC39" s="1225"/>
      <c r="AD39" s="1225"/>
      <c r="AE39" s="1225"/>
      <c r="AF39" s="1203"/>
      <c r="AG39" s="1190"/>
      <c r="AH39" s="1076"/>
      <c r="AI39" s="1076"/>
      <c r="AJ39" s="1286" t="s">
        <v>467</v>
      </c>
      <c r="AK39" s="1076"/>
      <c r="AL39" s="1076"/>
      <c r="AM39" s="1076"/>
      <c r="AN39" s="1076"/>
      <c r="AO39" s="1076"/>
      <c r="AP39" s="1076"/>
      <c r="AQ39" s="1076"/>
      <c r="AR39" s="1076"/>
      <c r="AS39" s="1076"/>
      <c r="AT39" s="1076"/>
      <c r="AU39" s="1076"/>
      <c r="AV39" s="1076"/>
      <c r="AW39" s="1076"/>
      <c r="AX39" s="1076"/>
      <c r="AY39" s="1183"/>
    </row>
    <row r="40" spans="1:51" ht="22.9" customHeight="1" x14ac:dyDescent="0.25">
      <c r="A40" s="1189"/>
      <c r="B40" s="1018"/>
      <c r="C40" s="1217" t="s">
        <v>477</v>
      </c>
      <c r="D40" s="161" t="s">
        <v>340</v>
      </c>
      <c r="E40" s="1225"/>
      <c r="F40" s="1225"/>
      <c r="G40" s="1225">
        <v>1</v>
      </c>
      <c r="H40" s="1225">
        <v>3</v>
      </c>
      <c r="I40" s="1225">
        <v>4</v>
      </c>
      <c r="J40" s="1023"/>
      <c r="K40" s="1225"/>
      <c r="L40" s="1225"/>
      <c r="M40" s="1023"/>
      <c r="N40" s="1225"/>
      <c r="O40" s="1225"/>
      <c r="P40" s="1225"/>
      <c r="Q40" s="1225"/>
      <c r="R40" s="1225"/>
      <c r="S40" s="1183"/>
      <c r="T40" s="1020">
        <f t="shared" si="1"/>
        <v>1</v>
      </c>
      <c r="U40" s="1020">
        <f t="shared" si="1"/>
        <v>3</v>
      </c>
      <c r="V40" s="1020">
        <f t="shared" si="2"/>
        <v>4</v>
      </c>
      <c r="W40" s="1023"/>
      <c r="X40" s="1225"/>
      <c r="Y40" s="1225"/>
      <c r="Z40" s="1023"/>
      <c r="AA40" s="1225"/>
      <c r="AB40" s="1225"/>
      <c r="AC40" s="1225"/>
      <c r="AD40" s="1225"/>
      <c r="AE40" s="1225"/>
      <c r="AF40" s="1279" t="s">
        <v>1519</v>
      </c>
      <c r="AG40" s="1288" t="s">
        <v>478</v>
      </c>
      <c r="AH40" s="1275" t="s">
        <v>1618</v>
      </c>
      <c r="AI40" s="1275" t="s">
        <v>1619</v>
      </c>
      <c r="AJ40" s="1281" t="s">
        <v>463</v>
      </c>
      <c r="AK40" s="1275" t="s">
        <v>457</v>
      </c>
      <c r="AL40" s="1275" t="s">
        <v>1620</v>
      </c>
      <c r="AM40" s="1275" t="s">
        <v>458</v>
      </c>
      <c r="AN40" s="1282">
        <v>409033</v>
      </c>
      <c r="AO40" s="1282">
        <v>196875</v>
      </c>
      <c r="AP40" s="1282">
        <v>212158</v>
      </c>
      <c r="AQ40" s="1120" t="s">
        <v>459</v>
      </c>
      <c r="AR40" s="1120" t="s">
        <v>459</v>
      </c>
      <c r="AS40" s="1120" t="s">
        <v>459</v>
      </c>
      <c r="AT40" s="1120" t="s">
        <v>459</v>
      </c>
      <c r="AU40" s="1278" t="s">
        <v>459</v>
      </c>
      <c r="AV40" s="1278" t="s">
        <v>459</v>
      </c>
      <c r="AW40" s="1278" t="s">
        <v>459</v>
      </c>
      <c r="AX40" s="1282">
        <v>409033</v>
      </c>
      <c r="AY40" s="1183"/>
    </row>
    <row r="41" spans="1:51" ht="20.45" customHeight="1" x14ac:dyDescent="0.25">
      <c r="A41" s="1189"/>
      <c r="B41" s="1018"/>
      <c r="C41" s="1018"/>
      <c r="D41" s="164" t="s">
        <v>343</v>
      </c>
      <c r="E41" s="1225"/>
      <c r="F41" s="1225"/>
      <c r="G41" s="1225">
        <f>+G40*$T$11/$T$10</f>
        <v>5165500</v>
      </c>
      <c r="H41" s="1225">
        <f>+H40*$U$11/$U$10</f>
        <v>23951076.923076924</v>
      </c>
      <c r="I41" s="1225">
        <f>+I40*$V$11/$V$10</f>
        <v>20757600</v>
      </c>
      <c r="J41" s="1225"/>
      <c r="K41" s="1225"/>
      <c r="L41" s="1225"/>
      <c r="M41" s="1225"/>
      <c r="N41" s="1225"/>
      <c r="O41" s="1225"/>
      <c r="P41" s="1225"/>
      <c r="Q41" s="1225"/>
      <c r="R41" s="1225"/>
      <c r="S41" s="1183"/>
      <c r="T41" s="1020">
        <f t="shared" si="1"/>
        <v>5165500</v>
      </c>
      <c r="U41" s="1020">
        <f t="shared" si="1"/>
        <v>23951076.923076924</v>
      </c>
      <c r="V41" s="1020">
        <f t="shared" si="2"/>
        <v>20757600</v>
      </c>
      <c r="W41" s="1023"/>
      <c r="X41" s="1225"/>
      <c r="Y41" s="1225"/>
      <c r="Z41" s="1225"/>
      <c r="AA41" s="1225"/>
      <c r="AB41" s="1225"/>
      <c r="AC41" s="1225"/>
      <c r="AD41" s="1225"/>
      <c r="AE41" s="1225"/>
      <c r="AF41" s="1203"/>
      <c r="AG41" s="1208"/>
      <c r="AH41" s="1073"/>
      <c r="AI41" s="1073"/>
      <c r="AJ41" s="1285" t="s">
        <v>479</v>
      </c>
      <c r="AK41" s="1073"/>
      <c r="AL41" s="1073"/>
      <c r="AM41" s="1073"/>
      <c r="AN41" s="1073"/>
      <c r="AO41" s="1073"/>
      <c r="AP41" s="1073"/>
      <c r="AQ41" s="1073"/>
      <c r="AR41" s="1073"/>
      <c r="AS41" s="1073"/>
      <c r="AT41" s="1073"/>
      <c r="AU41" s="1073"/>
      <c r="AV41" s="1073"/>
      <c r="AW41" s="1073"/>
      <c r="AX41" s="1073"/>
      <c r="AY41" s="1183"/>
    </row>
    <row r="42" spans="1:51" ht="28.9" customHeight="1" x14ac:dyDescent="0.25">
      <c r="A42" s="1189"/>
      <c r="B42" s="1018"/>
      <c r="C42" s="1018"/>
      <c r="D42" s="165" t="s">
        <v>345</v>
      </c>
      <c r="E42" s="1225"/>
      <c r="F42" s="1225"/>
      <c r="G42" s="1225">
        <v>0</v>
      </c>
      <c r="H42" s="1020"/>
      <c r="I42" s="1020"/>
      <c r="J42" s="1020"/>
      <c r="K42" s="1020"/>
      <c r="L42" s="1020"/>
      <c r="M42" s="1020"/>
      <c r="N42" s="1020"/>
      <c r="O42" s="1020"/>
      <c r="P42" s="1020"/>
      <c r="Q42" s="1020"/>
      <c r="R42" s="1020"/>
      <c r="S42" s="1183"/>
      <c r="T42" s="1020">
        <f t="shared" si="1"/>
        <v>0</v>
      </c>
      <c r="U42" s="1020">
        <f t="shared" si="1"/>
        <v>0</v>
      </c>
      <c r="V42" s="1020">
        <f t="shared" si="2"/>
        <v>0</v>
      </c>
      <c r="W42" s="1023"/>
      <c r="X42" s="1225"/>
      <c r="Y42" s="1225"/>
      <c r="Z42" s="1023"/>
      <c r="AA42" s="1225"/>
      <c r="AB42" s="1225"/>
      <c r="AC42" s="1225"/>
      <c r="AD42" s="1225"/>
      <c r="AE42" s="1225"/>
      <c r="AF42" s="1203"/>
      <c r="AG42" s="1208"/>
      <c r="AH42" s="1073"/>
      <c r="AI42" s="1073"/>
      <c r="AJ42" s="1285" t="s">
        <v>1475</v>
      </c>
      <c r="AK42" s="1073"/>
      <c r="AL42" s="1073"/>
      <c r="AM42" s="1073"/>
      <c r="AN42" s="1073"/>
      <c r="AO42" s="1073"/>
      <c r="AP42" s="1073"/>
      <c r="AQ42" s="1073"/>
      <c r="AR42" s="1073"/>
      <c r="AS42" s="1073"/>
      <c r="AT42" s="1073"/>
      <c r="AU42" s="1073"/>
      <c r="AV42" s="1073"/>
      <c r="AW42" s="1073"/>
      <c r="AX42" s="1073"/>
      <c r="AY42" s="1183"/>
    </row>
    <row r="43" spans="1:51" ht="30.6" customHeight="1" x14ac:dyDescent="0.25">
      <c r="A43" s="1189"/>
      <c r="B43" s="1018"/>
      <c r="C43" s="1018"/>
      <c r="D43" s="164" t="s">
        <v>346</v>
      </c>
      <c r="E43" s="1225"/>
      <c r="F43" s="1225"/>
      <c r="G43" s="1225">
        <f>+G42*$T$13/$T$12</f>
        <v>0</v>
      </c>
      <c r="H43" s="1020"/>
      <c r="I43" s="1020"/>
      <c r="J43" s="1020"/>
      <c r="K43" s="1020"/>
      <c r="L43" s="1020"/>
      <c r="M43" s="1020"/>
      <c r="N43" s="1020"/>
      <c r="O43" s="1020"/>
      <c r="P43" s="1020"/>
      <c r="Q43" s="1020"/>
      <c r="R43" s="1020"/>
      <c r="S43" s="1183"/>
      <c r="T43" s="1020">
        <f t="shared" si="1"/>
        <v>0</v>
      </c>
      <c r="U43" s="1020">
        <f t="shared" si="1"/>
        <v>0</v>
      </c>
      <c r="V43" s="1020">
        <f t="shared" si="2"/>
        <v>0</v>
      </c>
      <c r="W43" s="1023"/>
      <c r="X43" s="1225"/>
      <c r="Y43" s="1225"/>
      <c r="Z43" s="1059"/>
      <c r="AA43" s="1225"/>
      <c r="AB43" s="1225"/>
      <c r="AC43" s="1225"/>
      <c r="AD43" s="1225"/>
      <c r="AE43" s="1225"/>
      <c r="AF43" s="1203"/>
      <c r="AG43" s="1208"/>
      <c r="AH43" s="1073"/>
      <c r="AI43" s="1073"/>
      <c r="AJ43" s="1285" t="s">
        <v>465</v>
      </c>
      <c r="AK43" s="1073"/>
      <c r="AL43" s="1073"/>
      <c r="AM43" s="1073"/>
      <c r="AN43" s="1073"/>
      <c r="AO43" s="1073"/>
      <c r="AP43" s="1073"/>
      <c r="AQ43" s="1073"/>
      <c r="AR43" s="1073"/>
      <c r="AS43" s="1073"/>
      <c r="AT43" s="1073"/>
      <c r="AU43" s="1073"/>
      <c r="AV43" s="1073"/>
      <c r="AW43" s="1073"/>
      <c r="AX43" s="1073"/>
      <c r="AY43" s="1183"/>
    </row>
    <row r="44" spans="1:51" ht="27" customHeight="1" x14ac:dyDescent="0.25">
      <c r="A44" s="1189"/>
      <c r="B44" s="1018"/>
      <c r="C44" s="1018"/>
      <c r="D44" s="165" t="s">
        <v>347</v>
      </c>
      <c r="E44" s="1225"/>
      <c r="F44" s="1225"/>
      <c r="G44" s="1225">
        <f>+G40+G42</f>
        <v>1</v>
      </c>
      <c r="H44" s="1225">
        <f>+H40+H42</f>
        <v>3</v>
      </c>
      <c r="I44" s="1225">
        <v>4</v>
      </c>
      <c r="J44" s="1023"/>
      <c r="K44" s="1225"/>
      <c r="L44" s="1225"/>
      <c r="M44" s="1023"/>
      <c r="N44" s="1225"/>
      <c r="O44" s="1225"/>
      <c r="P44" s="1225"/>
      <c r="Q44" s="1225"/>
      <c r="R44" s="1225"/>
      <c r="S44" s="1183"/>
      <c r="T44" s="1020">
        <f t="shared" si="1"/>
        <v>1</v>
      </c>
      <c r="U44" s="1020">
        <f t="shared" si="1"/>
        <v>3</v>
      </c>
      <c r="V44" s="1020">
        <f t="shared" si="2"/>
        <v>4</v>
      </c>
      <c r="W44" s="1023"/>
      <c r="X44" s="1225"/>
      <c r="Y44" s="1225"/>
      <c r="Z44" s="1023"/>
      <c r="AA44" s="1225"/>
      <c r="AB44" s="1225"/>
      <c r="AC44" s="1225"/>
      <c r="AD44" s="1225"/>
      <c r="AE44" s="1225"/>
      <c r="AF44" s="1203"/>
      <c r="AG44" s="1208"/>
      <c r="AH44" s="1073"/>
      <c r="AI44" s="1073"/>
      <c r="AJ44" s="1205" t="s">
        <v>466</v>
      </c>
      <c r="AK44" s="1073"/>
      <c r="AL44" s="1073"/>
      <c r="AM44" s="1073"/>
      <c r="AN44" s="1073"/>
      <c r="AO44" s="1073"/>
      <c r="AP44" s="1073"/>
      <c r="AQ44" s="1073"/>
      <c r="AR44" s="1073"/>
      <c r="AS44" s="1073"/>
      <c r="AT44" s="1073"/>
      <c r="AU44" s="1073"/>
      <c r="AV44" s="1073"/>
      <c r="AW44" s="1073"/>
      <c r="AX44" s="1073"/>
      <c r="AY44" s="1183"/>
    </row>
    <row r="45" spans="1:51" ht="28.9" customHeight="1" x14ac:dyDescent="0.25">
      <c r="A45" s="1189"/>
      <c r="B45" s="1018"/>
      <c r="C45" s="1048"/>
      <c r="D45" s="164" t="s">
        <v>348</v>
      </c>
      <c r="E45" s="1225"/>
      <c r="F45" s="1225"/>
      <c r="G45" s="1225">
        <f>+G41+G43</f>
        <v>5165500</v>
      </c>
      <c r="H45" s="1225">
        <f t="shared" ref="H45:R45" si="4">+H41+H43</f>
        <v>23951076.923076924</v>
      </c>
      <c r="I45" s="1225">
        <f t="shared" si="4"/>
        <v>20757600</v>
      </c>
      <c r="J45" s="1225"/>
      <c r="K45" s="1225"/>
      <c r="L45" s="1225"/>
      <c r="M45" s="1225"/>
      <c r="N45" s="1225"/>
      <c r="O45" s="1225"/>
      <c r="P45" s="1225"/>
      <c r="Q45" s="1225"/>
      <c r="R45" s="1225"/>
      <c r="S45" s="1183"/>
      <c r="T45" s="1020">
        <f t="shared" si="1"/>
        <v>5165500</v>
      </c>
      <c r="U45" s="1020">
        <f t="shared" si="1"/>
        <v>23951076.923076924</v>
      </c>
      <c r="V45" s="1020">
        <f t="shared" si="2"/>
        <v>20757600</v>
      </c>
      <c r="W45" s="1023"/>
      <c r="X45" s="1225"/>
      <c r="Y45" s="1225"/>
      <c r="Z45" s="1225"/>
      <c r="AA45" s="1225"/>
      <c r="AB45" s="1225"/>
      <c r="AC45" s="1225"/>
      <c r="AD45" s="1225"/>
      <c r="AE45" s="1225"/>
      <c r="AF45" s="1203"/>
      <c r="AG45" s="1210"/>
      <c r="AH45" s="1076"/>
      <c r="AI45" s="1076"/>
      <c r="AJ45" s="1286" t="s">
        <v>467</v>
      </c>
      <c r="AK45" s="1076"/>
      <c r="AL45" s="1076"/>
      <c r="AM45" s="1076"/>
      <c r="AN45" s="1076"/>
      <c r="AO45" s="1076"/>
      <c r="AP45" s="1076"/>
      <c r="AQ45" s="1076"/>
      <c r="AR45" s="1076"/>
      <c r="AS45" s="1076"/>
      <c r="AT45" s="1076"/>
      <c r="AU45" s="1076"/>
      <c r="AV45" s="1076"/>
      <c r="AW45" s="1076"/>
      <c r="AX45" s="1076"/>
      <c r="AY45" s="1183"/>
    </row>
    <row r="46" spans="1:51" ht="22.9" customHeight="1" x14ac:dyDescent="0.25">
      <c r="A46" s="1189"/>
      <c r="B46" s="1018"/>
      <c r="C46" s="1217" t="s">
        <v>480</v>
      </c>
      <c r="D46" s="161" t="s">
        <v>340</v>
      </c>
      <c r="E46" s="1225"/>
      <c r="F46" s="1225"/>
      <c r="G46" s="1225"/>
      <c r="H46" s="1225">
        <v>1</v>
      </c>
      <c r="I46" s="1225">
        <v>2</v>
      </c>
      <c r="J46" s="1023"/>
      <c r="K46" s="1225"/>
      <c r="L46" s="1225"/>
      <c r="M46" s="1023"/>
      <c r="N46" s="1225"/>
      <c r="O46" s="1225"/>
      <c r="P46" s="1225"/>
      <c r="Q46" s="1225"/>
      <c r="R46" s="1225"/>
      <c r="S46" s="1183"/>
      <c r="T46" s="1020">
        <f t="shared" si="1"/>
        <v>0</v>
      </c>
      <c r="U46" s="1020">
        <f t="shared" si="1"/>
        <v>1</v>
      </c>
      <c r="V46" s="1020">
        <f t="shared" si="2"/>
        <v>2</v>
      </c>
      <c r="W46" s="1023"/>
      <c r="X46" s="1225"/>
      <c r="Y46" s="1225"/>
      <c r="Z46" s="1023"/>
      <c r="AA46" s="1225"/>
      <c r="AB46" s="1225"/>
      <c r="AC46" s="1225"/>
      <c r="AD46" s="1225"/>
      <c r="AE46" s="1225"/>
      <c r="AF46" s="1279" t="s">
        <v>1520</v>
      </c>
      <c r="AG46" s="1288" t="s">
        <v>481</v>
      </c>
      <c r="AH46" s="1275" t="s">
        <v>1621</v>
      </c>
      <c r="AI46" s="1275" t="s">
        <v>1622</v>
      </c>
      <c r="AJ46" s="1281" t="s">
        <v>463</v>
      </c>
      <c r="AK46" s="1275" t="s">
        <v>457</v>
      </c>
      <c r="AL46" s="1275" t="s">
        <v>1498</v>
      </c>
      <c r="AM46" s="1275" t="s">
        <v>458</v>
      </c>
      <c r="AN46" s="1291">
        <v>404676</v>
      </c>
      <c r="AO46" s="1291">
        <v>200538</v>
      </c>
      <c r="AP46" s="1291">
        <v>204138</v>
      </c>
      <c r="AQ46" s="1120" t="s">
        <v>459</v>
      </c>
      <c r="AR46" s="1120" t="s">
        <v>459</v>
      </c>
      <c r="AS46" s="1120" t="s">
        <v>459</v>
      </c>
      <c r="AT46" s="1120" t="s">
        <v>459</v>
      </c>
      <c r="AU46" s="1278" t="s">
        <v>459</v>
      </c>
      <c r="AV46" s="1278" t="s">
        <v>459</v>
      </c>
      <c r="AW46" s="1278" t="s">
        <v>459</v>
      </c>
      <c r="AX46" s="1291">
        <v>404676</v>
      </c>
      <c r="AY46" s="1183"/>
    </row>
    <row r="47" spans="1:51" ht="20.45" customHeight="1" x14ac:dyDescent="0.25">
      <c r="A47" s="1189"/>
      <c r="B47" s="1018"/>
      <c r="C47" s="1018"/>
      <c r="D47" s="164" t="s">
        <v>343</v>
      </c>
      <c r="E47" s="1225"/>
      <c r="F47" s="1225"/>
      <c r="G47" s="1225"/>
      <c r="H47" s="1225">
        <f>+H46*$U$11/$U$10</f>
        <v>7983692.307692308</v>
      </c>
      <c r="I47" s="1225">
        <f>+I46*$V$11/$V$10</f>
        <v>10378800</v>
      </c>
      <c r="J47" s="1225"/>
      <c r="K47" s="1225"/>
      <c r="L47" s="1225"/>
      <c r="M47" s="1225"/>
      <c r="N47" s="1225"/>
      <c r="O47" s="1225"/>
      <c r="P47" s="1225"/>
      <c r="Q47" s="1225"/>
      <c r="R47" s="1225"/>
      <c r="S47" s="1183"/>
      <c r="T47" s="1020">
        <f t="shared" si="1"/>
        <v>0</v>
      </c>
      <c r="U47" s="1020">
        <f t="shared" si="1"/>
        <v>7983692.307692308</v>
      </c>
      <c r="V47" s="1020">
        <f t="shared" si="2"/>
        <v>10378800</v>
      </c>
      <c r="W47" s="1023"/>
      <c r="X47" s="1225"/>
      <c r="Y47" s="1225"/>
      <c r="Z47" s="1225"/>
      <c r="AA47" s="1225"/>
      <c r="AB47" s="1225"/>
      <c r="AC47" s="1225"/>
      <c r="AD47" s="1225"/>
      <c r="AE47" s="1225"/>
      <c r="AF47" s="1203"/>
      <c r="AG47" s="1208"/>
      <c r="AH47" s="1073"/>
      <c r="AI47" s="1073"/>
      <c r="AJ47" s="1285" t="s">
        <v>479</v>
      </c>
      <c r="AK47" s="1073"/>
      <c r="AL47" s="1073"/>
      <c r="AM47" s="1073"/>
      <c r="AN47" s="1211"/>
      <c r="AO47" s="1211"/>
      <c r="AP47" s="1211"/>
      <c r="AQ47" s="1073"/>
      <c r="AR47" s="1073"/>
      <c r="AS47" s="1073"/>
      <c r="AT47" s="1073"/>
      <c r="AU47" s="1073"/>
      <c r="AV47" s="1073"/>
      <c r="AW47" s="1073"/>
      <c r="AX47" s="1211"/>
      <c r="AY47" s="1183"/>
    </row>
    <row r="48" spans="1:51" ht="28.9" customHeight="1" x14ac:dyDescent="0.25">
      <c r="A48" s="1189"/>
      <c r="B48" s="1018"/>
      <c r="C48" s="1018"/>
      <c r="D48" s="165" t="s">
        <v>345</v>
      </c>
      <c r="E48" s="1225"/>
      <c r="F48" s="1225"/>
      <c r="G48" s="1225"/>
      <c r="H48" s="1225"/>
      <c r="I48" s="1225"/>
      <c r="J48" s="1023"/>
      <c r="K48" s="1225"/>
      <c r="L48" s="1225"/>
      <c r="M48" s="1023"/>
      <c r="N48" s="1225"/>
      <c r="O48" s="1225"/>
      <c r="P48" s="1225"/>
      <c r="Q48" s="1225"/>
      <c r="R48" s="1225"/>
      <c r="S48" s="1183"/>
      <c r="T48" s="1020">
        <f t="shared" si="1"/>
        <v>0</v>
      </c>
      <c r="U48" s="1020">
        <f t="shared" si="1"/>
        <v>0</v>
      </c>
      <c r="V48" s="1020">
        <f t="shared" si="2"/>
        <v>0</v>
      </c>
      <c r="W48" s="1023"/>
      <c r="X48" s="1225"/>
      <c r="Y48" s="1225"/>
      <c r="Z48" s="1023"/>
      <c r="AA48" s="1225"/>
      <c r="AB48" s="1225"/>
      <c r="AC48" s="1225"/>
      <c r="AD48" s="1225"/>
      <c r="AE48" s="1225"/>
      <c r="AF48" s="1203"/>
      <c r="AG48" s="1208"/>
      <c r="AH48" s="1073"/>
      <c r="AI48" s="1073"/>
      <c r="AJ48" s="1285" t="s">
        <v>1475</v>
      </c>
      <c r="AK48" s="1073"/>
      <c r="AL48" s="1073"/>
      <c r="AM48" s="1073"/>
      <c r="AN48" s="1211"/>
      <c r="AO48" s="1211"/>
      <c r="AP48" s="1211"/>
      <c r="AQ48" s="1073"/>
      <c r="AR48" s="1073"/>
      <c r="AS48" s="1073"/>
      <c r="AT48" s="1073"/>
      <c r="AU48" s="1073"/>
      <c r="AV48" s="1073"/>
      <c r="AW48" s="1073"/>
      <c r="AX48" s="1211"/>
      <c r="AY48" s="1183"/>
    </row>
    <row r="49" spans="1:51" ht="30.6" customHeight="1" x14ac:dyDescent="0.25">
      <c r="A49" s="1189"/>
      <c r="B49" s="1018"/>
      <c r="C49" s="1018"/>
      <c r="D49" s="164" t="s">
        <v>346</v>
      </c>
      <c r="E49" s="1225"/>
      <c r="F49" s="1225"/>
      <c r="G49" s="1225"/>
      <c r="H49" s="1225"/>
      <c r="I49" s="1020"/>
      <c r="J49" s="1020"/>
      <c r="K49" s="1020"/>
      <c r="L49" s="1020"/>
      <c r="M49" s="1020"/>
      <c r="N49" s="1020"/>
      <c r="O49" s="1020"/>
      <c r="P49" s="1020"/>
      <c r="Q49" s="1020"/>
      <c r="R49" s="1020"/>
      <c r="S49" s="1183"/>
      <c r="T49" s="1020">
        <f t="shared" si="1"/>
        <v>0</v>
      </c>
      <c r="U49" s="1020">
        <f t="shared" si="1"/>
        <v>0</v>
      </c>
      <c r="V49" s="1020">
        <f t="shared" si="2"/>
        <v>0</v>
      </c>
      <c r="W49" s="1023"/>
      <c r="X49" s="1225"/>
      <c r="Y49" s="1225"/>
      <c r="Z49" s="1059"/>
      <c r="AA49" s="1225"/>
      <c r="AB49" s="1225"/>
      <c r="AC49" s="1225"/>
      <c r="AD49" s="1225"/>
      <c r="AE49" s="1225"/>
      <c r="AF49" s="1203"/>
      <c r="AG49" s="1208"/>
      <c r="AH49" s="1073"/>
      <c r="AI49" s="1073"/>
      <c r="AJ49" s="1285" t="s">
        <v>465</v>
      </c>
      <c r="AK49" s="1073"/>
      <c r="AL49" s="1073"/>
      <c r="AM49" s="1073"/>
      <c r="AN49" s="1211"/>
      <c r="AO49" s="1211"/>
      <c r="AP49" s="1211"/>
      <c r="AQ49" s="1073"/>
      <c r="AR49" s="1073"/>
      <c r="AS49" s="1073"/>
      <c r="AT49" s="1073"/>
      <c r="AU49" s="1073"/>
      <c r="AV49" s="1073"/>
      <c r="AW49" s="1073"/>
      <c r="AX49" s="1211"/>
      <c r="AY49" s="1183"/>
    </row>
    <row r="50" spans="1:51" ht="28.15" customHeight="1" x14ac:dyDescent="0.25">
      <c r="A50" s="1189"/>
      <c r="B50" s="1018"/>
      <c r="C50" s="1018"/>
      <c r="D50" s="165" t="s">
        <v>347</v>
      </c>
      <c r="E50" s="1225"/>
      <c r="F50" s="1225"/>
      <c r="G50" s="1225"/>
      <c r="H50" s="1225">
        <v>1</v>
      </c>
      <c r="I50" s="1225">
        <v>2</v>
      </c>
      <c r="J50" s="1023"/>
      <c r="K50" s="1225"/>
      <c r="L50" s="1225"/>
      <c r="M50" s="1225"/>
      <c r="N50" s="1225"/>
      <c r="O50" s="1225"/>
      <c r="P50" s="1225"/>
      <c r="Q50" s="1225"/>
      <c r="R50" s="1225"/>
      <c r="S50" s="1183"/>
      <c r="T50" s="1020">
        <f t="shared" si="1"/>
        <v>0</v>
      </c>
      <c r="U50" s="1020">
        <f t="shared" si="1"/>
        <v>1</v>
      </c>
      <c r="V50" s="1020">
        <f t="shared" si="2"/>
        <v>2</v>
      </c>
      <c r="W50" s="1023"/>
      <c r="X50" s="1225"/>
      <c r="Y50" s="1225"/>
      <c r="Z50" s="1225"/>
      <c r="AA50" s="1225"/>
      <c r="AB50" s="1225"/>
      <c r="AC50" s="1225"/>
      <c r="AD50" s="1225"/>
      <c r="AE50" s="1225"/>
      <c r="AF50" s="1203"/>
      <c r="AG50" s="1208"/>
      <c r="AH50" s="1073"/>
      <c r="AI50" s="1073"/>
      <c r="AJ50" s="1205" t="s">
        <v>466</v>
      </c>
      <c r="AK50" s="1073"/>
      <c r="AL50" s="1073"/>
      <c r="AM50" s="1073"/>
      <c r="AN50" s="1211"/>
      <c r="AO50" s="1211"/>
      <c r="AP50" s="1211"/>
      <c r="AQ50" s="1073"/>
      <c r="AR50" s="1073"/>
      <c r="AS50" s="1073"/>
      <c r="AT50" s="1073"/>
      <c r="AU50" s="1073"/>
      <c r="AV50" s="1073"/>
      <c r="AW50" s="1073"/>
      <c r="AX50" s="1211"/>
      <c r="AY50" s="1183"/>
    </row>
    <row r="51" spans="1:51" ht="28.9" customHeight="1" x14ac:dyDescent="0.25">
      <c r="A51" s="1189"/>
      <c r="B51" s="1018"/>
      <c r="C51" s="1048"/>
      <c r="D51" s="164" t="s">
        <v>348</v>
      </c>
      <c r="E51" s="1225"/>
      <c r="F51" s="1225"/>
      <c r="G51" s="1225"/>
      <c r="H51" s="1225">
        <f>+H47+H49</f>
        <v>7983692.307692308</v>
      </c>
      <c r="I51" s="1225">
        <f>+I47+I49</f>
        <v>10378800</v>
      </c>
      <c r="J51" s="1225"/>
      <c r="K51" s="1225"/>
      <c r="L51" s="1225"/>
      <c r="M51" s="1225"/>
      <c r="N51" s="1225"/>
      <c r="O51" s="1225"/>
      <c r="P51" s="1225"/>
      <c r="Q51" s="1225"/>
      <c r="R51" s="1225"/>
      <c r="S51" s="1183"/>
      <c r="T51" s="1020">
        <f t="shared" si="1"/>
        <v>0</v>
      </c>
      <c r="U51" s="1020">
        <f t="shared" si="1"/>
        <v>7983692.307692308</v>
      </c>
      <c r="V51" s="1020">
        <f t="shared" si="2"/>
        <v>10378800</v>
      </c>
      <c r="W51" s="1023"/>
      <c r="X51" s="1225"/>
      <c r="Y51" s="1225"/>
      <c r="Z51" s="1225"/>
      <c r="AA51" s="1225"/>
      <c r="AB51" s="1225"/>
      <c r="AC51" s="1225"/>
      <c r="AD51" s="1225"/>
      <c r="AE51" s="1225"/>
      <c r="AF51" s="1203"/>
      <c r="AG51" s="1210"/>
      <c r="AH51" s="1076"/>
      <c r="AI51" s="1076"/>
      <c r="AJ51" s="1286" t="s">
        <v>467</v>
      </c>
      <c r="AK51" s="1076"/>
      <c r="AL51" s="1076"/>
      <c r="AM51" s="1076"/>
      <c r="AN51" s="1212"/>
      <c r="AO51" s="1212"/>
      <c r="AP51" s="1212"/>
      <c r="AQ51" s="1076"/>
      <c r="AR51" s="1076"/>
      <c r="AS51" s="1076"/>
      <c r="AT51" s="1076"/>
      <c r="AU51" s="1076"/>
      <c r="AV51" s="1076"/>
      <c r="AW51" s="1076"/>
      <c r="AX51" s="1212"/>
      <c r="AY51" s="1183"/>
    </row>
    <row r="52" spans="1:51" ht="22.9" customHeight="1" x14ac:dyDescent="0.25">
      <c r="A52" s="1189"/>
      <c r="B52" s="1018"/>
      <c r="C52" s="1217" t="s">
        <v>482</v>
      </c>
      <c r="D52" s="161" t="s">
        <v>340</v>
      </c>
      <c r="E52" s="1225"/>
      <c r="F52" s="1225"/>
      <c r="G52" s="1225"/>
      <c r="H52" s="1225"/>
      <c r="I52" s="1225"/>
      <c r="J52" s="1023"/>
      <c r="K52" s="1225"/>
      <c r="L52" s="1225"/>
      <c r="M52" s="1023"/>
      <c r="N52" s="1225"/>
      <c r="O52" s="1225"/>
      <c r="P52" s="1225"/>
      <c r="Q52" s="1225"/>
      <c r="R52" s="1225"/>
      <c r="S52" s="1183"/>
      <c r="T52" s="1020">
        <f t="shared" si="1"/>
        <v>0</v>
      </c>
      <c r="U52" s="1020">
        <f t="shared" si="1"/>
        <v>0</v>
      </c>
      <c r="V52" s="1020">
        <f t="shared" si="2"/>
        <v>0</v>
      </c>
      <c r="W52" s="1023"/>
      <c r="X52" s="1225"/>
      <c r="Y52" s="1225"/>
      <c r="Z52" s="1023"/>
      <c r="AA52" s="1225"/>
      <c r="AB52" s="1225"/>
      <c r="AC52" s="1225"/>
      <c r="AD52" s="1225"/>
      <c r="AE52" s="1225"/>
      <c r="AF52" s="1279"/>
      <c r="AG52" s="1280" t="s">
        <v>482</v>
      </c>
      <c r="AH52" s="1275" t="s">
        <v>483</v>
      </c>
      <c r="AI52" s="1275" t="s">
        <v>484</v>
      </c>
      <c r="AJ52" s="1281" t="s">
        <v>463</v>
      </c>
      <c r="AK52" s="1275" t="s">
        <v>457</v>
      </c>
      <c r="AL52" s="1275" t="s">
        <v>485</v>
      </c>
      <c r="AM52" s="1275" t="s">
        <v>458</v>
      </c>
      <c r="AN52" s="1282">
        <v>182943</v>
      </c>
      <c r="AO52" s="1277">
        <v>90946</v>
      </c>
      <c r="AP52" s="1277">
        <v>91997</v>
      </c>
      <c r="AQ52" s="1120" t="s">
        <v>459</v>
      </c>
      <c r="AR52" s="1120" t="s">
        <v>459</v>
      </c>
      <c r="AS52" s="1120" t="s">
        <v>459</v>
      </c>
      <c r="AT52" s="1120" t="s">
        <v>459</v>
      </c>
      <c r="AU52" s="1278" t="s">
        <v>459</v>
      </c>
      <c r="AV52" s="1278" t="s">
        <v>459</v>
      </c>
      <c r="AW52" s="1278" t="s">
        <v>459</v>
      </c>
      <c r="AX52" s="1282">
        <v>182943</v>
      </c>
      <c r="AY52" s="1183"/>
    </row>
    <row r="53" spans="1:51" ht="20.45" customHeight="1" x14ac:dyDescent="0.25">
      <c r="A53" s="1189"/>
      <c r="B53" s="1018"/>
      <c r="C53" s="1018"/>
      <c r="D53" s="164" t="s">
        <v>343</v>
      </c>
      <c r="E53" s="1225"/>
      <c r="F53" s="1225"/>
      <c r="G53" s="1225"/>
      <c r="H53" s="1225"/>
      <c r="I53" s="1225"/>
      <c r="J53" s="1225"/>
      <c r="K53" s="1225"/>
      <c r="L53" s="1225"/>
      <c r="M53" s="1225"/>
      <c r="N53" s="1225"/>
      <c r="O53" s="1225"/>
      <c r="P53" s="1225"/>
      <c r="Q53" s="1225"/>
      <c r="R53" s="1225"/>
      <c r="S53" s="1183"/>
      <c r="T53" s="1020">
        <f t="shared" si="1"/>
        <v>0</v>
      </c>
      <c r="U53" s="1020">
        <f t="shared" si="1"/>
        <v>0</v>
      </c>
      <c r="V53" s="1020">
        <f t="shared" si="2"/>
        <v>0</v>
      </c>
      <c r="W53" s="1023"/>
      <c r="X53" s="1225"/>
      <c r="Y53" s="1225"/>
      <c r="Z53" s="1225"/>
      <c r="AA53" s="1225"/>
      <c r="AB53" s="1225"/>
      <c r="AC53" s="1225"/>
      <c r="AD53" s="1225"/>
      <c r="AE53" s="1225"/>
      <c r="AF53" s="1203"/>
      <c r="AG53" s="1204"/>
      <c r="AH53" s="1073"/>
      <c r="AI53" s="1073"/>
      <c r="AJ53" s="1285" t="s">
        <v>479</v>
      </c>
      <c r="AK53" s="1073"/>
      <c r="AL53" s="1073"/>
      <c r="AM53" s="1073"/>
      <c r="AN53" s="1073"/>
      <c r="AO53" s="1073"/>
      <c r="AP53" s="1073"/>
      <c r="AQ53" s="1073"/>
      <c r="AR53" s="1073"/>
      <c r="AS53" s="1073"/>
      <c r="AT53" s="1073"/>
      <c r="AU53" s="1073"/>
      <c r="AV53" s="1073"/>
      <c r="AW53" s="1073"/>
      <c r="AX53" s="1073"/>
      <c r="AY53" s="1183"/>
    </row>
    <row r="54" spans="1:51" ht="28.9" customHeight="1" x14ac:dyDescent="0.25">
      <c r="A54" s="1189"/>
      <c r="B54" s="1018"/>
      <c r="C54" s="1018"/>
      <c r="D54" s="165" t="s">
        <v>345</v>
      </c>
      <c r="E54" s="1225"/>
      <c r="F54" s="1225"/>
      <c r="G54" s="1225"/>
      <c r="H54" s="1225"/>
      <c r="I54" s="1225"/>
      <c r="J54" s="1023"/>
      <c r="K54" s="1225"/>
      <c r="L54" s="1225"/>
      <c r="M54" s="1023"/>
      <c r="N54" s="1225"/>
      <c r="O54" s="1225"/>
      <c r="P54" s="1225"/>
      <c r="Q54" s="1225"/>
      <c r="R54" s="1225"/>
      <c r="S54" s="1183"/>
      <c r="T54" s="1020">
        <f t="shared" si="1"/>
        <v>0</v>
      </c>
      <c r="U54" s="1020">
        <f t="shared" si="1"/>
        <v>0</v>
      </c>
      <c r="V54" s="1020">
        <f t="shared" si="2"/>
        <v>0</v>
      </c>
      <c r="W54" s="1023"/>
      <c r="X54" s="1225"/>
      <c r="Y54" s="1225"/>
      <c r="Z54" s="1023"/>
      <c r="AA54" s="1225"/>
      <c r="AB54" s="1225"/>
      <c r="AC54" s="1225"/>
      <c r="AD54" s="1225"/>
      <c r="AE54" s="1225"/>
      <c r="AF54" s="1203"/>
      <c r="AG54" s="1204"/>
      <c r="AH54" s="1073"/>
      <c r="AI54" s="1073"/>
      <c r="AJ54" s="1285" t="s">
        <v>1475</v>
      </c>
      <c r="AK54" s="1073"/>
      <c r="AL54" s="1073"/>
      <c r="AM54" s="1073"/>
      <c r="AN54" s="1073"/>
      <c r="AO54" s="1073"/>
      <c r="AP54" s="1073"/>
      <c r="AQ54" s="1073"/>
      <c r="AR54" s="1073"/>
      <c r="AS54" s="1073"/>
      <c r="AT54" s="1073"/>
      <c r="AU54" s="1073"/>
      <c r="AV54" s="1073"/>
      <c r="AW54" s="1073"/>
      <c r="AX54" s="1073"/>
      <c r="AY54" s="1183"/>
    </row>
    <row r="55" spans="1:51" ht="30.6" customHeight="1" x14ac:dyDescent="0.25">
      <c r="A55" s="1189"/>
      <c r="B55" s="1018"/>
      <c r="C55" s="1018"/>
      <c r="D55" s="164" t="s">
        <v>346</v>
      </c>
      <c r="E55" s="1225"/>
      <c r="F55" s="1225"/>
      <c r="G55" s="1225"/>
      <c r="H55" s="1225"/>
      <c r="I55" s="1020"/>
      <c r="J55" s="1020"/>
      <c r="K55" s="1020"/>
      <c r="L55" s="1020"/>
      <c r="M55" s="1020"/>
      <c r="N55" s="1020"/>
      <c r="O55" s="1020"/>
      <c r="P55" s="1020"/>
      <c r="Q55" s="1020"/>
      <c r="R55" s="1020"/>
      <c r="S55" s="1183"/>
      <c r="T55" s="1020">
        <f t="shared" si="1"/>
        <v>0</v>
      </c>
      <c r="U55" s="1020">
        <f t="shared" si="1"/>
        <v>0</v>
      </c>
      <c r="V55" s="1020">
        <f t="shared" si="2"/>
        <v>0</v>
      </c>
      <c r="W55" s="1023"/>
      <c r="X55" s="1225"/>
      <c r="Y55" s="1225"/>
      <c r="Z55" s="1059"/>
      <c r="AA55" s="1225"/>
      <c r="AB55" s="1225"/>
      <c r="AC55" s="1225"/>
      <c r="AD55" s="1225"/>
      <c r="AE55" s="1225"/>
      <c r="AF55" s="1203"/>
      <c r="AG55" s="1204"/>
      <c r="AH55" s="1073"/>
      <c r="AI55" s="1073"/>
      <c r="AJ55" s="1285" t="s">
        <v>465</v>
      </c>
      <c r="AK55" s="1073"/>
      <c r="AL55" s="1073"/>
      <c r="AM55" s="1073"/>
      <c r="AN55" s="1073"/>
      <c r="AO55" s="1073"/>
      <c r="AP55" s="1073"/>
      <c r="AQ55" s="1073"/>
      <c r="AR55" s="1073"/>
      <c r="AS55" s="1073"/>
      <c r="AT55" s="1073"/>
      <c r="AU55" s="1073"/>
      <c r="AV55" s="1073"/>
      <c r="AW55" s="1073"/>
      <c r="AX55" s="1073"/>
      <c r="AY55" s="1183"/>
    </row>
    <row r="56" spans="1:51" ht="28.9" customHeight="1" x14ac:dyDescent="0.25">
      <c r="A56" s="1189"/>
      <c r="B56" s="1018"/>
      <c r="C56" s="1018"/>
      <c r="D56" s="165" t="s">
        <v>347</v>
      </c>
      <c r="E56" s="1225"/>
      <c r="F56" s="1225"/>
      <c r="G56" s="1225"/>
      <c r="H56" s="1225"/>
      <c r="I56" s="1225"/>
      <c r="J56" s="1023"/>
      <c r="K56" s="1225"/>
      <c r="L56" s="1225"/>
      <c r="M56" s="1023"/>
      <c r="N56" s="1225"/>
      <c r="O56" s="1225"/>
      <c r="P56" s="1225"/>
      <c r="Q56" s="1225"/>
      <c r="R56" s="1225"/>
      <c r="S56" s="1183"/>
      <c r="T56" s="1020">
        <f t="shared" si="1"/>
        <v>0</v>
      </c>
      <c r="U56" s="1020">
        <f t="shared" si="1"/>
        <v>0</v>
      </c>
      <c r="V56" s="1020">
        <f t="shared" si="2"/>
        <v>0</v>
      </c>
      <c r="W56" s="1023"/>
      <c r="X56" s="1225"/>
      <c r="Y56" s="1225"/>
      <c r="Z56" s="1023"/>
      <c r="AA56" s="1225"/>
      <c r="AB56" s="1225"/>
      <c r="AC56" s="1225"/>
      <c r="AD56" s="1225"/>
      <c r="AE56" s="1225"/>
      <c r="AF56" s="1203"/>
      <c r="AG56" s="1204"/>
      <c r="AH56" s="1073"/>
      <c r="AI56" s="1073"/>
      <c r="AJ56" s="1205" t="s">
        <v>466</v>
      </c>
      <c r="AK56" s="1073"/>
      <c r="AL56" s="1073"/>
      <c r="AM56" s="1073"/>
      <c r="AN56" s="1073"/>
      <c r="AO56" s="1073"/>
      <c r="AP56" s="1073"/>
      <c r="AQ56" s="1073"/>
      <c r="AR56" s="1073"/>
      <c r="AS56" s="1073"/>
      <c r="AT56" s="1073"/>
      <c r="AU56" s="1073"/>
      <c r="AV56" s="1073"/>
      <c r="AW56" s="1073"/>
      <c r="AX56" s="1073"/>
      <c r="AY56" s="1183"/>
    </row>
    <row r="57" spans="1:51" ht="28.9" customHeight="1" x14ac:dyDescent="0.25">
      <c r="A57" s="1189"/>
      <c r="B57" s="1018"/>
      <c r="C57" s="1048"/>
      <c r="D57" s="164" t="s">
        <v>348</v>
      </c>
      <c r="E57" s="1225"/>
      <c r="F57" s="1225"/>
      <c r="G57" s="1225"/>
      <c r="H57" s="1225"/>
      <c r="I57" s="1225"/>
      <c r="J57" s="1225"/>
      <c r="K57" s="1225"/>
      <c r="L57" s="1225"/>
      <c r="M57" s="1225"/>
      <c r="N57" s="1225"/>
      <c r="O57" s="1225"/>
      <c r="P57" s="1225"/>
      <c r="Q57" s="1225"/>
      <c r="R57" s="1225"/>
      <c r="S57" s="1183"/>
      <c r="T57" s="1020">
        <f t="shared" si="1"/>
        <v>0</v>
      </c>
      <c r="U57" s="1020">
        <f t="shared" si="1"/>
        <v>0</v>
      </c>
      <c r="V57" s="1020">
        <f t="shared" si="2"/>
        <v>0</v>
      </c>
      <c r="W57" s="1023"/>
      <c r="X57" s="1225"/>
      <c r="Y57" s="1225"/>
      <c r="Z57" s="1225"/>
      <c r="AA57" s="1225"/>
      <c r="AB57" s="1225"/>
      <c r="AC57" s="1225"/>
      <c r="AD57" s="1225"/>
      <c r="AE57" s="1225"/>
      <c r="AF57" s="1203"/>
      <c r="AG57" s="1190"/>
      <c r="AH57" s="1076"/>
      <c r="AI57" s="1076"/>
      <c r="AJ57" s="1286" t="s">
        <v>467</v>
      </c>
      <c r="AK57" s="1076"/>
      <c r="AL57" s="1076"/>
      <c r="AM57" s="1076"/>
      <c r="AN57" s="1076"/>
      <c r="AO57" s="1076"/>
      <c r="AP57" s="1076"/>
      <c r="AQ57" s="1076"/>
      <c r="AR57" s="1076"/>
      <c r="AS57" s="1076"/>
      <c r="AT57" s="1076"/>
      <c r="AU57" s="1076"/>
      <c r="AV57" s="1076"/>
      <c r="AW57" s="1076"/>
      <c r="AX57" s="1076"/>
      <c r="AY57" s="1183"/>
    </row>
    <row r="58" spans="1:51" ht="22.9" customHeight="1" x14ac:dyDescent="0.25">
      <c r="A58" s="1189"/>
      <c r="B58" s="1018"/>
      <c r="C58" s="1217" t="s">
        <v>486</v>
      </c>
      <c r="D58" s="161" t="s">
        <v>340</v>
      </c>
      <c r="E58" s="1225"/>
      <c r="F58" s="1225"/>
      <c r="G58" s="1225">
        <v>1</v>
      </c>
      <c r="H58" s="1225">
        <v>4</v>
      </c>
      <c r="I58" s="1225">
        <v>4</v>
      </c>
      <c r="J58" s="1225"/>
      <c r="K58" s="1225"/>
      <c r="L58" s="1225"/>
      <c r="M58" s="1023"/>
      <c r="N58" s="1225"/>
      <c r="O58" s="1225"/>
      <c r="P58" s="1225"/>
      <c r="Q58" s="1225"/>
      <c r="R58" s="1225"/>
      <c r="S58" s="1183"/>
      <c r="T58" s="1020">
        <f t="shared" si="1"/>
        <v>1</v>
      </c>
      <c r="U58" s="1020">
        <f t="shared" si="1"/>
        <v>4</v>
      </c>
      <c r="V58" s="1020">
        <f t="shared" si="2"/>
        <v>4</v>
      </c>
      <c r="W58" s="1023"/>
      <c r="X58" s="1225"/>
      <c r="Y58" s="1225"/>
      <c r="Z58" s="1023"/>
      <c r="AA58" s="1225"/>
      <c r="AB58" s="1225"/>
      <c r="AC58" s="1225"/>
      <c r="AD58" s="1225"/>
      <c r="AE58" s="1225"/>
      <c r="AF58" s="1279" t="s">
        <v>1499</v>
      </c>
      <c r="AG58" s="1280" t="s">
        <v>487</v>
      </c>
      <c r="AH58" s="1275" t="s">
        <v>1521</v>
      </c>
      <c r="AI58" s="1275" t="s">
        <v>1522</v>
      </c>
      <c r="AJ58" s="1281" t="s">
        <v>463</v>
      </c>
      <c r="AK58" s="1275" t="s">
        <v>457</v>
      </c>
      <c r="AL58" s="1275" t="s">
        <v>1500</v>
      </c>
      <c r="AM58" s="1275" t="s">
        <v>458</v>
      </c>
      <c r="AN58" s="1282">
        <v>733740</v>
      </c>
      <c r="AO58" s="1282">
        <v>353078</v>
      </c>
      <c r="AP58" s="1282">
        <v>380662</v>
      </c>
      <c r="AQ58" s="1120" t="s">
        <v>459</v>
      </c>
      <c r="AR58" s="1120" t="s">
        <v>459</v>
      </c>
      <c r="AS58" s="1120" t="s">
        <v>459</v>
      </c>
      <c r="AT58" s="1120" t="s">
        <v>459</v>
      </c>
      <c r="AU58" s="1278" t="s">
        <v>459</v>
      </c>
      <c r="AV58" s="1278" t="s">
        <v>459</v>
      </c>
      <c r="AW58" s="1278" t="s">
        <v>459</v>
      </c>
      <c r="AX58" s="1282">
        <v>733740</v>
      </c>
      <c r="AY58" s="1183"/>
    </row>
    <row r="59" spans="1:51" ht="34.15" customHeight="1" x14ac:dyDescent="0.25">
      <c r="A59" s="1189"/>
      <c r="B59" s="1018"/>
      <c r="C59" s="1018"/>
      <c r="D59" s="164" t="s">
        <v>343</v>
      </c>
      <c r="E59" s="1225"/>
      <c r="F59" s="1225"/>
      <c r="G59" s="1225">
        <f>+G58*$T$11/$T$10</f>
        <v>5165500</v>
      </c>
      <c r="H59" s="1225">
        <f>+H58*$U$11/$U$10</f>
        <v>31934769.230769232</v>
      </c>
      <c r="I59" s="1225">
        <f>+I58*$V$11/$V$10</f>
        <v>20757600</v>
      </c>
      <c r="J59" s="1225"/>
      <c r="K59" s="1225"/>
      <c r="L59" s="1225"/>
      <c r="M59" s="1225"/>
      <c r="N59" s="1225"/>
      <c r="O59" s="1225"/>
      <c r="P59" s="1225"/>
      <c r="Q59" s="1225"/>
      <c r="R59" s="1225"/>
      <c r="S59" s="1183"/>
      <c r="T59" s="1020">
        <f t="shared" si="1"/>
        <v>5165500</v>
      </c>
      <c r="U59" s="1020">
        <f t="shared" si="1"/>
        <v>31934769.230769232</v>
      </c>
      <c r="V59" s="1020">
        <f t="shared" si="2"/>
        <v>20757600</v>
      </c>
      <c r="W59" s="1023"/>
      <c r="X59" s="1225"/>
      <c r="Y59" s="1225"/>
      <c r="Z59" s="1225"/>
      <c r="AA59" s="1225"/>
      <c r="AB59" s="1225"/>
      <c r="AC59" s="1225"/>
      <c r="AD59" s="1225"/>
      <c r="AE59" s="1225"/>
      <c r="AF59" s="1203"/>
      <c r="AG59" s="1204"/>
      <c r="AH59" s="1073"/>
      <c r="AI59" s="1073"/>
      <c r="AJ59" s="1285" t="s">
        <v>464</v>
      </c>
      <c r="AK59" s="1073"/>
      <c r="AL59" s="1073"/>
      <c r="AM59" s="1073"/>
      <c r="AN59" s="1073"/>
      <c r="AO59" s="1073"/>
      <c r="AP59" s="1073"/>
      <c r="AQ59" s="1073"/>
      <c r="AR59" s="1073"/>
      <c r="AS59" s="1073"/>
      <c r="AT59" s="1073"/>
      <c r="AU59" s="1073"/>
      <c r="AV59" s="1073"/>
      <c r="AW59" s="1073"/>
      <c r="AX59" s="1073"/>
      <c r="AY59" s="1183"/>
    </row>
    <row r="60" spans="1:51" ht="28.9" customHeight="1" x14ac:dyDescent="0.25">
      <c r="A60" s="1189"/>
      <c r="B60" s="1018"/>
      <c r="C60" s="1018"/>
      <c r="D60" s="165" t="s">
        <v>345</v>
      </c>
      <c r="E60" s="1225"/>
      <c r="F60" s="1225"/>
      <c r="G60" s="1225"/>
      <c r="H60" s="1225"/>
      <c r="I60" s="1225"/>
      <c r="J60" s="1023"/>
      <c r="K60" s="1225"/>
      <c r="L60" s="1225"/>
      <c r="M60" s="1023"/>
      <c r="N60" s="1225"/>
      <c r="O60" s="1225"/>
      <c r="P60" s="1225"/>
      <c r="Q60" s="1225"/>
      <c r="R60" s="1225"/>
      <c r="S60" s="1183"/>
      <c r="T60" s="1020">
        <f t="shared" si="1"/>
        <v>0</v>
      </c>
      <c r="U60" s="1020">
        <f t="shared" si="1"/>
        <v>0</v>
      </c>
      <c r="V60" s="1020">
        <f t="shared" si="2"/>
        <v>0</v>
      </c>
      <c r="W60" s="1023"/>
      <c r="X60" s="1225"/>
      <c r="Y60" s="1225"/>
      <c r="Z60" s="1023"/>
      <c r="AA60" s="1225"/>
      <c r="AB60" s="1225"/>
      <c r="AC60" s="1225"/>
      <c r="AD60" s="1225"/>
      <c r="AE60" s="1225"/>
      <c r="AF60" s="1203"/>
      <c r="AG60" s="1204"/>
      <c r="AH60" s="1073"/>
      <c r="AI60" s="1073"/>
      <c r="AJ60" s="1285" t="s">
        <v>1475</v>
      </c>
      <c r="AK60" s="1073"/>
      <c r="AL60" s="1073"/>
      <c r="AM60" s="1073"/>
      <c r="AN60" s="1073"/>
      <c r="AO60" s="1073"/>
      <c r="AP60" s="1073"/>
      <c r="AQ60" s="1073"/>
      <c r="AR60" s="1073"/>
      <c r="AS60" s="1073"/>
      <c r="AT60" s="1073"/>
      <c r="AU60" s="1073"/>
      <c r="AV60" s="1073"/>
      <c r="AW60" s="1073"/>
      <c r="AX60" s="1073"/>
      <c r="AY60" s="1183"/>
    </row>
    <row r="61" spans="1:51" ht="32.450000000000003" customHeight="1" x14ac:dyDescent="0.25">
      <c r="A61" s="1189"/>
      <c r="B61" s="1018"/>
      <c r="C61" s="1018"/>
      <c r="D61" s="164" t="s">
        <v>346</v>
      </c>
      <c r="E61" s="1225"/>
      <c r="F61" s="1225"/>
      <c r="G61" s="1225"/>
      <c r="H61" s="1225"/>
      <c r="I61" s="1020"/>
      <c r="J61" s="1020"/>
      <c r="K61" s="1020"/>
      <c r="L61" s="1020"/>
      <c r="M61" s="1020"/>
      <c r="N61" s="1020"/>
      <c r="O61" s="1020"/>
      <c r="P61" s="1020"/>
      <c r="Q61" s="1020"/>
      <c r="R61" s="1020"/>
      <c r="S61" s="1183"/>
      <c r="T61" s="1020">
        <f t="shared" si="1"/>
        <v>0</v>
      </c>
      <c r="U61" s="1020">
        <f t="shared" si="1"/>
        <v>0</v>
      </c>
      <c r="V61" s="1020">
        <f t="shared" si="2"/>
        <v>0</v>
      </c>
      <c r="W61" s="1023"/>
      <c r="X61" s="1225"/>
      <c r="Y61" s="1225"/>
      <c r="Z61" s="1059"/>
      <c r="AA61" s="1225"/>
      <c r="AB61" s="1225"/>
      <c r="AC61" s="1225"/>
      <c r="AD61" s="1225"/>
      <c r="AE61" s="1225"/>
      <c r="AF61" s="1203"/>
      <c r="AG61" s="1204"/>
      <c r="AH61" s="1073"/>
      <c r="AI61" s="1073"/>
      <c r="AJ61" s="1285" t="s">
        <v>465</v>
      </c>
      <c r="AK61" s="1073"/>
      <c r="AL61" s="1073"/>
      <c r="AM61" s="1073"/>
      <c r="AN61" s="1073"/>
      <c r="AO61" s="1073"/>
      <c r="AP61" s="1073"/>
      <c r="AQ61" s="1073"/>
      <c r="AR61" s="1073"/>
      <c r="AS61" s="1073"/>
      <c r="AT61" s="1073"/>
      <c r="AU61" s="1073"/>
      <c r="AV61" s="1073"/>
      <c r="AW61" s="1073"/>
      <c r="AX61" s="1073"/>
      <c r="AY61" s="1183"/>
    </row>
    <row r="62" spans="1:51" ht="27" customHeight="1" x14ac:dyDescent="0.25">
      <c r="A62" s="1189"/>
      <c r="B62" s="1018"/>
      <c r="C62" s="1018"/>
      <c r="D62" s="165" t="s">
        <v>347</v>
      </c>
      <c r="E62" s="1225"/>
      <c r="F62" s="1225"/>
      <c r="G62" s="1225">
        <f>+G58+G60</f>
        <v>1</v>
      </c>
      <c r="H62" s="1225">
        <v>4</v>
      </c>
      <c r="I62" s="1225">
        <v>4</v>
      </c>
      <c r="J62" s="1023"/>
      <c r="K62" s="1225"/>
      <c r="L62" s="1225"/>
      <c r="M62" s="1023"/>
      <c r="N62" s="1225"/>
      <c r="O62" s="1225"/>
      <c r="P62" s="1225"/>
      <c r="Q62" s="1225"/>
      <c r="R62" s="1225"/>
      <c r="S62" s="1183"/>
      <c r="T62" s="1020">
        <f t="shared" si="1"/>
        <v>1</v>
      </c>
      <c r="U62" s="1020">
        <f t="shared" si="1"/>
        <v>4</v>
      </c>
      <c r="V62" s="1020">
        <f t="shared" si="2"/>
        <v>4</v>
      </c>
      <c r="W62" s="1023"/>
      <c r="X62" s="1225"/>
      <c r="Y62" s="1225"/>
      <c r="Z62" s="1023"/>
      <c r="AA62" s="1225"/>
      <c r="AB62" s="1225"/>
      <c r="AC62" s="1225"/>
      <c r="AD62" s="1225"/>
      <c r="AE62" s="1225"/>
      <c r="AF62" s="1203"/>
      <c r="AG62" s="1204"/>
      <c r="AH62" s="1073"/>
      <c r="AI62" s="1073"/>
      <c r="AJ62" s="1205" t="s">
        <v>466</v>
      </c>
      <c r="AK62" s="1073"/>
      <c r="AL62" s="1073"/>
      <c r="AM62" s="1073"/>
      <c r="AN62" s="1073"/>
      <c r="AO62" s="1073"/>
      <c r="AP62" s="1073"/>
      <c r="AQ62" s="1073"/>
      <c r="AR62" s="1073"/>
      <c r="AS62" s="1073"/>
      <c r="AT62" s="1073"/>
      <c r="AU62" s="1073"/>
      <c r="AV62" s="1073"/>
      <c r="AW62" s="1073"/>
      <c r="AX62" s="1073"/>
      <c r="AY62" s="1183"/>
    </row>
    <row r="63" spans="1:51" ht="28.9" customHeight="1" x14ac:dyDescent="0.25">
      <c r="A63" s="1189"/>
      <c r="B63" s="1018"/>
      <c r="C63" s="1048"/>
      <c r="D63" s="164" t="s">
        <v>348</v>
      </c>
      <c r="E63" s="1225"/>
      <c r="F63" s="1225"/>
      <c r="G63" s="1225">
        <f>+G59+G61</f>
        <v>5165500</v>
      </c>
      <c r="H63" s="1225">
        <f>+H59+H61</f>
        <v>31934769.230769232</v>
      </c>
      <c r="I63" s="1225">
        <f>+I59+I61</f>
        <v>20757600</v>
      </c>
      <c r="J63" s="1225"/>
      <c r="K63" s="1225"/>
      <c r="L63" s="1225"/>
      <c r="M63" s="1225"/>
      <c r="N63" s="1225"/>
      <c r="O63" s="1225"/>
      <c r="P63" s="1225"/>
      <c r="Q63" s="1225"/>
      <c r="R63" s="1225"/>
      <c r="S63" s="1183"/>
      <c r="T63" s="1020">
        <f t="shared" si="1"/>
        <v>5165500</v>
      </c>
      <c r="U63" s="1020">
        <f t="shared" si="1"/>
        <v>31934769.230769232</v>
      </c>
      <c r="V63" s="1020">
        <f t="shared" si="2"/>
        <v>20757600</v>
      </c>
      <c r="W63" s="1023"/>
      <c r="X63" s="1225"/>
      <c r="Y63" s="1225"/>
      <c r="Z63" s="1225"/>
      <c r="AA63" s="1225"/>
      <c r="AB63" s="1225"/>
      <c r="AC63" s="1225"/>
      <c r="AD63" s="1225"/>
      <c r="AE63" s="1225"/>
      <c r="AF63" s="1203"/>
      <c r="AG63" s="1190"/>
      <c r="AH63" s="1076"/>
      <c r="AI63" s="1076"/>
      <c r="AJ63" s="1286" t="s">
        <v>467</v>
      </c>
      <c r="AK63" s="1076"/>
      <c r="AL63" s="1076"/>
      <c r="AM63" s="1076"/>
      <c r="AN63" s="1076"/>
      <c r="AO63" s="1076"/>
      <c r="AP63" s="1076"/>
      <c r="AQ63" s="1076"/>
      <c r="AR63" s="1076"/>
      <c r="AS63" s="1076"/>
      <c r="AT63" s="1076"/>
      <c r="AU63" s="1076"/>
      <c r="AV63" s="1076"/>
      <c r="AW63" s="1076"/>
      <c r="AX63" s="1076"/>
      <c r="AY63" s="1183"/>
    </row>
    <row r="64" spans="1:51" ht="22.9" customHeight="1" x14ac:dyDescent="0.25">
      <c r="A64" s="1189"/>
      <c r="B64" s="1018"/>
      <c r="C64" s="1217" t="s">
        <v>488</v>
      </c>
      <c r="D64" s="161" t="s">
        <v>340</v>
      </c>
      <c r="E64" s="1225"/>
      <c r="F64" s="1225"/>
      <c r="G64" s="1225"/>
      <c r="H64" s="1225">
        <v>1</v>
      </c>
      <c r="I64" s="1225">
        <v>5</v>
      </c>
      <c r="J64" s="1225"/>
      <c r="K64" s="1225"/>
      <c r="L64" s="1225"/>
      <c r="M64" s="1023"/>
      <c r="N64" s="1225"/>
      <c r="O64" s="1225"/>
      <c r="P64" s="1225"/>
      <c r="Q64" s="1225"/>
      <c r="R64" s="1225"/>
      <c r="S64" s="1183"/>
      <c r="T64" s="1020">
        <f t="shared" si="1"/>
        <v>0</v>
      </c>
      <c r="U64" s="1020">
        <f t="shared" si="1"/>
        <v>1</v>
      </c>
      <c r="V64" s="1020">
        <f t="shared" si="2"/>
        <v>5</v>
      </c>
      <c r="W64" s="1023"/>
      <c r="X64" s="1225"/>
      <c r="Y64" s="1225"/>
      <c r="Z64" s="1023"/>
      <c r="AA64" s="1225"/>
      <c r="AB64" s="1225"/>
      <c r="AC64" s="1225"/>
      <c r="AD64" s="1225"/>
      <c r="AE64" s="1225"/>
      <c r="AF64" s="1292" t="s">
        <v>1523</v>
      </c>
      <c r="AG64" s="1288" t="s">
        <v>488</v>
      </c>
      <c r="AH64" s="1275" t="s">
        <v>1623</v>
      </c>
      <c r="AI64" s="1275" t="s">
        <v>1624</v>
      </c>
      <c r="AJ64" s="1281" t="s">
        <v>463</v>
      </c>
      <c r="AK64" s="1275" t="s">
        <v>457</v>
      </c>
      <c r="AL64" s="1275" t="s">
        <v>1501</v>
      </c>
      <c r="AM64" s="1275" t="s">
        <v>458</v>
      </c>
      <c r="AN64" s="1282">
        <v>1037929</v>
      </c>
      <c r="AO64" s="1282">
        <v>503962</v>
      </c>
      <c r="AP64" s="1282">
        <v>533967</v>
      </c>
      <c r="AQ64" s="1120" t="s">
        <v>459</v>
      </c>
      <c r="AR64" s="1120" t="s">
        <v>459</v>
      </c>
      <c r="AS64" s="1120" t="s">
        <v>459</v>
      </c>
      <c r="AT64" s="1120" t="s">
        <v>459</v>
      </c>
      <c r="AU64" s="1278" t="s">
        <v>459</v>
      </c>
      <c r="AV64" s="1278" t="s">
        <v>459</v>
      </c>
      <c r="AW64" s="1278" t="s">
        <v>459</v>
      </c>
      <c r="AX64" s="1282">
        <v>1037929</v>
      </c>
      <c r="AY64" s="1183"/>
    </row>
    <row r="65" spans="1:51" ht="20.45" customHeight="1" x14ac:dyDescent="0.25">
      <c r="A65" s="1189"/>
      <c r="B65" s="1018"/>
      <c r="C65" s="1018"/>
      <c r="D65" s="164" t="s">
        <v>343</v>
      </c>
      <c r="E65" s="1225"/>
      <c r="F65" s="1225"/>
      <c r="G65" s="1225"/>
      <c r="H65" s="1225">
        <f>+H64*$U$11/$U$10</f>
        <v>7983692.307692308</v>
      </c>
      <c r="I65" s="1225">
        <f>+I64*$V$11/$V$10</f>
        <v>25947000</v>
      </c>
      <c r="J65" s="1225"/>
      <c r="K65" s="1225"/>
      <c r="L65" s="1225"/>
      <c r="M65" s="1225"/>
      <c r="N65" s="1225"/>
      <c r="O65" s="1225"/>
      <c r="P65" s="1225"/>
      <c r="Q65" s="1225"/>
      <c r="R65" s="1225"/>
      <c r="S65" s="1183"/>
      <c r="T65" s="1020">
        <f t="shared" si="1"/>
        <v>0</v>
      </c>
      <c r="U65" s="1020">
        <f t="shared" si="1"/>
        <v>7983692.307692308</v>
      </c>
      <c r="V65" s="1020">
        <f t="shared" si="2"/>
        <v>25947000</v>
      </c>
      <c r="W65" s="1023"/>
      <c r="X65" s="1225"/>
      <c r="Y65" s="1225"/>
      <c r="Z65" s="1225"/>
      <c r="AA65" s="1225"/>
      <c r="AB65" s="1225"/>
      <c r="AC65" s="1225"/>
      <c r="AD65" s="1225"/>
      <c r="AE65" s="1225"/>
      <c r="AF65" s="1203"/>
      <c r="AG65" s="1208"/>
      <c r="AH65" s="1073"/>
      <c r="AI65" s="1073"/>
      <c r="AJ65" s="1285" t="s">
        <v>479</v>
      </c>
      <c r="AK65" s="1073"/>
      <c r="AL65" s="1073"/>
      <c r="AM65" s="1073"/>
      <c r="AN65" s="1073"/>
      <c r="AO65" s="1073"/>
      <c r="AP65" s="1073"/>
      <c r="AQ65" s="1073"/>
      <c r="AR65" s="1073"/>
      <c r="AS65" s="1073"/>
      <c r="AT65" s="1073"/>
      <c r="AU65" s="1073"/>
      <c r="AV65" s="1073"/>
      <c r="AW65" s="1073"/>
      <c r="AX65" s="1073"/>
      <c r="AY65" s="1183"/>
    </row>
    <row r="66" spans="1:51" ht="28.9" customHeight="1" x14ac:dyDescent="0.25">
      <c r="A66" s="1189"/>
      <c r="B66" s="1018"/>
      <c r="C66" s="1018"/>
      <c r="D66" s="165" t="s">
        <v>345</v>
      </c>
      <c r="E66" s="1225"/>
      <c r="F66" s="1225"/>
      <c r="G66" s="1225"/>
      <c r="H66" s="1225"/>
      <c r="I66" s="1225"/>
      <c r="J66" s="1023"/>
      <c r="K66" s="1225"/>
      <c r="L66" s="1225"/>
      <c r="M66" s="1023"/>
      <c r="N66" s="1225"/>
      <c r="O66" s="1225"/>
      <c r="P66" s="1225"/>
      <c r="Q66" s="1225"/>
      <c r="R66" s="1225"/>
      <c r="S66" s="1183"/>
      <c r="T66" s="1020">
        <f t="shared" si="1"/>
        <v>0</v>
      </c>
      <c r="U66" s="1020">
        <f t="shared" si="1"/>
        <v>0</v>
      </c>
      <c r="V66" s="1020">
        <f t="shared" si="2"/>
        <v>0</v>
      </c>
      <c r="W66" s="1023"/>
      <c r="X66" s="1225"/>
      <c r="Y66" s="1225"/>
      <c r="Z66" s="1023"/>
      <c r="AA66" s="1225"/>
      <c r="AB66" s="1225"/>
      <c r="AC66" s="1225"/>
      <c r="AD66" s="1225"/>
      <c r="AE66" s="1225"/>
      <c r="AF66" s="1203"/>
      <c r="AG66" s="1208"/>
      <c r="AH66" s="1073"/>
      <c r="AI66" s="1073"/>
      <c r="AJ66" s="1285" t="s">
        <v>1475</v>
      </c>
      <c r="AK66" s="1073"/>
      <c r="AL66" s="1073"/>
      <c r="AM66" s="1073"/>
      <c r="AN66" s="1073"/>
      <c r="AO66" s="1073"/>
      <c r="AP66" s="1073"/>
      <c r="AQ66" s="1073"/>
      <c r="AR66" s="1073"/>
      <c r="AS66" s="1073"/>
      <c r="AT66" s="1073"/>
      <c r="AU66" s="1073"/>
      <c r="AV66" s="1073"/>
      <c r="AW66" s="1073"/>
      <c r="AX66" s="1073"/>
      <c r="AY66" s="1183"/>
    </row>
    <row r="67" spans="1:51" ht="30.6" customHeight="1" x14ac:dyDescent="0.25">
      <c r="A67" s="1189"/>
      <c r="B67" s="1018"/>
      <c r="C67" s="1018"/>
      <c r="D67" s="164" t="s">
        <v>346</v>
      </c>
      <c r="E67" s="1225"/>
      <c r="F67" s="1225"/>
      <c r="G67" s="1225"/>
      <c r="H67" s="1020"/>
      <c r="I67" s="1020"/>
      <c r="J67" s="1020"/>
      <c r="K67" s="1020"/>
      <c r="L67" s="1020"/>
      <c r="M67" s="1020"/>
      <c r="N67" s="1020"/>
      <c r="O67" s="1020"/>
      <c r="P67" s="1020"/>
      <c r="Q67" s="1020"/>
      <c r="R67" s="1020"/>
      <c r="S67" s="1183"/>
      <c r="T67" s="1020">
        <f t="shared" si="1"/>
        <v>0</v>
      </c>
      <c r="U67" s="1020">
        <f t="shared" si="1"/>
        <v>0</v>
      </c>
      <c r="V67" s="1020">
        <f t="shared" si="2"/>
        <v>0</v>
      </c>
      <c r="W67" s="1023"/>
      <c r="X67" s="1225"/>
      <c r="Y67" s="1225"/>
      <c r="Z67" s="1059"/>
      <c r="AA67" s="1225"/>
      <c r="AB67" s="1225"/>
      <c r="AC67" s="1225"/>
      <c r="AD67" s="1225"/>
      <c r="AE67" s="1225"/>
      <c r="AF67" s="1203"/>
      <c r="AG67" s="1208"/>
      <c r="AH67" s="1073"/>
      <c r="AI67" s="1073"/>
      <c r="AJ67" s="1285" t="s">
        <v>465</v>
      </c>
      <c r="AK67" s="1073"/>
      <c r="AL67" s="1073"/>
      <c r="AM67" s="1073"/>
      <c r="AN67" s="1073"/>
      <c r="AO67" s="1073"/>
      <c r="AP67" s="1073"/>
      <c r="AQ67" s="1073"/>
      <c r="AR67" s="1073"/>
      <c r="AS67" s="1073"/>
      <c r="AT67" s="1073"/>
      <c r="AU67" s="1073"/>
      <c r="AV67" s="1073"/>
      <c r="AW67" s="1073"/>
      <c r="AX67" s="1073"/>
      <c r="AY67" s="1183"/>
    </row>
    <row r="68" spans="1:51" ht="27.6" customHeight="1" x14ac:dyDescent="0.25">
      <c r="A68" s="1189"/>
      <c r="B68" s="1018"/>
      <c r="C68" s="1018"/>
      <c r="D68" s="165" t="s">
        <v>347</v>
      </c>
      <c r="E68" s="1225"/>
      <c r="F68" s="1225"/>
      <c r="G68" s="1225"/>
      <c r="H68" s="1225">
        <v>1</v>
      </c>
      <c r="I68" s="1225">
        <v>5</v>
      </c>
      <c r="J68" s="1023"/>
      <c r="K68" s="1225"/>
      <c r="L68" s="1225"/>
      <c r="M68" s="1023"/>
      <c r="N68" s="1225"/>
      <c r="O68" s="1225"/>
      <c r="P68" s="1225"/>
      <c r="Q68" s="1225"/>
      <c r="R68" s="1225"/>
      <c r="S68" s="1183"/>
      <c r="T68" s="1020">
        <f t="shared" si="1"/>
        <v>0</v>
      </c>
      <c r="U68" s="1020">
        <f t="shared" si="1"/>
        <v>1</v>
      </c>
      <c r="V68" s="1020">
        <f t="shared" si="2"/>
        <v>5</v>
      </c>
      <c r="W68" s="1023"/>
      <c r="X68" s="1225"/>
      <c r="Y68" s="1225"/>
      <c r="Z68" s="1023"/>
      <c r="AA68" s="1225"/>
      <c r="AB68" s="1225"/>
      <c r="AC68" s="1225"/>
      <c r="AD68" s="1225"/>
      <c r="AE68" s="1225"/>
      <c r="AF68" s="1203"/>
      <c r="AG68" s="1208"/>
      <c r="AH68" s="1073"/>
      <c r="AI68" s="1073"/>
      <c r="AJ68" s="1205" t="s">
        <v>466</v>
      </c>
      <c r="AK68" s="1073"/>
      <c r="AL68" s="1073"/>
      <c r="AM68" s="1073"/>
      <c r="AN68" s="1073"/>
      <c r="AO68" s="1073"/>
      <c r="AP68" s="1073"/>
      <c r="AQ68" s="1073"/>
      <c r="AR68" s="1073"/>
      <c r="AS68" s="1073"/>
      <c r="AT68" s="1073"/>
      <c r="AU68" s="1073"/>
      <c r="AV68" s="1073"/>
      <c r="AW68" s="1073"/>
      <c r="AX68" s="1073"/>
      <c r="AY68" s="1183"/>
    </row>
    <row r="69" spans="1:51" ht="28.9" customHeight="1" x14ac:dyDescent="0.25">
      <c r="A69" s="1189"/>
      <c r="B69" s="1018"/>
      <c r="C69" s="1048"/>
      <c r="D69" s="164" t="s">
        <v>348</v>
      </c>
      <c r="E69" s="1225"/>
      <c r="F69" s="1225"/>
      <c r="G69" s="1225"/>
      <c r="H69" s="1225">
        <f>+H65+H67</f>
        <v>7983692.307692308</v>
      </c>
      <c r="I69" s="1225">
        <f>+I65+I67</f>
        <v>25947000</v>
      </c>
      <c r="J69" s="1225"/>
      <c r="K69" s="1225"/>
      <c r="L69" s="1225"/>
      <c r="M69" s="1225"/>
      <c r="N69" s="1225"/>
      <c r="O69" s="1225"/>
      <c r="P69" s="1225"/>
      <c r="Q69" s="1225"/>
      <c r="R69" s="1225"/>
      <c r="S69" s="1183"/>
      <c r="T69" s="1020">
        <f t="shared" si="1"/>
        <v>0</v>
      </c>
      <c r="U69" s="1020">
        <f t="shared" si="1"/>
        <v>7983692.307692308</v>
      </c>
      <c r="V69" s="1020">
        <f t="shared" si="2"/>
        <v>25947000</v>
      </c>
      <c r="W69" s="1023"/>
      <c r="X69" s="1225"/>
      <c r="Y69" s="1225"/>
      <c r="Z69" s="1225"/>
      <c r="AA69" s="1225"/>
      <c r="AB69" s="1225"/>
      <c r="AC69" s="1225"/>
      <c r="AD69" s="1225"/>
      <c r="AE69" s="1225"/>
      <c r="AF69" s="1203"/>
      <c r="AG69" s="1210"/>
      <c r="AH69" s="1076"/>
      <c r="AI69" s="1076"/>
      <c r="AJ69" s="1286" t="s">
        <v>467</v>
      </c>
      <c r="AK69" s="1076"/>
      <c r="AL69" s="1076"/>
      <c r="AM69" s="1076"/>
      <c r="AN69" s="1076"/>
      <c r="AO69" s="1076"/>
      <c r="AP69" s="1076"/>
      <c r="AQ69" s="1076"/>
      <c r="AR69" s="1076"/>
      <c r="AS69" s="1076"/>
      <c r="AT69" s="1076"/>
      <c r="AU69" s="1076"/>
      <c r="AV69" s="1076"/>
      <c r="AW69" s="1076"/>
      <c r="AX69" s="1076"/>
      <c r="AY69" s="1183"/>
    </row>
    <row r="70" spans="1:51" ht="22.9" customHeight="1" x14ac:dyDescent="0.25">
      <c r="A70" s="1189"/>
      <c r="B70" s="1018"/>
      <c r="C70" s="1217" t="s">
        <v>489</v>
      </c>
      <c r="D70" s="161" t="s">
        <v>340</v>
      </c>
      <c r="E70" s="1225"/>
      <c r="F70" s="1225"/>
      <c r="G70" s="1225">
        <v>2</v>
      </c>
      <c r="H70" s="1225">
        <v>3</v>
      </c>
      <c r="I70" s="1225">
        <v>6</v>
      </c>
      <c r="J70" s="1225"/>
      <c r="K70" s="1225"/>
      <c r="L70" s="1225"/>
      <c r="M70" s="1023"/>
      <c r="N70" s="1225"/>
      <c r="O70" s="1225"/>
      <c r="P70" s="1225"/>
      <c r="Q70" s="1225"/>
      <c r="R70" s="1225"/>
      <c r="S70" s="1183"/>
      <c r="T70" s="1020">
        <f t="shared" si="1"/>
        <v>2</v>
      </c>
      <c r="U70" s="1020">
        <f t="shared" si="1"/>
        <v>3</v>
      </c>
      <c r="V70" s="1020">
        <f t="shared" si="2"/>
        <v>6</v>
      </c>
      <c r="W70" s="1023"/>
      <c r="X70" s="1225"/>
      <c r="Y70" s="1225"/>
      <c r="Z70" s="1023"/>
      <c r="AA70" s="1225"/>
      <c r="AB70" s="1225"/>
      <c r="AC70" s="1225"/>
      <c r="AD70" s="1225"/>
      <c r="AE70" s="1225"/>
      <c r="AF70" s="1279" t="s">
        <v>1524</v>
      </c>
      <c r="AG70" s="1288" t="s">
        <v>489</v>
      </c>
      <c r="AH70" s="1275" t="s">
        <v>1625</v>
      </c>
      <c r="AI70" s="1275" t="s">
        <v>1626</v>
      </c>
      <c r="AJ70" s="1281" t="s">
        <v>463</v>
      </c>
      <c r="AK70" s="1275" t="s">
        <v>457</v>
      </c>
      <c r="AL70" s="1275" t="s">
        <v>178</v>
      </c>
      <c r="AM70" s="1275" t="s">
        <v>458</v>
      </c>
      <c r="AN70" s="1282">
        <v>408155</v>
      </c>
      <c r="AO70" s="1282">
        <v>189984</v>
      </c>
      <c r="AP70" s="1282">
        <v>218171</v>
      </c>
      <c r="AQ70" s="1120" t="s">
        <v>459</v>
      </c>
      <c r="AR70" s="1120" t="s">
        <v>459</v>
      </c>
      <c r="AS70" s="1120" t="s">
        <v>459</v>
      </c>
      <c r="AT70" s="1120" t="s">
        <v>459</v>
      </c>
      <c r="AU70" s="1278" t="s">
        <v>459</v>
      </c>
      <c r="AV70" s="1278" t="s">
        <v>459</v>
      </c>
      <c r="AW70" s="1278" t="s">
        <v>459</v>
      </c>
      <c r="AX70" s="1282">
        <v>408155</v>
      </c>
      <c r="AY70" s="1183"/>
    </row>
    <row r="71" spans="1:51" ht="20.45" customHeight="1" x14ac:dyDescent="0.25">
      <c r="A71" s="1189"/>
      <c r="B71" s="1018"/>
      <c r="C71" s="1018"/>
      <c r="D71" s="164" t="s">
        <v>343</v>
      </c>
      <c r="E71" s="1225"/>
      <c r="F71" s="1225"/>
      <c r="G71" s="1225">
        <f>+G70*$T$11/$T$10</f>
        <v>10331000</v>
      </c>
      <c r="H71" s="1225">
        <f>+H70*$U$11/$U$10</f>
        <v>23951076.923076924</v>
      </c>
      <c r="I71" s="1225">
        <f>+I70*$V$11/$V$10</f>
        <v>31136400</v>
      </c>
      <c r="J71" s="1225"/>
      <c r="K71" s="1225"/>
      <c r="L71" s="1225"/>
      <c r="M71" s="1225"/>
      <c r="N71" s="1225"/>
      <c r="O71" s="1225"/>
      <c r="P71" s="1225"/>
      <c r="Q71" s="1225"/>
      <c r="R71" s="1225"/>
      <c r="S71" s="1183"/>
      <c r="T71" s="1020">
        <f t="shared" si="1"/>
        <v>10331000</v>
      </c>
      <c r="U71" s="1020">
        <f t="shared" si="1"/>
        <v>23951076.923076924</v>
      </c>
      <c r="V71" s="1020">
        <f t="shared" si="2"/>
        <v>31136400</v>
      </c>
      <c r="W71" s="1023"/>
      <c r="X71" s="1225"/>
      <c r="Y71" s="1225"/>
      <c r="Z71" s="1225"/>
      <c r="AA71" s="1225"/>
      <c r="AB71" s="1225"/>
      <c r="AC71" s="1225"/>
      <c r="AD71" s="1225"/>
      <c r="AE71" s="1225"/>
      <c r="AF71" s="1203"/>
      <c r="AG71" s="1208"/>
      <c r="AH71" s="1073"/>
      <c r="AI71" s="1073"/>
      <c r="AJ71" s="1285" t="s">
        <v>479</v>
      </c>
      <c r="AK71" s="1073"/>
      <c r="AL71" s="1073"/>
      <c r="AM71" s="1073"/>
      <c r="AN71" s="1293"/>
      <c r="AO71" s="1073"/>
      <c r="AP71" s="1073"/>
      <c r="AQ71" s="1073"/>
      <c r="AR71" s="1073"/>
      <c r="AS71" s="1073"/>
      <c r="AT71" s="1073"/>
      <c r="AU71" s="1073"/>
      <c r="AV71" s="1073"/>
      <c r="AW71" s="1073"/>
      <c r="AX71" s="1293"/>
      <c r="AY71" s="1183"/>
    </row>
    <row r="72" spans="1:51" ht="28.9" customHeight="1" x14ac:dyDescent="0.25">
      <c r="A72" s="1189"/>
      <c r="B72" s="1018"/>
      <c r="C72" s="1018"/>
      <c r="D72" s="165" t="s">
        <v>345</v>
      </c>
      <c r="E72" s="1225"/>
      <c r="F72" s="1225"/>
      <c r="G72" s="1225"/>
      <c r="H72" s="1225"/>
      <c r="I72" s="1225"/>
      <c r="J72" s="1023"/>
      <c r="K72" s="1225"/>
      <c r="L72" s="1225"/>
      <c r="M72" s="1023"/>
      <c r="N72" s="1225"/>
      <c r="O72" s="1225"/>
      <c r="P72" s="1225"/>
      <c r="Q72" s="1225"/>
      <c r="R72" s="1225"/>
      <c r="S72" s="1183"/>
      <c r="T72" s="1020">
        <f t="shared" si="1"/>
        <v>0</v>
      </c>
      <c r="U72" s="1020">
        <f t="shared" si="1"/>
        <v>0</v>
      </c>
      <c r="V72" s="1020">
        <f t="shared" si="2"/>
        <v>0</v>
      </c>
      <c r="W72" s="1023"/>
      <c r="X72" s="1225"/>
      <c r="Y72" s="1225"/>
      <c r="Z72" s="1023"/>
      <c r="AA72" s="1225"/>
      <c r="AB72" s="1225"/>
      <c r="AC72" s="1225"/>
      <c r="AD72" s="1225"/>
      <c r="AE72" s="1225"/>
      <c r="AF72" s="1203"/>
      <c r="AG72" s="1208"/>
      <c r="AH72" s="1073"/>
      <c r="AI72" s="1073"/>
      <c r="AJ72" s="1285" t="s">
        <v>1475</v>
      </c>
      <c r="AK72" s="1073"/>
      <c r="AL72" s="1073"/>
      <c r="AM72" s="1073"/>
      <c r="AN72" s="1293"/>
      <c r="AO72" s="1073"/>
      <c r="AP72" s="1073"/>
      <c r="AQ72" s="1073"/>
      <c r="AR72" s="1073"/>
      <c r="AS72" s="1073"/>
      <c r="AT72" s="1073"/>
      <c r="AU72" s="1073"/>
      <c r="AV72" s="1073"/>
      <c r="AW72" s="1073"/>
      <c r="AX72" s="1293"/>
      <c r="AY72" s="1183"/>
    </row>
    <row r="73" spans="1:51" ht="30.6" customHeight="1" x14ac:dyDescent="0.25">
      <c r="A73" s="1189"/>
      <c r="B73" s="1018"/>
      <c r="C73" s="1018"/>
      <c r="D73" s="164" t="s">
        <v>346</v>
      </c>
      <c r="E73" s="1225"/>
      <c r="F73" s="1225"/>
      <c r="G73" s="1225"/>
      <c r="H73" s="1020"/>
      <c r="I73" s="1020"/>
      <c r="J73" s="1020"/>
      <c r="K73" s="1020"/>
      <c r="L73" s="1020"/>
      <c r="M73" s="1020"/>
      <c r="N73" s="1020"/>
      <c r="O73" s="1020"/>
      <c r="P73" s="1020"/>
      <c r="Q73" s="1020"/>
      <c r="R73" s="1020"/>
      <c r="S73" s="1183"/>
      <c r="T73" s="1020">
        <f t="shared" si="1"/>
        <v>0</v>
      </c>
      <c r="U73" s="1020">
        <f t="shared" si="1"/>
        <v>0</v>
      </c>
      <c r="V73" s="1020">
        <f t="shared" si="2"/>
        <v>0</v>
      </c>
      <c r="W73" s="1023"/>
      <c r="X73" s="1225"/>
      <c r="Y73" s="1225"/>
      <c r="Z73" s="1059"/>
      <c r="AA73" s="1225"/>
      <c r="AB73" s="1225"/>
      <c r="AC73" s="1225"/>
      <c r="AD73" s="1225"/>
      <c r="AE73" s="1225"/>
      <c r="AF73" s="1203"/>
      <c r="AG73" s="1208"/>
      <c r="AH73" s="1073"/>
      <c r="AI73" s="1073"/>
      <c r="AJ73" s="1285" t="s">
        <v>465</v>
      </c>
      <c r="AK73" s="1073"/>
      <c r="AL73" s="1073"/>
      <c r="AM73" s="1073"/>
      <c r="AN73" s="1293"/>
      <c r="AO73" s="1073"/>
      <c r="AP73" s="1073"/>
      <c r="AQ73" s="1073"/>
      <c r="AR73" s="1073"/>
      <c r="AS73" s="1073"/>
      <c r="AT73" s="1073"/>
      <c r="AU73" s="1073"/>
      <c r="AV73" s="1073"/>
      <c r="AW73" s="1073"/>
      <c r="AX73" s="1293"/>
      <c r="AY73" s="1183"/>
    </row>
    <row r="74" spans="1:51" ht="27" customHeight="1" x14ac:dyDescent="0.25">
      <c r="A74" s="1189"/>
      <c r="B74" s="1018"/>
      <c r="C74" s="1018"/>
      <c r="D74" s="165" t="s">
        <v>347</v>
      </c>
      <c r="E74" s="1225"/>
      <c r="F74" s="1225"/>
      <c r="G74" s="1225">
        <f>+G70+G72</f>
        <v>2</v>
      </c>
      <c r="H74" s="1225">
        <v>3</v>
      </c>
      <c r="I74" s="1225">
        <v>6</v>
      </c>
      <c r="J74" s="1023"/>
      <c r="K74" s="1225"/>
      <c r="L74" s="1225"/>
      <c r="M74" s="1023"/>
      <c r="N74" s="1225"/>
      <c r="O74" s="1225"/>
      <c r="P74" s="1225"/>
      <c r="Q74" s="1225"/>
      <c r="R74" s="1225"/>
      <c r="S74" s="1183"/>
      <c r="T74" s="1020">
        <f t="shared" si="1"/>
        <v>2</v>
      </c>
      <c r="U74" s="1020">
        <f t="shared" si="1"/>
        <v>3</v>
      </c>
      <c r="V74" s="1020">
        <f t="shared" si="2"/>
        <v>6</v>
      </c>
      <c r="W74" s="1023"/>
      <c r="X74" s="1225"/>
      <c r="Y74" s="1225"/>
      <c r="Z74" s="1023"/>
      <c r="AA74" s="1225"/>
      <c r="AB74" s="1225"/>
      <c r="AC74" s="1225"/>
      <c r="AD74" s="1225"/>
      <c r="AE74" s="1225"/>
      <c r="AF74" s="1203"/>
      <c r="AG74" s="1208"/>
      <c r="AH74" s="1073"/>
      <c r="AI74" s="1073"/>
      <c r="AJ74" s="1205" t="s">
        <v>466</v>
      </c>
      <c r="AK74" s="1073"/>
      <c r="AL74" s="1073"/>
      <c r="AM74" s="1073"/>
      <c r="AN74" s="1293"/>
      <c r="AO74" s="1073"/>
      <c r="AP74" s="1073"/>
      <c r="AQ74" s="1073"/>
      <c r="AR74" s="1073"/>
      <c r="AS74" s="1073"/>
      <c r="AT74" s="1073"/>
      <c r="AU74" s="1073"/>
      <c r="AV74" s="1073"/>
      <c r="AW74" s="1073"/>
      <c r="AX74" s="1293"/>
      <c r="AY74" s="1183"/>
    </row>
    <row r="75" spans="1:51" ht="28.9" customHeight="1" x14ac:dyDescent="0.25">
      <c r="A75" s="1189"/>
      <c r="B75" s="1018"/>
      <c r="C75" s="1048"/>
      <c r="D75" s="164" t="s">
        <v>348</v>
      </c>
      <c r="E75" s="1225"/>
      <c r="F75" s="1225"/>
      <c r="G75" s="1225">
        <f>+G71+G73</f>
        <v>10331000</v>
      </c>
      <c r="H75" s="1225">
        <f>+H71+H73</f>
        <v>23951076.923076924</v>
      </c>
      <c r="I75" s="1225">
        <f>+I71+I73</f>
        <v>31136400</v>
      </c>
      <c r="J75" s="1225"/>
      <c r="K75" s="1225"/>
      <c r="L75" s="1225"/>
      <c r="M75" s="1225"/>
      <c r="N75" s="1225"/>
      <c r="O75" s="1225"/>
      <c r="P75" s="1225"/>
      <c r="Q75" s="1225"/>
      <c r="R75" s="1225"/>
      <c r="S75" s="1183"/>
      <c r="T75" s="1020">
        <f t="shared" si="1"/>
        <v>10331000</v>
      </c>
      <c r="U75" s="1020">
        <f t="shared" si="1"/>
        <v>23951076.923076924</v>
      </c>
      <c r="V75" s="1020">
        <f t="shared" si="2"/>
        <v>31136400</v>
      </c>
      <c r="W75" s="1023"/>
      <c r="X75" s="1225"/>
      <c r="Y75" s="1225"/>
      <c r="Z75" s="1225"/>
      <c r="AA75" s="1225"/>
      <c r="AB75" s="1225"/>
      <c r="AC75" s="1225"/>
      <c r="AD75" s="1225"/>
      <c r="AE75" s="1225"/>
      <c r="AF75" s="1203"/>
      <c r="AG75" s="1210"/>
      <c r="AH75" s="1076"/>
      <c r="AI75" s="1076"/>
      <c r="AJ75" s="1286" t="s">
        <v>467</v>
      </c>
      <c r="AK75" s="1076"/>
      <c r="AL75" s="1076"/>
      <c r="AM75" s="1076"/>
      <c r="AN75" s="1294"/>
      <c r="AO75" s="1076"/>
      <c r="AP75" s="1076"/>
      <c r="AQ75" s="1076"/>
      <c r="AR75" s="1076"/>
      <c r="AS75" s="1076"/>
      <c r="AT75" s="1076"/>
      <c r="AU75" s="1076"/>
      <c r="AV75" s="1076"/>
      <c r="AW75" s="1076"/>
      <c r="AX75" s="1294"/>
      <c r="AY75" s="1183"/>
    </row>
    <row r="76" spans="1:51" ht="22.9" customHeight="1" x14ac:dyDescent="0.25">
      <c r="A76" s="1189"/>
      <c r="B76" s="1018"/>
      <c r="C76" s="1217" t="s">
        <v>490</v>
      </c>
      <c r="D76" s="161" t="s">
        <v>340</v>
      </c>
      <c r="E76" s="1225"/>
      <c r="F76" s="1225"/>
      <c r="G76" s="1225">
        <v>1</v>
      </c>
      <c r="H76" s="1225">
        <v>1</v>
      </c>
      <c r="I76" s="1225">
        <v>1</v>
      </c>
      <c r="J76" s="1225"/>
      <c r="K76" s="1225"/>
      <c r="L76" s="1225"/>
      <c r="M76" s="1023"/>
      <c r="N76" s="1225"/>
      <c r="O76" s="1225"/>
      <c r="P76" s="1225"/>
      <c r="Q76" s="1225"/>
      <c r="R76" s="1225"/>
      <c r="S76" s="1183"/>
      <c r="T76" s="1020">
        <f t="shared" si="1"/>
        <v>1</v>
      </c>
      <c r="U76" s="1020">
        <f t="shared" si="1"/>
        <v>1</v>
      </c>
      <c r="V76" s="1020">
        <f t="shared" si="2"/>
        <v>1</v>
      </c>
      <c r="W76" s="1023"/>
      <c r="X76" s="1225"/>
      <c r="Y76" s="1225"/>
      <c r="Z76" s="1023"/>
      <c r="AA76" s="1225"/>
      <c r="AB76" s="1225"/>
      <c r="AC76" s="1225"/>
      <c r="AD76" s="1225"/>
      <c r="AE76" s="1225"/>
      <c r="AF76" s="1279" t="s">
        <v>1502</v>
      </c>
      <c r="AG76" s="1288" t="s">
        <v>491</v>
      </c>
      <c r="AH76" s="1275" t="s">
        <v>1627</v>
      </c>
      <c r="AI76" s="1275" t="s">
        <v>1628</v>
      </c>
      <c r="AJ76" s="1281" t="s">
        <v>463</v>
      </c>
      <c r="AK76" s="1275" t="s">
        <v>457</v>
      </c>
      <c r="AL76" s="1275" t="s">
        <v>1503</v>
      </c>
      <c r="AM76" s="1275" t="s">
        <v>458</v>
      </c>
      <c r="AN76" s="1282">
        <v>819441</v>
      </c>
      <c r="AO76" s="1282">
        <v>388871</v>
      </c>
      <c r="AP76" s="1282">
        <v>430570</v>
      </c>
      <c r="AQ76" s="1120" t="s">
        <v>459</v>
      </c>
      <c r="AR76" s="1120" t="s">
        <v>459</v>
      </c>
      <c r="AS76" s="1120" t="s">
        <v>459</v>
      </c>
      <c r="AT76" s="1120" t="s">
        <v>459</v>
      </c>
      <c r="AU76" s="1278" t="s">
        <v>459</v>
      </c>
      <c r="AV76" s="1278" t="s">
        <v>459</v>
      </c>
      <c r="AW76" s="1278" t="s">
        <v>459</v>
      </c>
      <c r="AX76" s="1282">
        <v>819441</v>
      </c>
      <c r="AY76" s="1183"/>
    </row>
    <row r="77" spans="1:51" ht="20.45" customHeight="1" x14ac:dyDescent="0.25">
      <c r="A77" s="1189"/>
      <c r="B77" s="1018"/>
      <c r="C77" s="1018"/>
      <c r="D77" s="164" t="s">
        <v>343</v>
      </c>
      <c r="E77" s="1225"/>
      <c r="F77" s="1225"/>
      <c r="G77" s="1225">
        <f>+G76*$T$11/$T$10</f>
        <v>5165500</v>
      </c>
      <c r="H77" s="1225">
        <f>+H76*$U$11/$U$10</f>
        <v>7983692.307692308</v>
      </c>
      <c r="I77" s="1225">
        <f>+I76*$V$11/$V$10</f>
        <v>5189400</v>
      </c>
      <c r="J77" s="1225"/>
      <c r="K77" s="1225"/>
      <c r="L77" s="1225"/>
      <c r="M77" s="1225"/>
      <c r="N77" s="1225"/>
      <c r="O77" s="1225"/>
      <c r="P77" s="1225"/>
      <c r="Q77" s="1225"/>
      <c r="R77" s="1225"/>
      <c r="S77" s="1183"/>
      <c r="T77" s="1020">
        <f t="shared" si="1"/>
        <v>5165500</v>
      </c>
      <c r="U77" s="1020">
        <f t="shared" si="1"/>
        <v>7983692.307692308</v>
      </c>
      <c r="V77" s="1020">
        <f t="shared" si="2"/>
        <v>5189400</v>
      </c>
      <c r="W77" s="1023"/>
      <c r="X77" s="1225"/>
      <c r="Y77" s="1225"/>
      <c r="Z77" s="1225"/>
      <c r="AA77" s="1225"/>
      <c r="AB77" s="1225"/>
      <c r="AC77" s="1225"/>
      <c r="AD77" s="1225"/>
      <c r="AE77" s="1225"/>
      <c r="AF77" s="1203"/>
      <c r="AG77" s="1208"/>
      <c r="AH77" s="1073"/>
      <c r="AI77" s="1073"/>
      <c r="AJ77" s="1285" t="s">
        <v>479</v>
      </c>
      <c r="AK77" s="1073"/>
      <c r="AL77" s="1073"/>
      <c r="AM77" s="1073"/>
      <c r="AN77" s="1073"/>
      <c r="AO77" s="1073"/>
      <c r="AP77" s="1073"/>
      <c r="AQ77" s="1073"/>
      <c r="AR77" s="1073"/>
      <c r="AS77" s="1073"/>
      <c r="AT77" s="1073"/>
      <c r="AU77" s="1073"/>
      <c r="AV77" s="1073"/>
      <c r="AW77" s="1073"/>
      <c r="AX77" s="1073"/>
      <c r="AY77" s="1183"/>
    </row>
    <row r="78" spans="1:51" ht="28.9" customHeight="1" x14ac:dyDescent="0.25">
      <c r="A78" s="1189"/>
      <c r="B78" s="1018"/>
      <c r="C78" s="1018"/>
      <c r="D78" s="165" t="s">
        <v>345</v>
      </c>
      <c r="E78" s="1225"/>
      <c r="F78" s="1225"/>
      <c r="G78" s="1225"/>
      <c r="H78" s="1225"/>
      <c r="I78" s="1225"/>
      <c r="J78" s="1023"/>
      <c r="K78" s="1225"/>
      <c r="L78" s="1225"/>
      <c r="M78" s="1023"/>
      <c r="N78" s="1225"/>
      <c r="O78" s="1225"/>
      <c r="P78" s="1225"/>
      <c r="Q78" s="1225"/>
      <c r="R78" s="1225"/>
      <c r="S78" s="1183"/>
      <c r="T78" s="1020">
        <f t="shared" si="1"/>
        <v>0</v>
      </c>
      <c r="U78" s="1020">
        <f t="shared" si="1"/>
        <v>0</v>
      </c>
      <c r="V78" s="1020">
        <f t="shared" si="2"/>
        <v>0</v>
      </c>
      <c r="W78" s="1023"/>
      <c r="X78" s="1225"/>
      <c r="Y78" s="1225"/>
      <c r="Z78" s="1023"/>
      <c r="AA78" s="1225"/>
      <c r="AB78" s="1225"/>
      <c r="AC78" s="1225"/>
      <c r="AD78" s="1225"/>
      <c r="AE78" s="1225"/>
      <c r="AF78" s="1203"/>
      <c r="AG78" s="1208"/>
      <c r="AH78" s="1073"/>
      <c r="AI78" s="1073"/>
      <c r="AJ78" s="1285" t="s">
        <v>1475</v>
      </c>
      <c r="AK78" s="1073"/>
      <c r="AL78" s="1073"/>
      <c r="AM78" s="1073"/>
      <c r="AN78" s="1073"/>
      <c r="AO78" s="1073"/>
      <c r="AP78" s="1073"/>
      <c r="AQ78" s="1073"/>
      <c r="AR78" s="1073"/>
      <c r="AS78" s="1073"/>
      <c r="AT78" s="1073"/>
      <c r="AU78" s="1073"/>
      <c r="AV78" s="1073"/>
      <c r="AW78" s="1073"/>
      <c r="AX78" s="1073"/>
      <c r="AY78" s="1183"/>
    </row>
    <row r="79" spans="1:51" ht="30.6" customHeight="1" x14ac:dyDescent="0.25">
      <c r="A79" s="1189"/>
      <c r="B79" s="1018"/>
      <c r="C79" s="1018"/>
      <c r="D79" s="164" t="s">
        <v>346</v>
      </c>
      <c r="E79" s="1225"/>
      <c r="F79" s="1225"/>
      <c r="G79" s="1225"/>
      <c r="H79" s="1020"/>
      <c r="I79" s="1020"/>
      <c r="J79" s="1020"/>
      <c r="K79" s="1020"/>
      <c r="L79" s="1020"/>
      <c r="M79" s="1020"/>
      <c r="N79" s="1020"/>
      <c r="O79" s="1020"/>
      <c r="P79" s="1020"/>
      <c r="Q79" s="1020"/>
      <c r="R79" s="1020"/>
      <c r="S79" s="1183"/>
      <c r="T79" s="1020">
        <f t="shared" si="1"/>
        <v>0</v>
      </c>
      <c r="U79" s="1020">
        <f t="shared" si="1"/>
        <v>0</v>
      </c>
      <c r="V79" s="1020">
        <f t="shared" si="2"/>
        <v>0</v>
      </c>
      <c r="W79" s="1023"/>
      <c r="X79" s="1225"/>
      <c r="Y79" s="1225"/>
      <c r="Z79" s="1059"/>
      <c r="AA79" s="1225"/>
      <c r="AB79" s="1225"/>
      <c r="AC79" s="1225"/>
      <c r="AD79" s="1225"/>
      <c r="AE79" s="1225"/>
      <c r="AF79" s="1203"/>
      <c r="AG79" s="1208"/>
      <c r="AH79" s="1073"/>
      <c r="AI79" s="1073"/>
      <c r="AJ79" s="1285" t="s">
        <v>465</v>
      </c>
      <c r="AK79" s="1073"/>
      <c r="AL79" s="1073"/>
      <c r="AM79" s="1073"/>
      <c r="AN79" s="1073"/>
      <c r="AO79" s="1073"/>
      <c r="AP79" s="1073"/>
      <c r="AQ79" s="1073"/>
      <c r="AR79" s="1073"/>
      <c r="AS79" s="1073"/>
      <c r="AT79" s="1073"/>
      <c r="AU79" s="1073"/>
      <c r="AV79" s="1073"/>
      <c r="AW79" s="1073"/>
      <c r="AX79" s="1073"/>
      <c r="AY79" s="1183"/>
    </row>
    <row r="80" spans="1:51" ht="31.9" customHeight="1" x14ac:dyDescent="0.25">
      <c r="A80" s="1189"/>
      <c r="B80" s="1018"/>
      <c r="C80" s="1018"/>
      <c r="D80" s="165" t="s">
        <v>347</v>
      </c>
      <c r="E80" s="1225"/>
      <c r="F80" s="1225"/>
      <c r="G80" s="1225">
        <f>+G76+G78</f>
        <v>1</v>
      </c>
      <c r="H80" s="1225">
        <v>1</v>
      </c>
      <c r="I80" s="1225">
        <v>1</v>
      </c>
      <c r="J80" s="1023"/>
      <c r="K80" s="1225"/>
      <c r="L80" s="1225"/>
      <c r="M80" s="1023"/>
      <c r="N80" s="1225"/>
      <c r="O80" s="1225"/>
      <c r="P80" s="1225"/>
      <c r="Q80" s="1225"/>
      <c r="R80" s="1225"/>
      <c r="S80" s="1183"/>
      <c r="T80" s="1020">
        <f t="shared" si="1"/>
        <v>1</v>
      </c>
      <c r="U80" s="1020">
        <f t="shared" si="1"/>
        <v>1</v>
      </c>
      <c r="V80" s="1020">
        <f t="shared" si="2"/>
        <v>1</v>
      </c>
      <c r="W80" s="1023"/>
      <c r="X80" s="1225"/>
      <c r="Y80" s="1225"/>
      <c r="Z80" s="1023"/>
      <c r="AA80" s="1225"/>
      <c r="AB80" s="1225"/>
      <c r="AC80" s="1225"/>
      <c r="AD80" s="1225"/>
      <c r="AE80" s="1225"/>
      <c r="AF80" s="1203"/>
      <c r="AG80" s="1208"/>
      <c r="AH80" s="1073"/>
      <c r="AI80" s="1073"/>
      <c r="AJ80" s="1205" t="s">
        <v>466</v>
      </c>
      <c r="AK80" s="1073"/>
      <c r="AL80" s="1073"/>
      <c r="AM80" s="1073"/>
      <c r="AN80" s="1073"/>
      <c r="AO80" s="1073"/>
      <c r="AP80" s="1073"/>
      <c r="AQ80" s="1073"/>
      <c r="AR80" s="1073"/>
      <c r="AS80" s="1073"/>
      <c r="AT80" s="1073"/>
      <c r="AU80" s="1073"/>
      <c r="AV80" s="1073"/>
      <c r="AW80" s="1073"/>
      <c r="AX80" s="1073"/>
      <c r="AY80" s="1183"/>
    </row>
    <row r="81" spans="1:51" ht="28.9" customHeight="1" x14ac:dyDescent="0.25">
      <c r="A81" s="1189"/>
      <c r="B81" s="1018"/>
      <c r="C81" s="1048"/>
      <c r="D81" s="164" t="s">
        <v>348</v>
      </c>
      <c r="E81" s="1225"/>
      <c r="F81" s="1225"/>
      <c r="G81" s="1225">
        <f>+G77+G79</f>
        <v>5165500</v>
      </c>
      <c r="H81" s="1225">
        <f>+H77+H79</f>
        <v>7983692.307692308</v>
      </c>
      <c r="I81" s="1225">
        <f>+I77+I79</f>
        <v>5189400</v>
      </c>
      <c r="J81" s="1225"/>
      <c r="K81" s="1225"/>
      <c r="L81" s="1225"/>
      <c r="M81" s="1225"/>
      <c r="N81" s="1225"/>
      <c r="O81" s="1225"/>
      <c r="P81" s="1225"/>
      <c r="Q81" s="1225"/>
      <c r="R81" s="1225"/>
      <c r="S81" s="1183"/>
      <c r="T81" s="1020">
        <f t="shared" ref="T81:U128" si="5">+G81</f>
        <v>5165500</v>
      </c>
      <c r="U81" s="1020">
        <f t="shared" si="5"/>
        <v>7983692.307692308</v>
      </c>
      <c r="V81" s="1020">
        <f t="shared" ref="V81:V129" si="6">+I81</f>
        <v>5189400</v>
      </c>
      <c r="W81" s="1023"/>
      <c r="X81" s="1225"/>
      <c r="Y81" s="1225"/>
      <c r="Z81" s="1225"/>
      <c r="AA81" s="1225"/>
      <c r="AB81" s="1225"/>
      <c r="AC81" s="1225"/>
      <c r="AD81" s="1225"/>
      <c r="AE81" s="1225"/>
      <c r="AF81" s="1203"/>
      <c r="AG81" s="1210"/>
      <c r="AH81" s="1076"/>
      <c r="AI81" s="1076"/>
      <c r="AJ81" s="1286" t="s">
        <v>467</v>
      </c>
      <c r="AK81" s="1076"/>
      <c r="AL81" s="1076"/>
      <c r="AM81" s="1076"/>
      <c r="AN81" s="1076"/>
      <c r="AO81" s="1076"/>
      <c r="AP81" s="1076"/>
      <c r="AQ81" s="1076"/>
      <c r="AR81" s="1076"/>
      <c r="AS81" s="1076"/>
      <c r="AT81" s="1076"/>
      <c r="AU81" s="1076"/>
      <c r="AV81" s="1076"/>
      <c r="AW81" s="1076"/>
      <c r="AX81" s="1076"/>
      <c r="AY81" s="1183"/>
    </row>
    <row r="82" spans="1:51" ht="22.9" customHeight="1" x14ac:dyDescent="0.25">
      <c r="A82" s="1189"/>
      <c r="B82" s="1018"/>
      <c r="C82" s="1217" t="s">
        <v>492</v>
      </c>
      <c r="D82" s="161" t="s">
        <v>340</v>
      </c>
      <c r="E82" s="1225"/>
      <c r="F82" s="1225"/>
      <c r="G82" s="1225">
        <v>1</v>
      </c>
      <c r="H82" s="1225">
        <v>2</v>
      </c>
      <c r="I82" s="1225">
        <v>3</v>
      </c>
      <c r="J82" s="1023"/>
      <c r="K82" s="1225"/>
      <c r="L82" s="1225"/>
      <c r="M82" s="1023"/>
      <c r="N82" s="1225"/>
      <c r="O82" s="1225"/>
      <c r="P82" s="1225"/>
      <c r="Q82" s="1225"/>
      <c r="R82" s="1225"/>
      <c r="S82" s="1183"/>
      <c r="T82" s="1020">
        <f t="shared" si="5"/>
        <v>1</v>
      </c>
      <c r="U82" s="1020">
        <f t="shared" si="5"/>
        <v>2</v>
      </c>
      <c r="V82" s="1020">
        <f t="shared" si="6"/>
        <v>3</v>
      </c>
      <c r="W82" s="1023"/>
      <c r="X82" s="1225"/>
      <c r="Y82" s="1225"/>
      <c r="Z82" s="1023"/>
      <c r="AA82" s="1225"/>
      <c r="AB82" s="1225"/>
      <c r="AC82" s="1225"/>
      <c r="AD82" s="1225"/>
      <c r="AE82" s="1225"/>
      <c r="AF82" s="1279" t="s">
        <v>1525</v>
      </c>
      <c r="AG82" s="1288" t="s">
        <v>492</v>
      </c>
      <c r="AH82" s="1275" t="s">
        <v>1629</v>
      </c>
      <c r="AI82" s="1275" t="s">
        <v>1630</v>
      </c>
      <c r="AJ82" s="1281" t="s">
        <v>463</v>
      </c>
      <c r="AK82" s="1275" t="s">
        <v>457</v>
      </c>
      <c r="AL82" s="1275" t="s">
        <v>1504</v>
      </c>
      <c r="AM82" s="1275" t="s">
        <v>458</v>
      </c>
      <c r="AN82" s="1282">
        <v>1309115</v>
      </c>
      <c r="AO82" s="1282">
        <v>617598</v>
      </c>
      <c r="AP82" s="1282">
        <v>691517</v>
      </c>
      <c r="AQ82" s="1120" t="s">
        <v>459</v>
      </c>
      <c r="AR82" s="1120" t="s">
        <v>459</v>
      </c>
      <c r="AS82" s="1120" t="s">
        <v>459</v>
      </c>
      <c r="AT82" s="1120" t="s">
        <v>459</v>
      </c>
      <c r="AU82" s="1278" t="s">
        <v>459</v>
      </c>
      <c r="AV82" s="1278" t="s">
        <v>459</v>
      </c>
      <c r="AW82" s="1278" t="s">
        <v>459</v>
      </c>
      <c r="AX82" s="1282">
        <v>1309115</v>
      </c>
      <c r="AY82" s="1183"/>
    </row>
    <row r="83" spans="1:51" ht="20.45" customHeight="1" x14ac:dyDescent="0.25">
      <c r="A83" s="1189"/>
      <c r="B83" s="1018"/>
      <c r="C83" s="1018"/>
      <c r="D83" s="164" t="s">
        <v>343</v>
      </c>
      <c r="E83" s="1225"/>
      <c r="F83" s="1225"/>
      <c r="G83" s="1225">
        <f>+G82*$T$11/$T$10</f>
        <v>5165500</v>
      </c>
      <c r="H83" s="1225">
        <f>+H82*$U$11/$U$10</f>
        <v>15967384.615384616</v>
      </c>
      <c r="I83" s="1225">
        <f>+I82*$V$11/$V$10</f>
        <v>15568200</v>
      </c>
      <c r="J83" s="1225"/>
      <c r="K83" s="1225"/>
      <c r="L83" s="1225"/>
      <c r="M83" s="1225"/>
      <c r="N83" s="1225"/>
      <c r="O83" s="1225"/>
      <c r="P83" s="1225"/>
      <c r="Q83" s="1225"/>
      <c r="R83" s="1225"/>
      <c r="S83" s="1183"/>
      <c r="T83" s="1020">
        <f t="shared" si="5"/>
        <v>5165500</v>
      </c>
      <c r="U83" s="1020">
        <f t="shared" si="5"/>
        <v>15967384.615384616</v>
      </c>
      <c r="V83" s="1020">
        <f t="shared" si="6"/>
        <v>15568200</v>
      </c>
      <c r="W83" s="1023"/>
      <c r="X83" s="1225"/>
      <c r="Y83" s="1225"/>
      <c r="Z83" s="1225"/>
      <c r="AA83" s="1225"/>
      <c r="AB83" s="1225"/>
      <c r="AC83" s="1225"/>
      <c r="AD83" s="1225"/>
      <c r="AE83" s="1225"/>
      <c r="AF83" s="1203"/>
      <c r="AG83" s="1208"/>
      <c r="AH83" s="1073"/>
      <c r="AI83" s="1073"/>
      <c r="AJ83" s="1285" t="s">
        <v>479</v>
      </c>
      <c r="AK83" s="1073"/>
      <c r="AL83" s="1073"/>
      <c r="AM83" s="1073"/>
      <c r="AN83" s="1073"/>
      <c r="AO83" s="1073"/>
      <c r="AP83" s="1073"/>
      <c r="AQ83" s="1073"/>
      <c r="AR83" s="1073"/>
      <c r="AS83" s="1073"/>
      <c r="AT83" s="1073"/>
      <c r="AU83" s="1073"/>
      <c r="AV83" s="1073"/>
      <c r="AW83" s="1073"/>
      <c r="AX83" s="1073"/>
      <c r="AY83" s="1183"/>
    </row>
    <row r="84" spans="1:51" ht="28.9" customHeight="1" x14ac:dyDescent="0.25">
      <c r="A84" s="1189"/>
      <c r="B84" s="1018"/>
      <c r="C84" s="1018"/>
      <c r="D84" s="165" t="s">
        <v>345</v>
      </c>
      <c r="E84" s="1225"/>
      <c r="F84" s="1225"/>
      <c r="G84" s="1225">
        <v>3</v>
      </c>
      <c r="H84" s="1225">
        <v>3</v>
      </c>
      <c r="I84" s="1225">
        <v>3</v>
      </c>
      <c r="J84" s="1023"/>
      <c r="K84" s="1225"/>
      <c r="L84" s="1225"/>
      <c r="M84" s="1023"/>
      <c r="N84" s="1225"/>
      <c r="O84" s="1225"/>
      <c r="P84" s="1225"/>
      <c r="Q84" s="1225"/>
      <c r="R84" s="1225"/>
      <c r="S84" s="1183"/>
      <c r="T84" s="1020">
        <f t="shared" si="5"/>
        <v>3</v>
      </c>
      <c r="U84" s="1020">
        <f t="shared" si="5"/>
        <v>3</v>
      </c>
      <c r="V84" s="1020">
        <f t="shared" si="6"/>
        <v>3</v>
      </c>
      <c r="W84" s="1023"/>
      <c r="X84" s="1225"/>
      <c r="Y84" s="1225"/>
      <c r="Z84" s="1023"/>
      <c r="AA84" s="1225"/>
      <c r="AB84" s="1225"/>
      <c r="AC84" s="1225"/>
      <c r="AD84" s="1225"/>
      <c r="AE84" s="1225"/>
      <c r="AF84" s="1203"/>
      <c r="AG84" s="1208"/>
      <c r="AH84" s="1073"/>
      <c r="AI84" s="1073"/>
      <c r="AJ84" s="1285" t="s">
        <v>1475</v>
      </c>
      <c r="AK84" s="1073"/>
      <c r="AL84" s="1073"/>
      <c r="AM84" s="1073"/>
      <c r="AN84" s="1073"/>
      <c r="AO84" s="1073"/>
      <c r="AP84" s="1073"/>
      <c r="AQ84" s="1073"/>
      <c r="AR84" s="1073"/>
      <c r="AS84" s="1073"/>
      <c r="AT84" s="1073"/>
      <c r="AU84" s="1073"/>
      <c r="AV84" s="1073"/>
      <c r="AW84" s="1073"/>
      <c r="AX84" s="1073"/>
      <c r="AY84" s="1183"/>
    </row>
    <row r="85" spans="1:51" ht="30.6" customHeight="1" x14ac:dyDescent="0.25">
      <c r="A85" s="1189"/>
      <c r="B85" s="1018"/>
      <c r="C85" s="1018"/>
      <c r="D85" s="164" t="s">
        <v>346</v>
      </c>
      <c r="E85" s="1225"/>
      <c r="F85" s="1225"/>
      <c r="G85" s="1225">
        <f>+G84*$T$13/$T$12</f>
        <v>30939505.800000001</v>
      </c>
      <c r="H85" s="1225">
        <f>+H84*$U$13/$U$12</f>
        <v>68989656.599999994</v>
      </c>
      <c r="I85" s="1225">
        <f>+I84*$V$13/$V$12</f>
        <v>72800665.799999997</v>
      </c>
      <c r="J85" s="1020"/>
      <c r="K85" s="1020"/>
      <c r="L85" s="1020"/>
      <c r="M85" s="1020"/>
      <c r="N85" s="1020"/>
      <c r="O85" s="1020"/>
      <c r="P85" s="1020"/>
      <c r="Q85" s="1020"/>
      <c r="R85" s="1020"/>
      <c r="S85" s="1183"/>
      <c r="T85" s="1020">
        <f t="shared" si="5"/>
        <v>30939505.800000001</v>
      </c>
      <c r="U85" s="1020">
        <f t="shared" si="5"/>
        <v>68989656.599999994</v>
      </c>
      <c r="V85" s="1020">
        <f t="shared" si="6"/>
        <v>72800665.799999997</v>
      </c>
      <c r="W85" s="1023"/>
      <c r="X85" s="1225"/>
      <c r="Y85" s="1225"/>
      <c r="Z85" s="1059"/>
      <c r="AA85" s="1225"/>
      <c r="AB85" s="1225"/>
      <c r="AC85" s="1225"/>
      <c r="AD85" s="1225"/>
      <c r="AE85" s="1225"/>
      <c r="AF85" s="1203"/>
      <c r="AG85" s="1208"/>
      <c r="AH85" s="1073"/>
      <c r="AI85" s="1073"/>
      <c r="AJ85" s="1285" t="s">
        <v>465</v>
      </c>
      <c r="AK85" s="1073"/>
      <c r="AL85" s="1073"/>
      <c r="AM85" s="1073"/>
      <c r="AN85" s="1073"/>
      <c r="AO85" s="1073"/>
      <c r="AP85" s="1073"/>
      <c r="AQ85" s="1073"/>
      <c r="AR85" s="1073"/>
      <c r="AS85" s="1073"/>
      <c r="AT85" s="1073"/>
      <c r="AU85" s="1073"/>
      <c r="AV85" s="1073"/>
      <c r="AW85" s="1073"/>
      <c r="AX85" s="1073"/>
      <c r="AY85" s="1183"/>
    </row>
    <row r="86" spans="1:51" ht="34.9" customHeight="1" x14ac:dyDescent="0.25">
      <c r="A86" s="1189"/>
      <c r="B86" s="1018"/>
      <c r="C86" s="1018"/>
      <c r="D86" s="165" t="s">
        <v>347</v>
      </c>
      <c r="E86" s="1225"/>
      <c r="F86" s="1225"/>
      <c r="G86" s="1225">
        <f>+G82+G84</f>
        <v>4</v>
      </c>
      <c r="H86" s="1225">
        <f>+H82+H84</f>
        <v>5</v>
      </c>
      <c r="I86" s="1225">
        <v>6</v>
      </c>
      <c r="J86" s="1023"/>
      <c r="K86" s="1225"/>
      <c r="L86" s="1225"/>
      <c r="M86" s="1023"/>
      <c r="N86" s="1225"/>
      <c r="O86" s="1225"/>
      <c r="P86" s="1225"/>
      <c r="Q86" s="1225"/>
      <c r="R86" s="1225"/>
      <c r="S86" s="1183"/>
      <c r="T86" s="1020">
        <f t="shared" si="5"/>
        <v>4</v>
      </c>
      <c r="U86" s="1020">
        <f t="shared" si="5"/>
        <v>5</v>
      </c>
      <c r="V86" s="1020">
        <f t="shared" si="6"/>
        <v>6</v>
      </c>
      <c r="W86" s="1023"/>
      <c r="X86" s="1225"/>
      <c r="Y86" s="1225"/>
      <c r="Z86" s="1023"/>
      <c r="AA86" s="1225"/>
      <c r="AB86" s="1225"/>
      <c r="AC86" s="1225"/>
      <c r="AD86" s="1225"/>
      <c r="AE86" s="1225"/>
      <c r="AF86" s="1203"/>
      <c r="AG86" s="1208"/>
      <c r="AH86" s="1073"/>
      <c r="AI86" s="1073"/>
      <c r="AJ86" s="1205" t="s">
        <v>466</v>
      </c>
      <c r="AK86" s="1073"/>
      <c r="AL86" s="1073"/>
      <c r="AM86" s="1073"/>
      <c r="AN86" s="1073"/>
      <c r="AO86" s="1073"/>
      <c r="AP86" s="1073"/>
      <c r="AQ86" s="1073"/>
      <c r="AR86" s="1073"/>
      <c r="AS86" s="1073"/>
      <c r="AT86" s="1073"/>
      <c r="AU86" s="1073"/>
      <c r="AV86" s="1073"/>
      <c r="AW86" s="1073"/>
      <c r="AX86" s="1073"/>
      <c r="AY86" s="1183"/>
    </row>
    <row r="87" spans="1:51" ht="28.9" customHeight="1" x14ac:dyDescent="0.25">
      <c r="A87" s="1189"/>
      <c r="B87" s="1018"/>
      <c r="C87" s="1048"/>
      <c r="D87" s="164" t="s">
        <v>348</v>
      </c>
      <c r="E87" s="1225"/>
      <c r="F87" s="1225"/>
      <c r="G87" s="1225">
        <f>+G83+G85</f>
        <v>36105005.799999997</v>
      </c>
      <c r="H87" s="1225">
        <f>+H83+H85</f>
        <v>84957041.215384603</v>
      </c>
      <c r="I87" s="1225">
        <f>+I83+I85</f>
        <v>88368865.799999997</v>
      </c>
      <c r="J87" s="1225"/>
      <c r="K87" s="1225"/>
      <c r="L87" s="1225"/>
      <c r="M87" s="1225"/>
      <c r="N87" s="1225"/>
      <c r="O87" s="1225"/>
      <c r="P87" s="1225"/>
      <c r="Q87" s="1225"/>
      <c r="R87" s="1225"/>
      <c r="S87" s="1183"/>
      <c r="T87" s="1020">
        <f t="shared" si="5"/>
        <v>36105005.799999997</v>
      </c>
      <c r="U87" s="1020">
        <f t="shared" si="5"/>
        <v>84957041.215384603</v>
      </c>
      <c r="V87" s="1020">
        <f t="shared" si="6"/>
        <v>88368865.799999997</v>
      </c>
      <c r="W87" s="1023"/>
      <c r="X87" s="1225"/>
      <c r="Y87" s="1225"/>
      <c r="Z87" s="1225"/>
      <c r="AA87" s="1225"/>
      <c r="AB87" s="1225"/>
      <c r="AC87" s="1225"/>
      <c r="AD87" s="1225"/>
      <c r="AE87" s="1225"/>
      <c r="AF87" s="1203"/>
      <c r="AG87" s="1210"/>
      <c r="AH87" s="1076"/>
      <c r="AI87" s="1076"/>
      <c r="AJ87" s="1286" t="s">
        <v>467</v>
      </c>
      <c r="AK87" s="1076"/>
      <c r="AL87" s="1076"/>
      <c r="AM87" s="1076"/>
      <c r="AN87" s="1076"/>
      <c r="AO87" s="1076"/>
      <c r="AP87" s="1076"/>
      <c r="AQ87" s="1076"/>
      <c r="AR87" s="1076"/>
      <c r="AS87" s="1076"/>
      <c r="AT87" s="1076"/>
      <c r="AU87" s="1076"/>
      <c r="AV87" s="1076"/>
      <c r="AW87" s="1076"/>
      <c r="AX87" s="1076"/>
      <c r="AY87" s="1183"/>
    </row>
    <row r="88" spans="1:51" ht="22.9" customHeight="1" x14ac:dyDescent="0.25">
      <c r="A88" s="1189"/>
      <c r="B88" s="1018"/>
      <c r="C88" s="1217" t="s">
        <v>493</v>
      </c>
      <c r="D88" s="161" t="s">
        <v>340</v>
      </c>
      <c r="E88" s="1225"/>
      <c r="F88" s="1225"/>
      <c r="G88" s="1225"/>
      <c r="H88" s="1225">
        <v>1</v>
      </c>
      <c r="I88" s="1225">
        <v>2</v>
      </c>
      <c r="J88" s="1023"/>
      <c r="K88" s="1225"/>
      <c r="L88" s="1225"/>
      <c r="M88" s="1023"/>
      <c r="N88" s="1225"/>
      <c r="O88" s="1225"/>
      <c r="P88" s="1225"/>
      <c r="Q88" s="1225"/>
      <c r="R88" s="1225"/>
      <c r="S88" s="1183"/>
      <c r="T88" s="1020">
        <f t="shared" si="5"/>
        <v>0</v>
      </c>
      <c r="U88" s="1020">
        <f t="shared" si="5"/>
        <v>1</v>
      </c>
      <c r="V88" s="1020">
        <f t="shared" si="6"/>
        <v>2</v>
      </c>
      <c r="W88" s="1023"/>
      <c r="X88" s="1225"/>
      <c r="Y88" s="1225"/>
      <c r="Z88" s="1023"/>
      <c r="AA88" s="1225"/>
      <c r="AB88" s="1225"/>
      <c r="AC88" s="1225"/>
      <c r="AD88" s="1225"/>
      <c r="AE88" s="1225"/>
      <c r="AF88" s="1279" t="s">
        <v>1526</v>
      </c>
      <c r="AG88" s="1288" t="s">
        <v>493</v>
      </c>
      <c r="AH88" s="1275" t="s">
        <v>1631</v>
      </c>
      <c r="AI88" s="1275" t="s">
        <v>1632</v>
      </c>
      <c r="AJ88" s="1281" t="s">
        <v>463</v>
      </c>
      <c r="AK88" s="1275" t="s">
        <v>457</v>
      </c>
      <c r="AL88" s="1275" t="s">
        <v>178</v>
      </c>
      <c r="AM88" s="1275" t="s">
        <v>458</v>
      </c>
      <c r="AN88" s="1282">
        <v>156268</v>
      </c>
      <c r="AO88" s="1282">
        <v>77967</v>
      </c>
      <c r="AP88" s="1282">
        <v>78301</v>
      </c>
      <c r="AQ88" s="1120" t="s">
        <v>459</v>
      </c>
      <c r="AR88" s="1120" t="s">
        <v>459</v>
      </c>
      <c r="AS88" s="1120" t="s">
        <v>459</v>
      </c>
      <c r="AT88" s="1120" t="s">
        <v>459</v>
      </c>
      <c r="AU88" s="1278" t="s">
        <v>459</v>
      </c>
      <c r="AV88" s="1278" t="s">
        <v>459</v>
      </c>
      <c r="AW88" s="1278" t="s">
        <v>459</v>
      </c>
      <c r="AX88" s="1282">
        <v>156268</v>
      </c>
      <c r="AY88" s="1183"/>
    </row>
    <row r="89" spans="1:51" ht="20.45" customHeight="1" x14ac:dyDescent="0.25">
      <c r="A89" s="1189"/>
      <c r="B89" s="1018"/>
      <c r="C89" s="1018"/>
      <c r="D89" s="164" t="s">
        <v>343</v>
      </c>
      <c r="E89" s="1225"/>
      <c r="F89" s="1225"/>
      <c r="G89" s="1225"/>
      <c r="H89" s="1225">
        <f>+H88*$U$11/$U$10</f>
        <v>7983692.307692308</v>
      </c>
      <c r="I89" s="1225">
        <f>+I88*$V$11/$V$10</f>
        <v>10378800</v>
      </c>
      <c r="J89" s="1225"/>
      <c r="K89" s="1225"/>
      <c r="L89" s="1225"/>
      <c r="M89" s="1225"/>
      <c r="N89" s="1225"/>
      <c r="O89" s="1225"/>
      <c r="P89" s="1225"/>
      <c r="Q89" s="1225"/>
      <c r="R89" s="1225"/>
      <c r="S89" s="1183"/>
      <c r="T89" s="1020">
        <f t="shared" si="5"/>
        <v>0</v>
      </c>
      <c r="U89" s="1020">
        <f t="shared" si="5"/>
        <v>7983692.307692308</v>
      </c>
      <c r="V89" s="1020">
        <f t="shared" si="6"/>
        <v>10378800</v>
      </c>
      <c r="W89" s="1023"/>
      <c r="X89" s="1225"/>
      <c r="Y89" s="1225"/>
      <c r="Z89" s="1225"/>
      <c r="AA89" s="1225"/>
      <c r="AB89" s="1225"/>
      <c r="AC89" s="1225"/>
      <c r="AD89" s="1225"/>
      <c r="AE89" s="1225"/>
      <c r="AF89" s="1203"/>
      <c r="AG89" s="1208"/>
      <c r="AH89" s="1073"/>
      <c r="AI89" s="1073"/>
      <c r="AJ89" s="1285" t="s">
        <v>479</v>
      </c>
      <c r="AK89" s="1073"/>
      <c r="AL89" s="1073"/>
      <c r="AM89" s="1073"/>
      <c r="AN89" s="1073"/>
      <c r="AO89" s="1073"/>
      <c r="AP89" s="1073"/>
      <c r="AQ89" s="1073"/>
      <c r="AR89" s="1073"/>
      <c r="AS89" s="1073"/>
      <c r="AT89" s="1073"/>
      <c r="AU89" s="1073"/>
      <c r="AV89" s="1073"/>
      <c r="AW89" s="1073"/>
      <c r="AX89" s="1073"/>
      <c r="AY89" s="1183"/>
    </row>
    <row r="90" spans="1:51" ht="28.9" customHeight="1" x14ac:dyDescent="0.25">
      <c r="A90" s="1189"/>
      <c r="B90" s="1018"/>
      <c r="C90" s="1018"/>
      <c r="D90" s="165" t="s">
        <v>345</v>
      </c>
      <c r="E90" s="1225"/>
      <c r="F90" s="1225"/>
      <c r="G90" s="1225"/>
      <c r="H90" s="1225"/>
      <c r="I90" s="1225"/>
      <c r="J90" s="1023"/>
      <c r="K90" s="1225"/>
      <c r="L90" s="1225"/>
      <c r="M90" s="1023"/>
      <c r="N90" s="1225"/>
      <c r="O90" s="1225"/>
      <c r="P90" s="1225"/>
      <c r="Q90" s="1225"/>
      <c r="R90" s="1225"/>
      <c r="S90" s="1183"/>
      <c r="T90" s="1020">
        <f t="shared" si="5"/>
        <v>0</v>
      </c>
      <c r="U90" s="1020">
        <f t="shared" si="5"/>
        <v>0</v>
      </c>
      <c r="V90" s="1020">
        <f t="shared" si="6"/>
        <v>0</v>
      </c>
      <c r="W90" s="1023"/>
      <c r="X90" s="1225"/>
      <c r="Y90" s="1225"/>
      <c r="Z90" s="1023"/>
      <c r="AA90" s="1225"/>
      <c r="AB90" s="1225"/>
      <c r="AC90" s="1225"/>
      <c r="AD90" s="1225"/>
      <c r="AE90" s="1225"/>
      <c r="AF90" s="1203"/>
      <c r="AG90" s="1208"/>
      <c r="AH90" s="1073"/>
      <c r="AI90" s="1073"/>
      <c r="AJ90" s="1285" t="s">
        <v>1475</v>
      </c>
      <c r="AK90" s="1073"/>
      <c r="AL90" s="1073"/>
      <c r="AM90" s="1073"/>
      <c r="AN90" s="1073"/>
      <c r="AO90" s="1073"/>
      <c r="AP90" s="1073"/>
      <c r="AQ90" s="1073"/>
      <c r="AR90" s="1073"/>
      <c r="AS90" s="1073"/>
      <c r="AT90" s="1073"/>
      <c r="AU90" s="1073"/>
      <c r="AV90" s="1073"/>
      <c r="AW90" s="1073"/>
      <c r="AX90" s="1073"/>
      <c r="AY90" s="1183"/>
    </row>
    <row r="91" spans="1:51" ht="30.6" customHeight="1" x14ac:dyDescent="0.25">
      <c r="A91" s="1189"/>
      <c r="B91" s="1018"/>
      <c r="C91" s="1018"/>
      <c r="D91" s="164" t="s">
        <v>346</v>
      </c>
      <c r="E91" s="1225"/>
      <c r="F91" s="1225"/>
      <c r="G91" s="1225"/>
      <c r="H91" s="1225"/>
      <c r="I91" s="1020"/>
      <c r="J91" s="1020"/>
      <c r="K91" s="1020"/>
      <c r="L91" s="1020"/>
      <c r="M91" s="1020"/>
      <c r="N91" s="1020"/>
      <c r="O91" s="1020"/>
      <c r="P91" s="1020"/>
      <c r="Q91" s="1020"/>
      <c r="R91" s="1020"/>
      <c r="S91" s="1183"/>
      <c r="T91" s="1020">
        <f t="shared" si="5"/>
        <v>0</v>
      </c>
      <c r="U91" s="1020">
        <f t="shared" si="5"/>
        <v>0</v>
      </c>
      <c r="V91" s="1020">
        <f t="shared" si="6"/>
        <v>0</v>
      </c>
      <c r="W91" s="1023"/>
      <c r="X91" s="1225"/>
      <c r="Y91" s="1225"/>
      <c r="Z91" s="1059"/>
      <c r="AA91" s="1225"/>
      <c r="AB91" s="1225"/>
      <c r="AC91" s="1225"/>
      <c r="AD91" s="1225"/>
      <c r="AE91" s="1225"/>
      <c r="AF91" s="1203"/>
      <c r="AG91" s="1208"/>
      <c r="AH91" s="1073"/>
      <c r="AI91" s="1073"/>
      <c r="AJ91" s="1285" t="s">
        <v>465</v>
      </c>
      <c r="AK91" s="1073"/>
      <c r="AL91" s="1073"/>
      <c r="AM91" s="1073"/>
      <c r="AN91" s="1073"/>
      <c r="AO91" s="1073"/>
      <c r="AP91" s="1073"/>
      <c r="AQ91" s="1073"/>
      <c r="AR91" s="1073"/>
      <c r="AS91" s="1073"/>
      <c r="AT91" s="1073"/>
      <c r="AU91" s="1073"/>
      <c r="AV91" s="1073"/>
      <c r="AW91" s="1073"/>
      <c r="AX91" s="1073"/>
      <c r="AY91" s="1183"/>
    </row>
    <row r="92" spans="1:51" ht="24.6" customHeight="1" x14ac:dyDescent="0.25">
      <c r="A92" s="1189"/>
      <c r="B92" s="1018"/>
      <c r="C92" s="1018"/>
      <c r="D92" s="165" t="s">
        <v>347</v>
      </c>
      <c r="E92" s="1225"/>
      <c r="F92" s="1225"/>
      <c r="G92" s="1225"/>
      <c r="H92" s="1225">
        <v>1</v>
      </c>
      <c r="I92" s="1225">
        <v>2</v>
      </c>
      <c r="J92" s="1023"/>
      <c r="K92" s="1225"/>
      <c r="L92" s="1225"/>
      <c r="M92" s="1023"/>
      <c r="N92" s="1225"/>
      <c r="O92" s="1225"/>
      <c r="P92" s="1225"/>
      <c r="Q92" s="1225"/>
      <c r="R92" s="1225"/>
      <c r="S92" s="1183"/>
      <c r="T92" s="1020">
        <f t="shared" si="5"/>
        <v>0</v>
      </c>
      <c r="U92" s="1020">
        <f t="shared" si="5"/>
        <v>1</v>
      </c>
      <c r="V92" s="1020">
        <f t="shared" si="6"/>
        <v>2</v>
      </c>
      <c r="W92" s="1023"/>
      <c r="X92" s="1225"/>
      <c r="Y92" s="1225"/>
      <c r="Z92" s="1023"/>
      <c r="AA92" s="1225"/>
      <c r="AB92" s="1225"/>
      <c r="AC92" s="1225"/>
      <c r="AD92" s="1225"/>
      <c r="AE92" s="1225"/>
      <c r="AF92" s="1203"/>
      <c r="AG92" s="1208"/>
      <c r="AH92" s="1073"/>
      <c r="AI92" s="1073"/>
      <c r="AJ92" s="1205" t="s">
        <v>466</v>
      </c>
      <c r="AK92" s="1073"/>
      <c r="AL92" s="1073"/>
      <c r="AM92" s="1073"/>
      <c r="AN92" s="1073"/>
      <c r="AO92" s="1073"/>
      <c r="AP92" s="1073"/>
      <c r="AQ92" s="1073"/>
      <c r="AR92" s="1073"/>
      <c r="AS92" s="1073"/>
      <c r="AT92" s="1073"/>
      <c r="AU92" s="1073"/>
      <c r="AV92" s="1073"/>
      <c r="AW92" s="1073"/>
      <c r="AX92" s="1073"/>
      <c r="AY92" s="1183"/>
    </row>
    <row r="93" spans="1:51" ht="28.9" customHeight="1" x14ac:dyDescent="0.25">
      <c r="A93" s="1189"/>
      <c r="B93" s="1018"/>
      <c r="C93" s="1048"/>
      <c r="D93" s="164" t="s">
        <v>348</v>
      </c>
      <c r="E93" s="1225"/>
      <c r="F93" s="1225"/>
      <c r="G93" s="1225"/>
      <c r="H93" s="1225">
        <f>+H89+H91</f>
        <v>7983692.307692308</v>
      </c>
      <c r="I93" s="1225">
        <f>+I89+I91</f>
        <v>10378800</v>
      </c>
      <c r="J93" s="1225"/>
      <c r="K93" s="1225"/>
      <c r="L93" s="1225"/>
      <c r="M93" s="1225"/>
      <c r="N93" s="1225"/>
      <c r="O93" s="1225"/>
      <c r="P93" s="1225"/>
      <c r="Q93" s="1225"/>
      <c r="R93" s="1225"/>
      <c r="S93" s="1183"/>
      <c r="T93" s="1020">
        <f t="shared" si="5"/>
        <v>0</v>
      </c>
      <c r="U93" s="1020">
        <f t="shared" si="5"/>
        <v>7983692.307692308</v>
      </c>
      <c r="V93" s="1020">
        <f t="shared" si="6"/>
        <v>10378800</v>
      </c>
      <c r="W93" s="1023"/>
      <c r="X93" s="1225"/>
      <c r="Y93" s="1225"/>
      <c r="Z93" s="1225"/>
      <c r="AA93" s="1225"/>
      <c r="AB93" s="1225"/>
      <c r="AC93" s="1225"/>
      <c r="AD93" s="1225"/>
      <c r="AE93" s="1225"/>
      <c r="AF93" s="1203"/>
      <c r="AG93" s="1210"/>
      <c r="AH93" s="1076"/>
      <c r="AI93" s="1076"/>
      <c r="AJ93" s="1286" t="s">
        <v>467</v>
      </c>
      <c r="AK93" s="1076"/>
      <c r="AL93" s="1076"/>
      <c r="AM93" s="1076"/>
      <c r="AN93" s="1076"/>
      <c r="AO93" s="1076"/>
      <c r="AP93" s="1076"/>
      <c r="AQ93" s="1076"/>
      <c r="AR93" s="1076"/>
      <c r="AS93" s="1076"/>
      <c r="AT93" s="1076"/>
      <c r="AU93" s="1076"/>
      <c r="AV93" s="1076"/>
      <c r="AW93" s="1076"/>
      <c r="AX93" s="1076"/>
      <c r="AY93" s="1183"/>
    </row>
    <row r="94" spans="1:51" ht="22.9" customHeight="1" x14ac:dyDescent="0.25">
      <c r="A94" s="1189"/>
      <c r="B94" s="1018"/>
      <c r="C94" s="1217" t="s">
        <v>494</v>
      </c>
      <c r="D94" s="161" t="s">
        <v>340</v>
      </c>
      <c r="E94" s="1225"/>
      <c r="F94" s="1225"/>
      <c r="G94" s="1225">
        <v>2</v>
      </c>
      <c r="H94" s="1225">
        <v>2</v>
      </c>
      <c r="I94" s="1225">
        <v>2</v>
      </c>
      <c r="J94" s="1225"/>
      <c r="K94" s="1225"/>
      <c r="L94" s="1225"/>
      <c r="M94" s="1023"/>
      <c r="N94" s="1225"/>
      <c r="O94" s="1225"/>
      <c r="P94" s="1225"/>
      <c r="Q94" s="1225"/>
      <c r="R94" s="1225"/>
      <c r="S94" s="1183"/>
      <c r="T94" s="1020">
        <f t="shared" si="5"/>
        <v>2</v>
      </c>
      <c r="U94" s="1020">
        <f t="shared" si="5"/>
        <v>2</v>
      </c>
      <c r="V94" s="1020">
        <f t="shared" si="6"/>
        <v>2</v>
      </c>
      <c r="W94" s="1023"/>
      <c r="X94" s="1225"/>
      <c r="Y94" s="1225"/>
      <c r="Z94" s="1023"/>
      <c r="AA94" s="1225"/>
      <c r="AB94" s="1225"/>
      <c r="AC94" s="1225"/>
      <c r="AD94" s="1225"/>
      <c r="AE94" s="1225"/>
      <c r="AF94" s="1295" t="s">
        <v>1505</v>
      </c>
      <c r="AG94" s="1280" t="s">
        <v>494</v>
      </c>
      <c r="AH94" s="1296" t="s">
        <v>495</v>
      </c>
      <c r="AI94" s="1275" t="s">
        <v>496</v>
      </c>
      <c r="AJ94" s="1281" t="s">
        <v>463</v>
      </c>
      <c r="AK94" s="1275" t="s">
        <v>457</v>
      </c>
      <c r="AL94" s="1275" t="s">
        <v>178</v>
      </c>
      <c r="AM94" s="1275" t="s">
        <v>458</v>
      </c>
      <c r="AN94" s="1282">
        <v>165438</v>
      </c>
      <c r="AO94" s="1282">
        <v>68105</v>
      </c>
      <c r="AP94" s="1282">
        <v>97333</v>
      </c>
      <c r="AQ94" s="1120" t="s">
        <v>459</v>
      </c>
      <c r="AR94" s="1120" t="s">
        <v>459</v>
      </c>
      <c r="AS94" s="1120" t="s">
        <v>459</v>
      </c>
      <c r="AT94" s="1120" t="s">
        <v>459</v>
      </c>
      <c r="AU94" s="1278" t="s">
        <v>459</v>
      </c>
      <c r="AV94" s="1278" t="s">
        <v>459</v>
      </c>
      <c r="AW94" s="1278" t="s">
        <v>459</v>
      </c>
      <c r="AX94" s="1282">
        <v>165438</v>
      </c>
      <c r="AY94" s="1183"/>
    </row>
    <row r="95" spans="1:51" ht="20.45" customHeight="1" x14ac:dyDescent="0.25">
      <c r="A95" s="1189"/>
      <c r="B95" s="1018"/>
      <c r="C95" s="1018"/>
      <c r="D95" s="164" t="s">
        <v>343</v>
      </c>
      <c r="E95" s="1225"/>
      <c r="F95" s="1225"/>
      <c r="G95" s="1225">
        <f>+G94*$T$11/$T$10</f>
        <v>10331000</v>
      </c>
      <c r="H95" s="1225">
        <f>+H94*$U$11/$U$10</f>
        <v>15967384.615384616</v>
      </c>
      <c r="I95" s="1225">
        <f>+I94*$V$11/$V$10</f>
        <v>10378800</v>
      </c>
      <c r="J95" s="1225"/>
      <c r="K95" s="1225"/>
      <c r="L95" s="1225"/>
      <c r="M95" s="1225"/>
      <c r="N95" s="1225"/>
      <c r="O95" s="1225"/>
      <c r="P95" s="1225"/>
      <c r="Q95" s="1225"/>
      <c r="R95" s="1225"/>
      <c r="S95" s="1183"/>
      <c r="T95" s="1020">
        <f t="shared" si="5"/>
        <v>10331000</v>
      </c>
      <c r="U95" s="1020">
        <f t="shared" si="5"/>
        <v>15967384.615384616</v>
      </c>
      <c r="V95" s="1020">
        <f t="shared" si="6"/>
        <v>10378800</v>
      </c>
      <c r="W95" s="1023"/>
      <c r="X95" s="1225"/>
      <c r="Y95" s="1225"/>
      <c r="Z95" s="1225"/>
      <c r="AA95" s="1225"/>
      <c r="AB95" s="1225"/>
      <c r="AC95" s="1225"/>
      <c r="AD95" s="1225"/>
      <c r="AE95" s="1225"/>
      <c r="AF95" s="1213"/>
      <c r="AG95" s="1204"/>
      <c r="AH95" s="1017"/>
      <c r="AI95" s="1073"/>
      <c r="AJ95" s="1285" t="s">
        <v>479</v>
      </c>
      <c r="AK95" s="1073"/>
      <c r="AL95" s="1073"/>
      <c r="AM95" s="1073"/>
      <c r="AN95" s="1073"/>
      <c r="AO95" s="1073"/>
      <c r="AP95" s="1073"/>
      <c r="AQ95" s="1073"/>
      <c r="AR95" s="1073"/>
      <c r="AS95" s="1073"/>
      <c r="AT95" s="1073"/>
      <c r="AU95" s="1073"/>
      <c r="AV95" s="1073"/>
      <c r="AW95" s="1073"/>
      <c r="AX95" s="1073"/>
      <c r="AY95" s="1183"/>
    </row>
    <row r="96" spans="1:51" ht="28.9" customHeight="1" x14ac:dyDescent="0.25">
      <c r="A96" s="1189"/>
      <c r="B96" s="1018"/>
      <c r="C96" s="1018"/>
      <c r="D96" s="165" t="s">
        <v>345</v>
      </c>
      <c r="E96" s="1225"/>
      <c r="F96" s="1225"/>
      <c r="G96" s="1225"/>
      <c r="H96" s="1225"/>
      <c r="I96" s="1225"/>
      <c r="J96" s="1023"/>
      <c r="K96" s="1225"/>
      <c r="L96" s="1225"/>
      <c r="M96" s="1023"/>
      <c r="N96" s="1225"/>
      <c r="O96" s="1225"/>
      <c r="P96" s="1225"/>
      <c r="Q96" s="1225"/>
      <c r="R96" s="1225"/>
      <c r="S96" s="1183"/>
      <c r="T96" s="1020">
        <f t="shared" si="5"/>
        <v>0</v>
      </c>
      <c r="U96" s="1020">
        <f t="shared" si="5"/>
        <v>0</v>
      </c>
      <c r="V96" s="1020">
        <f t="shared" si="6"/>
        <v>0</v>
      </c>
      <c r="W96" s="1023"/>
      <c r="X96" s="1225"/>
      <c r="Y96" s="1225"/>
      <c r="Z96" s="1023"/>
      <c r="AA96" s="1225"/>
      <c r="AB96" s="1225"/>
      <c r="AC96" s="1225"/>
      <c r="AD96" s="1225"/>
      <c r="AE96" s="1225"/>
      <c r="AF96" s="1213"/>
      <c r="AG96" s="1204"/>
      <c r="AH96" s="1017"/>
      <c r="AI96" s="1073"/>
      <c r="AJ96" s="1285" t="s">
        <v>1475</v>
      </c>
      <c r="AK96" s="1073"/>
      <c r="AL96" s="1073"/>
      <c r="AM96" s="1073"/>
      <c r="AN96" s="1073"/>
      <c r="AO96" s="1073"/>
      <c r="AP96" s="1073"/>
      <c r="AQ96" s="1073"/>
      <c r="AR96" s="1073"/>
      <c r="AS96" s="1073"/>
      <c r="AT96" s="1073"/>
      <c r="AU96" s="1073"/>
      <c r="AV96" s="1073"/>
      <c r="AW96" s="1073"/>
      <c r="AX96" s="1073"/>
      <c r="AY96" s="1183"/>
    </row>
    <row r="97" spans="1:51" ht="30.6" customHeight="1" x14ac:dyDescent="0.25">
      <c r="A97" s="1189"/>
      <c r="B97" s="1018"/>
      <c r="C97" s="1018"/>
      <c r="D97" s="164" t="s">
        <v>346</v>
      </c>
      <c r="E97" s="1225"/>
      <c r="F97" s="1225"/>
      <c r="G97" s="1225"/>
      <c r="H97" s="1020"/>
      <c r="I97" s="1020"/>
      <c r="J97" s="1020"/>
      <c r="K97" s="1020"/>
      <c r="L97" s="1020"/>
      <c r="M97" s="1020"/>
      <c r="N97" s="1020"/>
      <c r="O97" s="1020"/>
      <c r="P97" s="1020"/>
      <c r="Q97" s="1020"/>
      <c r="R97" s="1020"/>
      <c r="S97" s="1183"/>
      <c r="T97" s="1020">
        <f t="shared" si="5"/>
        <v>0</v>
      </c>
      <c r="U97" s="1020">
        <f t="shared" si="5"/>
        <v>0</v>
      </c>
      <c r="V97" s="1020">
        <f t="shared" si="6"/>
        <v>0</v>
      </c>
      <c r="W97" s="1023"/>
      <c r="X97" s="1225"/>
      <c r="Y97" s="1225"/>
      <c r="Z97" s="1059"/>
      <c r="AA97" s="1225"/>
      <c r="AB97" s="1225"/>
      <c r="AC97" s="1225"/>
      <c r="AD97" s="1225"/>
      <c r="AE97" s="1225"/>
      <c r="AF97" s="1213"/>
      <c r="AG97" s="1204"/>
      <c r="AH97" s="1017"/>
      <c r="AI97" s="1073"/>
      <c r="AJ97" s="1285" t="s">
        <v>465</v>
      </c>
      <c r="AK97" s="1073"/>
      <c r="AL97" s="1073"/>
      <c r="AM97" s="1073"/>
      <c r="AN97" s="1073"/>
      <c r="AO97" s="1073"/>
      <c r="AP97" s="1073"/>
      <c r="AQ97" s="1073"/>
      <c r="AR97" s="1073"/>
      <c r="AS97" s="1073"/>
      <c r="AT97" s="1073"/>
      <c r="AU97" s="1073"/>
      <c r="AV97" s="1073"/>
      <c r="AW97" s="1073"/>
      <c r="AX97" s="1073"/>
      <c r="AY97" s="1183"/>
    </row>
    <row r="98" spans="1:51" ht="29.45" customHeight="1" x14ac:dyDescent="0.25">
      <c r="A98" s="1189"/>
      <c r="B98" s="1018"/>
      <c r="C98" s="1018"/>
      <c r="D98" s="165" t="s">
        <v>347</v>
      </c>
      <c r="E98" s="1225"/>
      <c r="F98" s="1225"/>
      <c r="G98" s="1225">
        <f>+G94+G96</f>
        <v>2</v>
      </c>
      <c r="H98" s="1225">
        <v>2</v>
      </c>
      <c r="I98" s="1225">
        <v>2</v>
      </c>
      <c r="J98" s="1023"/>
      <c r="K98" s="1225"/>
      <c r="L98" s="1225"/>
      <c r="M98" s="1023"/>
      <c r="N98" s="1225"/>
      <c r="O98" s="1225"/>
      <c r="P98" s="1225"/>
      <c r="Q98" s="1225"/>
      <c r="R98" s="1225"/>
      <c r="S98" s="1183"/>
      <c r="T98" s="1020">
        <f t="shared" si="5"/>
        <v>2</v>
      </c>
      <c r="U98" s="1020">
        <f t="shared" si="5"/>
        <v>2</v>
      </c>
      <c r="V98" s="1020">
        <f t="shared" si="6"/>
        <v>2</v>
      </c>
      <c r="W98" s="1023"/>
      <c r="X98" s="1225"/>
      <c r="Y98" s="1225"/>
      <c r="Z98" s="1023"/>
      <c r="AA98" s="1225"/>
      <c r="AB98" s="1225"/>
      <c r="AC98" s="1225"/>
      <c r="AD98" s="1225"/>
      <c r="AE98" s="1225"/>
      <c r="AF98" s="1213"/>
      <c r="AG98" s="1204"/>
      <c r="AH98" s="1017"/>
      <c r="AI98" s="1073"/>
      <c r="AJ98" s="1205" t="s">
        <v>466</v>
      </c>
      <c r="AK98" s="1073"/>
      <c r="AL98" s="1073"/>
      <c r="AM98" s="1073"/>
      <c r="AN98" s="1073"/>
      <c r="AO98" s="1073"/>
      <c r="AP98" s="1073"/>
      <c r="AQ98" s="1073"/>
      <c r="AR98" s="1073"/>
      <c r="AS98" s="1073"/>
      <c r="AT98" s="1073"/>
      <c r="AU98" s="1073"/>
      <c r="AV98" s="1073"/>
      <c r="AW98" s="1073"/>
      <c r="AX98" s="1073"/>
      <c r="AY98" s="1183"/>
    </row>
    <row r="99" spans="1:51" ht="28.9" customHeight="1" x14ac:dyDescent="0.25">
      <c r="A99" s="1189"/>
      <c r="B99" s="1018"/>
      <c r="C99" s="1048"/>
      <c r="D99" s="164" t="s">
        <v>348</v>
      </c>
      <c r="E99" s="1225"/>
      <c r="F99" s="1225"/>
      <c r="G99" s="1225">
        <f>+G95+G97</f>
        <v>10331000</v>
      </c>
      <c r="H99" s="1225">
        <f>+H95+H97</f>
        <v>15967384.615384616</v>
      </c>
      <c r="I99" s="1225">
        <f>+I95+I97</f>
        <v>10378800</v>
      </c>
      <c r="J99" s="1225"/>
      <c r="K99" s="1225"/>
      <c r="L99" s="1225"/>
      <c r="M99" s="1225"/>
      <c r="N99" s="1225"/>
      <c r="O99" s="1225"/>
      <c r="P99" s="1225"/>
      <c r="Q99" s="1225"/>
      <c r="R99" s="1225"/>
      <c r="S99" s="1183"/>
      <c r="T99" s="1020">
        <f t="shared" si="5"/>
        <v>10331000</v>
      </c>
      <c r="U99" s="1020">
        <f t="shared" si="5"/>
        <v>15967384.615384616</v>
      </c>
      <c r="V99" s="1020">
        <f t="shared" si="6"/>
        <v>10378800</v>
      </c>
      <c r="W99" s="1023"/>
      <c r="X99" s="1225"/>
      <c r="Y99" s="1225"/>
      <c r="Z99" s="1225"/>
      <c r="AA99" s="1225"/>
      <c r="AB99" s="1225"/>
      <c r="AC99" s="1225"/>
      <c r="AD99" s="1225"/>
      <c r="AE99" s="1225"/>
      <c r="AF99" s="1213"/>
      <c r="AG99" s="1190"/>
      <c r="AH99" s="1047"/>
      <c r="AI99" s="1076"/>
      <c r="AJ99" s="1286" t="s">
        <v>467</v>
      </c>
      <c r="AK99" s="1076"/>
      <c r="AL99" s="1076"/>
      <c r="AM99" s="1076"/>
      <c r="AN99" s="1076"/>
      <c r="AO99" s="1076"/>
      <c r="AP99" s="1076"/>
      <c r="AQ99" s="1076"/>
      <c r="AR99" s="1076"/>
      <c r="AS99" s="1076"/>
      <c r="AT99" s="1076"/>
      <c r="AU99" s="1076"/>
      <c r="AV99" s="1076"/>
      <c r="AW99" s="1076"/>
      <c r="AX99" s="1076"/>
      <c r="AY99" s="1183"/>
    </row>
    <row r="100" spans="1:51" ht="22.9" customHeight="1" x14ac:dyDescent="0.25">
      <c r="A100" s="1189"/>
      <c r="B100" s="1018"/>
      <c r="C100" s="1217" t="s">
        <v>497</v>
      </c>
      <c r="D100" s="161" t="s">
        <v>340</v>
      </c>
      <c r="E100" s="1225"/>
      <c r="F100" s="1225"/>
      <c r="G100" s="1225">
        <v>1</v>
      </c>
      <c r="H100" s="1225">
        <v>1</v>
      </c>
      <c r="I100" s="1225">
        <v>1</v>
      </c>
      <c r="J100" s="1023"/>
      <c r="K100" s="1225"/>
      <c r="L100" s="1225"/>
      <c r="M100" s="1023"/>
      <c r="N100" s="1225"/>
      <c r="O100" s="1225"/>
      <c r="P100" s="1225"/>
      <c r="Q100" s="1225"/>
      <c r="R100" s="1225"/>
      <c r="S100" s="1183"/>
      <c r="T100" s="1020">
        <f t="shared" si="5"/>
        <v>1</v>
      </c>
      <c r="U100" s="1020">
        <f t="shared" si="5"/>
        <v>1</v>
      </c>
      <c r="V100" s="1020">
        <f t="shared" si="6"/>
        <v>1</v>
      </c>
      <c r="W100" s="1023"/>
      <c r="X100" s="1225"/>
      <c r="Y100" s="1225"/>
      <c r="Z100" s="1023"/>
      <c r="AA100" s="1225"/>
      <c r="AB100" s="1225"/>
      <c r="AC100" s="1225"/>
      <c r="AD100" s="1225"/>
      <c r="AE100" s="1225"/>
      <c r="AF100" s="1279" t="s">
        <v>1506</v>
      </c>
      <c r="AG100" s="1280" t="s">
        <v>498</v>
      </c>
      <c r="AH100" s="1275" t="s">
        <v>499</v>
      </c>
      <c r="AI100" s="1275" t="s">
        <v>500</v>
      </c>
      <c r="AJ100" s="1281" t="s">
        <v>463</v>
      </c>
      <c r="AK100" s="1275" t="s">
        <v>457</v>
      </c>
      <c r="AL100" s="1275" t="s">
        <v>178</v>
      </c>
      <c r="AM100" s="1275" t="s">
        <v>458</v>
      </c>
      <c r="AN100" s="1282">
        <v>83001</v>
      </c>
      <c r="AO100" s="1282">
        <v>33755</v>
      </c>
      <c r="AP100" s="1282">
        <v>49246</v>
      </c>
      <c r="AQ100" s="1120" t="s">
        <v>459</v>
      </c>
      <c r="AR100" s="1120" t="s">
        <v>459</v>
      </c>
      <c r="AS100" s="1120" t="s">
        <v>459</v>
      </c>
      <c r="AT100" s="1120" t="s">
        <v>459</v>
      </c>
      <c r="AU100" s="1278" t="s">
        <v>459</v>
      </c>
      <c r="AV100" s="1278" t="s">
        <v>459</v>
      </c>
      <c r="AW100" s="1278" t="s">
        <v>459</v>
      </c>
      <c r="AX100" s="1282">
        <v>83001</v>
      </c>
      <c r="AY100" s="1183"/>
    </row>
    <row r="101" spans="1:51" ht="20.45" customHeight="1" x14ac:dyDescent="0.25">
      <c r="A101" s="1189"/>
      <c r="B101" s="1018"/>
      <c r="C101" s="1018"/>
      <c r="D101" s="164" t="s">
        <v>343</v>
      </c>
      <c r="E101" s="1225"/>
      <c r="F101" s="1225"/>
      <c r="G101" s="1225">
        <f>+G100*$T$11/$T$10</f>
        <v>5165500</v>
      </c>
      <c r="H101" s="1225">
        <f>+H100*$U$11/$U$10</f>
        <v>7983692.307692308</v>
      </c>
      <c r="I101" s="1225">
        <f>+I100*$V$11/$V$10</f>
        <v>5189400</v>
      </c>
      <c r="J101" s="1225"/>
      <c r="K101" s="1225"/>
      <c r="L101" s="1225"/>
      <c r="M101" s="1225"/>
      <c r="N101" s="1225"/>
      <c r="O101" s="1225"/>
      <c r="P101" s="1225"/>
      <c r="Q101" s="1225"/>
      <c r="R101" s="1225"/>
      <c r="S101" s="1183"/>
      <c r="T101" s="1020">
        <f t="shared" si="5"/>
        <v>5165500</v>
      </c>
      <c r="U101" s="1020">
        <f t="shared" si="5"/>
        <v>7983692.307692308</v>
      </c>
      <c r="V101" s="1020">
        <f t="shared" si="6"/>
        <v>5189400</v>
      </c>
      <c r="W101" s="1023"/>
      <c r="X101" s="1225"/>
      <c r="Y101" s="1225"/>
      <c r="Z101" s="1225"/>
      <c r="AA101" s="1225"/>
      <c r="AB101" s="1225"/>
      <c r="AC101" s="1225"/>
      <c r="AD101" s="1225"/>
      <c r="AE101" s="1225"/>
      <c r="AF101" s="1203"/>
      <c r="AG101" s="1204"/>
      <c r="AH101" s="1073"/>
      <c r="AI101" s="1073"/>
      <c r="AJ101" s="1285" t="s">
        <v>479</v>
      </c>
      <c r="AK101" s="1073"/>
      <c r="AL101" s="1073"/>
      <c r="AM101" s="1073"/>
      <c r="AN101" s="1073"/>
      <c r="AO101" s="1073"/>
      <c r="AP101" s="1073"/>
      <c r="AQ101" s="1073"/>
      <c r="AR101" s="1073"/>
      <c r="AS101" s="1073"/>
      <c r="AT101" s="1073"/>
      <c r="AU101" s="1073"/>
      <c r="AV101" s="1073"/>
      <c r="AW101" s="1073"/>
      <c r="AX101" s="1073"/>
      <c r="AY101" s="1183"/>
    </row>
    <row r="102" spans="1:51" ht="28.9" customHeight="1" x14ac:dyDescent="0.25">
      <c r="A102" s="1189"/>
      <c r="B102" s="1018"/>
      <c r="C102" s="1018"/>
      <c r="D102" s="165" t="s">
        <v>345</v>
      </c>
      <c r="E102" s="1225"/>
      <c r="F102" s="1225"/>
      <c r="G102" s="1225"/>
      <c r="H102" s="1225"/>
      <c r="I102" s="1225"/>
      <c r="J102" s="1023"/>
      <c r="K102" s="1225"/>
      <c r="L102" s="1225"/>
      <c r="M102" s="1023"/>
      <c r="N102" s="1225"/>
      <c r="O102" s="1225"/>
      <c r="P102" s="1225"/>
      <c r="Q102" s="1225"/>
      <c r="R102" s="1225"/>
      <c r="S102" s="1183"/>
      <c r="T102" s="1020">
        <f t="shared" si="5"/>
        <v>0</v>
      </c>
      <c r="U102" s="1020">
        <f t="shared" si="5"/>
        <v>0</v>
      </c>
      <c r="V102" s="1020">
        <f t="shared" si="6"/>
        <v>0</v>
      </c>
      <c r="W102" s="1023"/>
      <c r="X102" s="1225"/>
      <c r="Y102" s="1225"/>
      <c r="Z102" s="1023"/>
      <c r="AA102" s="1225"/>
      <c r="AB102" s="1225"/>
      <c r="AC102" s="1225"/>
      <c r="AD102" s="1225"/>
      <c r="AE102" s="1225"/>
      <c r="AF102" s="1203"/>
      <c r="AG102" s="1204"/>
      <c r="AH102" s="1073"/>
      <c r="AI102" s="1073"/>
      <c r="AJ102" s="1285" t="s">
        <v>1475</v>
      </c>
      <c r="AK102" s="1073"/>
      <c r="AL102" s="1073"/>
      <c r="AM102" s="1073"/>
      <c r="AN102" s="1073"/>
      <c r="AO102" s="1073"/>
      <c r="AP102" s="1073"/>
      <c r="AQ102" s="1073"/>
      <c r="AR102" s="1073"/>
      <c r="AS102" s="1073"/>
      <c r="AT102" s="1073"/>
      <c r="AU102" s="1073"/>
      <c r="AV102" s="1073"/>
      <c r="AW102" s="1073"/>
      <c r="AX102" s="1073"/>
      <c r="AY102" s="1183"/>
    </row>
    <row r="103" spans="1:51" ht="30.6" customHeight="1" x14ac:dyDescent="0.25">
      <c r="A103" s="1189"/>
      <c r="B103" s="1018"/>
      <c r="C103" s="1018"/>
      <c r="D103" s="164" t="s">
        <v>346</v>
      </c>
      <c r="E103" s="1225"/>
      <c r="F103" s="1225"/>
      <c r="G103" s="1225"/>
      <c r="H103" s="1225"/>
      <c r="I103" s="1020"/>
      <c r="J103" s="1020"/>
      <c r="K103" s="1020"/>
      <c r="L103" s="1020"/>
      <c r="M103" s="1020"/>
      <c r="N103" s="1020"/>
      <c r="O103" s="1020"/>
      <c r="P103" s="1020"/>
      <c r="Q103" s="1020"/>
      <c r="R103" s="1020"/>
      <c r="S103" s="1183"/>
      <c r="T103" s="1020">
        <f t="shared" si="5"/>
        <v>0</v>
      </c>
      <c r="U103" s="1020">
        <f t="shared" si="5"/>
        <v>0</v>
      </c>
      <c r="V103" s="1020">
        <f t="shared" si="6"/>
        <v>0</v>
      </c>
      <c r="W103" s="1023"/>
      <c r="X103" s="1225"/>
      <c r="Y103" s="1225"/>
      <c r="Z103" s="1059"/>
      <c r="AA103" s="1225"/>
      <c r="AB103" s="1225"/>
      <c r="AC103" s="1225"/>
      <c r="AD103" s="1225"/>
      <c r="AE103" s="1225"/>
      <c r="AF103" s="1203"/>
      <c r="AG103" s="1204"/>
      <c r="AH103" s="1073"/>
      <c r="AI103" s="1073"/>
      <c r="AJ103" s="1285" t="s">
        <v>465</v>
      </c>
      <c r="AK103" s="1073"/>
      <c r="AL103" s="1073"/>
      <c r="AM103" s="1073"/>
      <c r="AN103" s="1073"/>
      <c r="AO103" s="1073"/>
      <c r="AP103" s="1073"/>
      <c r="AQ103" s="1073"/>
      <c r="AR103" s="1073"/>
      <c r="AS103" s="1073"/>
      <c r="AT103" s="1073"/>
      <c r="AU103" s="1073"/>
      <c r="AV103" s="1073"/>
      <c r="AW103" s="1073"/>
      <c r="AX103" s="1073"/>
      <c r="AY103" s="1183"/>
    </row>
    <row r="104" spans="1:51" ht="34.9" customHeight="1" x14ac:dyDescent="0.25">
      <c r="A104" s="1189"/>
      <c r="B104" s="1018"/>
      <c r="C104" s="1018"/>
      <c r="D104" s="165" t="s">
        <v>347</v>
      </c>
      <c r="E104" s="1225"/>
      <c r="F104" s="1225"/>
      <c r="G104" s="1225">
        <f>+G100+G102</f>
        <v>1</v>
      </c>
      <c r="H104" s="1225">
        <v>1</v>
      </c>
      <c r="I104" s="1225">
        <v>1</v>
      </c>
      <c r="J104" s="1023"/>
      <c r="K104" s="1225"/>
      <c r="L104" s="1225"/>
      <c r="M104" s="1023"/>
      <c r="N104" s="1225"/>
      <c r="O104" s="1225"/>
      <c r="P104" s="1225"/>
      <c r="Q104" s="1225"/>
      <c r="R104" s="1225"/>
      <c r="S104" s="1183"/>
      <c r="T104" s="1020">
        <f t="shared" si="5"/>
        <v>1</v>
      </c>
      <c r="U104" s="1020">
        <f t="shared" si="5"/>
        <v>1</v>
      </c>
      <c r="V104" s="1020">
        <f t="shared" si="6"/>
        <v>1</v>
      </c>
      <c r="W104" s="1023"/>
      <c r="X104" s="1225"/>
      <c r="Y104" s="1225"/>
      <c r="Z104" s="1023"/>
      <c r="AA104" s="1225"/>
      <c r="AB104" s="1225"/>
      <c r="AC104" s="1225"/>
      <c r="AD104" s="1225"/>
      <c r="AE104" s="1225"/>
      <c r="AF104" s="1203"/>
      <c r="AG104" s="1204"/>
      <c r="AH104" s="1073"/>
      <c r="AI104" s="1073"/>
      <c r="AJ104" s="1205" t="s">
        <v>466</v>
      </c>
      <c r="AK104" s="1073"/>
      <c r="AL104" s="1073"/>
      <c r="AM104" s="1073"/>
      <c r="AN104" s="1073"/>
      <c r="AO104" s="1073"/>
      <c r="AP104" s="1073"/>
      <c r="AQ104" s="1073"/>
      <c r="AR104" s="1073"/>
      <c r="AS104" s="1073"/>
      <c r="AT104" s="1073"/>
      <c r="AU104" s="1073"/>
      <c r="AV104" s="1073"/>
      <c r="AW104" s="1073"/>
      <c r="AX104" s="1073"/>
      <c r="AY104" s="1183"/>
    </row>
    <row r="105" spans="1:51" ht="28.9" customHeight="1" x14ac:dyDescent="0.25">
      <c r="A105" s="1189"/>
      <c r="B105" s="1018"/>
      <c r="C105" s="1048"/>
      <c r="D105" s="164" t="s">
        <v>348</v>
      </c>
      <c r="E105" s="1225"/>
      <c r="F105" s="1225"/>
      <c r="G105" s="1225">
        <f>+G101+G103</f>
        <v>5165500</v>
      </c>
      <c r="H105" s="1225">
        <f>+H101+H103</f>
        <v>7983692.307692308</v>
      </c>
      <c r="I105" s="1225">
        <f>+I101+I103</f>
        <v>5189400</v>
      </c>
      <c r="J105" s="1225"/>
      <c r="K105" s="1225"/>
      <c r="L105" s="1225"/>
      <c r="M105" s="1225"/>
      <c r="N105" s="1225"/>
      <c r="O105" s="1225"/>
      <c r="P105" s="1225"/>
      <c r="Q105" s="1225"/>
      <c r="R105" s="1225"/>
      <c r="S105" s="1183"/>
      <c r="T105" s="1020">
        <f t="shared" si="5"/>
        <v>5165500</v>
      </c>
      <c r="U105" s="1020">
        <f t="shared" si="5"/>
        <v>7983692.307692308</v>
      </c>
      <c r="V105" s="1020">
        <f t="shared" si="6"/>
        <v>5189400</v>
      </c>
      <c r="W105" s="1023"/>
      <c r="X105" s="1225"/>
      <c r="Y105" s="1225"/>
      <c r="Z105" s="1225"/>
      <c r="AA105" s="1225"/>
      <c r="AB105" s="1225"/>
      <c r="AC105" s="1225"/>
      <c r="AD105" s="1225"/>
      <c r="AE105" s="1225"/>
      <c r="AF105" s="1203"/>
      <c r="AG105" s="1190"/>
      <c r="AH105" s="1076"/>
      <c r="AI105" s="1076"/>
      <c r="AJ105" s="1286" t="s">
        <v>467</v>
      </c>
      <c r="AK105" s="1076"/>
      <c r="AL105" s="1076"/>
      <c r="AM105" s="1076"/>
      <c r="AN105" s="1076"/>
      <c r="AO105" s="1076"/>
      <c r="AP105" s="1076"/>
      <c r="AQ105" s="1076"/>
      <c r="AR105" s="1076"/>
      <c r="AS105" s="1076"/>
      <c r="AT105" s="1076"/>
      <c r="AU105" s="1076"/>
      <c r="AV105" s="1076"/>
      <c r="AW105" s="1076"/>
      <c r="AX105" s="1076"/>
      <c r="AY105" s="1183"/>
    </row>
    <row r="106" spans="1:51" ht="22.9" customHeight="1" x14ac:dyDescent="0.25">
      <c r="A106" s="1189"/>
      <c r="B106" s="1018"/>
      <c r="C106" s="1217" t="s">
        <v>501</v>
      </c>
      <c r="D106" s="161" t="s">
        <v>340</v>
      </c>
      <c r="E106" s="1225"/>
      <c r="F106" s="1225"/>
      <c r="G106" s="1225"/>
      <c r="H106" s="1225"/>
      <c r="I106" s="1225"/>
      <c r="J106" s="1225"/>
      <c r="K106" s="1225"/>
      <c r="L106" s="1225"/>
      <c r="M106" s="1023"/>
      <c r="N106" s="1225"/>
      <c r="O106" s="1225"/>
      <c r="P106" s="1225"/>
      <c r="Q106" s="1225"/>
      <c r="R106" s="1225"/>
      <c r="S106" s="1183"/>
      <c r="T106" s="1020">
        <f t="shared" si="5"/>
        <v>0</v>
      </c>
      <c r="U106" s="1020">
        <f t="shared" si="5"/>
        <v>0</v>
      </c>
      <c r="V106" s="1020">
        <f t="shared" si="6"/>
        <v>0</v>
      </c>
      <c r="W106" s="1023"/>
      <c r="X106" s="1225"/>
      <c r="Y106" s="1225"/>
      <c r="Z106" s="1023"/>
      <c r="AA106" s="1225"/>
      <c r="AB106" s="1225"/>
      <c r="AC106" s="1225"/>
      <c r="AD106" s="1225"/>
      <c r="AE106" s="1225"/>
      <c r="AF106" s="1279"/>
      <c r="AG106" s="1280" t="s">
        <v>502</v>
      </c>
      <c r="AH106" s="1275" t="s">
        <v>503</v>
      </c>
      <c r="AI106" s="1275" t="s">
        <v>504</v>
      </c>
      <c r="AJ106" s="1281" t="s">
        <v>463</v>
      </c>
      <c r="AK106" s="1275" t="s">
        <v>457</v>
      </c>
      <c r="AL106" s="1275" t="s">
        <v>178</v>
      </c>
      <c r="AM106" s="1275" t="s">
        <v>458</v>
      </c>
      <c r="AN106" s="1282">
        <v>83925</v>
      </c>
      <c r="AO106" s="1277">
        <v>38960</v>
      </c>
      <c r="AP106" s="1277">
        <v>44965</v>
      </c>
      <c r="AQ106" s="1120" t="s">
        <v>459</v>
      </c>
      <c r="AR106" s="1120" t="s">
        <v>459</v>
      </c>
      <c r="AS106" s="1120" t="s">
        <v>459</v>
      </c>
      <c r="AT106" s="1120" t="s">
        <v>459</v>
      </c>
      <c r="AU106" s="1278" t="s">
        <v>459</v>
      </c>
      <c r="AV106" s="1278" t="s">
        <v>459</v>
      </c>
      <c r="AW106" s="1278" t="s">
        <v>459</v>
      </c>
      <c r="AX106" s="1282">
        <v>83925</v>
      </c>
      <c r="AY106" s="1183"/>
    </row>
    <row r="107" spans="1:51" ht="20.45" customHeight="1" x14ac:dyDescent="0.25">
      <c r="A107" s="1189"/>
      <c r="B107" s="1018"/>
      <c r="C107" s="1018"/>
      <c r="D107" s="164" t="s">
        <v>343</v>
      </c>
      <c r="E107" s="1225"/>
      <c r="F107" s="1225"/>
      <c r="G107" s="1225"/>
      <c r="H107" s="1225"/>
      <c r="I107" s="1225"/>
      <c r="J107" s="1225"/>
      <c r="K107" s="1225"/>
      <c r="L107" s="1225"/>
      <c r="M107" s="1225"/>
      <c r="N107" s="1225"/>
      <c r="O107" s="1225"/>
      <c r="P107" s="1225"/>
      <c r="Q107" s="1225"/>
      <c r="R107" s="1225"/>
      <c r="S107" s="1183"/>
      <c r="T107" s="1020">
        <f t="shared" si="5"/>
        <v>0</v>
      </c>
      <c r="U107" s="1020">
        <f t="shared" si="5"/>
        <v>0</v>
      </c>
      <c r="V107" s="1020">
        <f t="shared" si="6"/>
        <v>0</v>
      </c>
      <c r="W107" s="1023"/>
      <c r="X107" s="1225"/>
      <c r="Y107" s="1225"/>
      <c r="Z107" s="1225"/>
      <c r="AA107" s="1225"/>
      <c r="AB107" s="1225"/>
      <c r="AC107" s="1225"/>
      <c r="AD107" s="1225"/>
      <c r="AE107" s="1225"/>
      <c r="AF107" s="1203"/>
      <c r="AG107" s="1204"/>
      <c r="AH107" s="1073"/>
      <c r="AI107" s="1073"/>
      <c r="AJ107" s="1285" t="s">
        <v>479</v>
      </c>
      <c r="AK107" s="1073"/>
      <c r="AL107" s="1073"/>
      <c r="AM107" s="1073"/>
      <c r="AN107" s="1073"/>
      <c r="AO107" s="1073"/>
      <c r="AP107" s="1073"/>
      <c r="AQ107" s="1073"/>
      <c r="AR107" s="1073"/>
      <c r="AS107" s="1073"/>
      <c r="AT107" s="1073"/>
      <c r="AU107" s="1073"/>
      <c r="AV107" s="1073"/>
      <c r="AW107" s="1073"/>
      <c r="AX107" s="1073"/>
      <c r="AY107" s="1183"/>
    </row>
    <row r="108" spans="1:51" ht="28.9" customHeight="1" x14ac:dyDescent="0.25">
      <c r="A108" s="1189"/>
      <c r="B108" s="1018"/>
      <c r="C108" s="1018"/>
      <c r="D108" s="165" t="s">
        <v>345</v>
      </c>
      <c r="E108" s="1225"/>
      <c r="F108" s="1225"/>
      <c r="G108" s="1225"/>
      <c r="H108" s="1225"/>
      <c r="I108" s="1225"/>
      <c r="J108" s="1023"/>
      <c r="K108" s="1225"/>
      <c r="L108" s="1225"/>
      <c r="M108" s="1023"/>
      <c r="N108" s="1225"/>
      <c r="O108" s="1225"/>
      <c r="P108" s="1225"/>
      <c r="Q108" s="1225"/>
      <c r="R108" s="1225"/>
      <c r="S108" s="1183"/>
      <c r="T108" s="1020">
        <f t="shared" si="5"/>
        <v>0</v>
      </c>
      <c r="U108" s="1020">
        <f t="shared" si="5"/>
        <v>0</v>
      </c>
      <c r="V108" s="1020">
        <f t="shared" si="6"/>
        <v>0</v>
      </c>
      <c r="W108" s="1023"/>
      <c r="X108" s="1225"/>
      <c r="Y108" s="1225"/>
      <c r="Z108" s="1023"/>
      <c r="AA108" s="1225"/>
      <c r="AB108" s="1225"/>
      <c r="AC108" s="1225"/>
      <c r="AD108" s="1225"/>
      <c r="AE108" s="1225"/>
      <c r="AF108" s="1203"/>
      <c r="AG108" s="1204"/>
      <c r="AH108" s="1073"/>
      <c r="AI108" s="1073"/>
      <c r="AJ108" s="1285" t="s">
        <v>1475</v>
      </c>
      <c r="AK108" s="1073"/>
      <c r="AL108" s="1073"/>
      <c r="AM108" s="1073"/>
      <c r="AN108" s="1073"/>
      <c r="AO108" s="1073"/>
      <c r="AP108" s="1073"/>
      <c r="AQ108" s="1073"/>
      <c r="AR108" s="1073"/>
      <c r="AS108" s="1073"/>
      <c r="AT108" s="1073"/>
      <c r="AU108" s="1073"/>
      <c r="AV108" s="1073"/>
      <c r="AW108" s="1073"/>
      <c r="AX108" s="1073"/>
      <c r="AY108" s="1183"/>
    </row>
    <row r="109" spans="1:51" ht="30.6" customHeight="1" x14ac:dyDescent="0.25">
      <c r="A109" s="1189"/>
      <c r="B109" s="1018"/>
      <c r="C109" s="1018"/>
      <c r="D109" s="164" t="s">
        <v>346</v>
      </c>
      <c r="E109" s="1225"/>
      <c r="F109" s="1225"/>
      <c r="G109" s="1225"/>
      <c r="H109" s="1225"/>
      <c r="I109" s="1020"/>
      <c r="J109" s="1020"/>
      <c r="K109" s="1020"/>
      <c r="L109" s="1020"/>
      <c r="M109" s="1020"/>
      <c r="N109" s="1020"/>
      <c r="O109" s="1020"/>
      <c r="P109" s="1020"/>
      <c r="Q109" s="1020"/>
      <c r="R109" s="1020"/>
      <c r="S109" s="1183"/>
      <c r="T109" s="1020">
        <f t="shared" si="5"/>
        <v>0</v>
      </c>
      <c r="U109" s="1020">
        <f t="shared" si="5"/>
        <v>0</v>
      </c>
      <c r="V109" s="1020">
        <f t="shared" si="6"/>
        <v>0</v>
      </c>
      <c r="W109" s="1023"/>
      <c r="X109" s="1225"/>
      <c r="Y109" s="1225"/>
      <c r="Z109" s="1059"/>
      <c r="AA109" s="1225"/>
      <c r="AB109" s="1225"/>
      <c r="AC109" s="1225"/>
      <c r="AD109" s="1225"/>
      <c r="AE109" s="1225"/>
      <c r="AF109" s="1203"/>
      <c r="AG109" s="1204"/>
      <c r="AH109" s="1073"/>
      <c r="AI109" s="1073"/>
      <c r="AJ109" s="1285" t="s">
        <v>465</v>
      </c>
      <c r="AK109" s="1073"/>
      <c r="AL109" s="1073"/>
      <c r="AM109" s="1073"/>
      <c r="AN109" s="1073"/>
      <c r="AO109" s="1073"/>
      <c r="AP109" s="1073"/>
      <c r="AQ109" s="1073"/>
      <c r="AR109" s="1073"/>
      <c r="AS109" s="1073"/>
      <c r="AT109" s="1073"/>
      <c r="AU109" s="1073"/>
      <c r="AV109" s="1073"/>
      <c r="AW109" s="1073"/>
      <c r="AX109" s="1073"/>
      <c r="AY109" s="1183"/>
    </row>
    <row r="110" spans="1:51" ht="31.15" customHeight="1" x14ac:dyDescent="0.25">
      <c r="A110" s="1189"/>
      <c r="B110" s="1018"/>
      <c r="C110" s="1018"/>
      <c r="D110" s="165" t="s">
        <v>347</v>
      </c>
      <c r="E110" s="1225"/>
      <c r="F110" s="1225"/>
      <c r="G110" s="1225"/>
      <c r="H110" s="1225"/>
      <c r="I110" s="1225"/>
      <c r="J110" s="1023"/>
      <c r="K110" s="1225"/>
      <c r="L110" s="1225"/>
      <c r="M110" s="1023"/>
      <c r="N110" s="1225"/>
      <c r="O110" s="1225"/>
      <c r="P110" s="1225"/>
      <c r="Q110" s="1225"/>
      <c r="R110" s="1225"/>
      <c r="S110" s="1183"/>
      <c r="T110" s="1020">
        <f t="shared" si="5"/>
        <v>0</v>
      </c>
      <c r="U110" s="1020">
        <f t="shared" si="5"/>
        <v>0</v>
      </c>
      <c r="V110" s="1020">
        <f t="shared" si="6"/>
        <v>0</v>
      </c>
      <c r="W110" s="1023"/>
      <c r="X110" s="1225"/>
      <c r="Y110" s="1225"/>
      <c r="Z110" s="1023"/>
      <c r="AA110" s="1225"/>
      <c r="AB110" s="1225"/>
      <c r="AC110" s="1225"/>
      <c r="AD110" s="1225"/>
      <c r="AE110" s="1225"/>
      <c r="AF110" s="1203"/>
      <c r="AG110" s="1204"/>
      <c r="AH110" s="1073"/>
      <c r="AI110" s="1073"/>
      <c r="AJ110" s="1205" t="s">
        <v>466</v>
      </c>
      <c r="AK110" s="1073"/>
      <c r="AL110" s="1073"/>
      <c r="AM110" s="1073"/>
      <c r="AN110" s="1073"/>
      <c r="AO110" s="1073"/>
      <c r="AP110" s="1073"/>
      <c r="AQ110" s="1073"/>
      <c r="AR110" s="1073"/>
      <c r="AS110" s="1073"/>
      <c r="AT110" s="1073"/>
      <c r="AU110" s="1073"/>
      <c r="AV110" s="1073"/>
      <c r="AW110" s="1073"/>
      <c r="AX110" s="1073"/>
      <c r="AY110" s="1183"/>
    </row>
    <row r="111" spans="1:51" ht="28.9" customHeight="1" x14ac:dyDescent="0.25">
      <c r="A111" s="1189"/>
      <c r="B111" s="1018"/>
      <c r="C111" s="1048"/>
      <c r="D111" s="164" t="s">
        <v>348</v>
      </c>
      <c r="E111" s="1225"/>
      <c r="F111" s="1225"/>
      <c r="G111" s="1225"/>
      <c r="H111" s="1225"/>
      <c r="I111" s="1225"/>
      <c r="J111" s="1225"/>
      <c r="K111" s="1225"/>
      <c r="L111" s="1225"/>
      <c r="M111" s="1225"/>
      <c r="N111" s="1225"/>
      <c r="O111" s="1225"/>
      <c r="P111" s="1225"/>
      <c r="Q111" s="1225"/>
      <c r="R111" s="1225"/>
      <c r="S111" s="1183"/>
      <c r="T111" s="1020">
        <f t="shared" si="5"/>
        <v>0</v>
      </c>
      <c r="U111" s="1020">
        <f t="shared" si="5"/>
        <v>0</v>
      </c>
      <c r="V111" s="1020">
        <f t="shared" si="6"/>
        <v>0</v>
      </c>
      <c r="W111" s="1023"/>
      <c r="X111" s="1225"/>
      <c r="Y111" s="1225"/>
      <c r="Z111" s="1225"/>
      <c r="AA111" s="1225"/>
      <c r="AB111" s="1225"/>
      <c r="AC111" s="1225"/>
      <c r="AD111" s="1225"/>
      <c r="AE111" s="1225"/>
      <c r="AF111" s="1203"/>
      <c r="AG111" s="1190"/>
      <c r="AH111" s="1076"/>
      <c r="AI111" s="1076"/>
      <c r="AJ111" s="1286" t="s">
        <v>467</v>
      </c>
      <c r="AK111" s="1076"/>
      <c r="AL111" s="1076"/>
      <c r="AM111" s="1076"/>
      <c r="AN111" s="1076"/>
      <c r="AO111" s="1076"/>
      <c r="AP111" s="1076"/>
      <c r="AQ111" s="1076"/>
      <c r="AR111" s="1076"/>
      <c r="AS111" s="1076"/>
      <c r="AT111" s="1076"/>
      <c r="AU111" s="1076"/>
      <c r="AV111" s="1076"/>
      <c r="AW111" s="1076"/>
      <c r="AX111" s="1076"/>
      <c r="AY111" s="1183"/>
    </row>
    <row r="112" spans="1:51" ht="22.9" customHeight="1" x14ac:dyDescent="0.25">
      <c r="A112" s="1189"/>
      <c r="B112" s="1018"/>
      <c r="C112" s="1217" t="s">
        <v>505</v>
      </c>
      <c r="D112" s="161" t="s">
        <v>340</v>
      </c>
      <c r="E112" s="1225"/>
      <c r="F112" s="1225"/>
      <c r="G112" s="1225"/>
      <c r="H112" s="1225"/>
      <c r="I112" s="1023">
        <v>1</v>
      </c>
      <c r="J112" s="1225"/>
      <c r="K112" s="1225"/>
      <c r="L112" s="1225"/>
      <c r="M112" s="1023"/>
      <c r="N112" s="1225"/>
      <c r="O112" s="1225"/>
      <c r="P112" s="1225"/>
      <c r="Q112" s="1225"/>
      <c r="R112" s="1225"/>
      <c r="S112" s="1183"/>
      <c r="T112" s="1020">
        <f t="shared" si="5"/>
        <v>0</v>
      </c>
      <c r="U112" s="1020">
        <f t="shared" si="5"/>
        <v>0</v>
      </c>
      <c r="V112" s="1020">
        <f t="shared" si="6"/>
        <v>1</v>
      </c>
      <c r="W112" s="1023"/>
      <c r="X112" s="1225"/>
      <c r="Y112" s="1225"/>
      <c r="Z112" s="1023"/>
      <c r="AA112" s="1225"/>
      <c r="AB112" s="1225"/>
      <c r="AC112" s="1225"/>
      <c r="AD112" s="1225"/>
      <c r="AE112" s="1225"/>
      <c r="AF112" s="1279" t="s">
        <v>1527</v>
      </c>
      <c r="AG112" s="1288" t="s">
        <v>505</v>
      </c>
      <c r="AH112" s="1275" t="s">
        <v>1633</v>
      </c>
      <c r="AI112" s="1275" t="s">
        <v>1634</v>
      </c>
      <c r="AJ112" s="1281" t="s">
        <v>463</v>
      </c>
      <c r="AK112" s="1275" t="s">
        <v>457</v>
      </c>
      <c r="AL112" s="1275" t="s">
        <v>178</v>
      </c>
      <c r="AM112" s="1275" t="s">
        <v>458</v>
      </c>
      <c r="AN112" s="1282">
        <v>258034</v>
      </c>
      <c r="AO112" s="1282">
        <v>128107</v>
      </c>
      <c r="AP112" s="1282">
        <v>129927</v>
      </c>
      <c r="AQ112" s="1120" t="s">
        <v>459</v>
      </c>
      <c r="AR112" s="1120" t="s">
        <v>459</v>
      </c>
      <c r="AS112" s="1120" t="s">
        <v>459</v>
      </c>
      <c r="AT112" s="1120" t="s">
        <v>459</v>
      </c>
      <c r="AU112" s="1278" t="s">
        <v>459</v>
      </c>
      <c r="AV112" s="1278" t="s">
        <v>459</v>
      </c>
      <c r="AW112" s="1278" t="s">
        <v>459</v>
      </c>
      <c r="AX112" s="1282">
        <v>258034</v>
      </c>
      <c r="AY112" s="1183"/>
    </row>
    <row r="113" spans="1:51" ht="20.45" customHeight="1" x14ac:dyDescent="0.25">
      <c r="A113" s="1189"/>
      <c r="B113" s="1018"/>
      <c r="C113" s="1018"/>
      <c r="D113" s="164" t="s">
        <v>343</v>
      </c>
      <c r="E113" s="1225"/>
      <c r="F113" s="1225"/>
      <c r="G113" s="1225"/>
      <c r="H113" s="1225"/>
      <c r="I113" s="1225">
        <f>+I112*$V$11/$V$10</f>
        <v>5189400</v>
      </c>
      <c r="J113" s="1225"/>
      <c r="K113" s="1225"/>
      <c r="L113" s="1225"/>
      <c r="M113" s="1225"/>
      <c r="N113" s="1225"/>
      <c r="O113" s="1225"/>
      <c r="P113" s="1225"/>
      <c r="Q113" s="1225"/>
      <c r="R113" s="1225"/>
      <c r="S113" s="1183"/>
      <c r="T113" s="1020">
        <f t="shared" si="5"/>
        <v>0</v>
      </c>
      <c r="U113" s="1020">
        <f t="shared" si="5"/>
        <v>0</v>
      </c>
      <c r="V113" s="1020">
        <f t="shared" si="6"/>
        <v>5189400</v>
      </c>
      <c r="W113" s="1023"/>
      <c r="X113" s="1225"/>
      <c r="Y113" s="1225"/>
      <c r="Z113" s="1225"/>
      <c r="AA113" s="1225"/>
      <c r="AB113" s="1225"/>
      <c r="AC113" s="1225"/>
      <c r="AD113" s="1225"/>
      <c r="AE113" s="1225"/>
      <c r="AF113" s="1203"/>
      <c r="AG113" s="1208"/>
      <c r="AH113" s="1073"/>
      <c r="AI113" s="1073"/>
      <c r="AJ113" s="1285" t="s">
        <v>479</v>
      </c>
      <c r="AK113" s="1073"/>
      <c r="AL113" s="1073"/>
      <c r="AM113" s="1073"/>
      <c r="AN113" s="1214"/>
      <c r="AO113" s="1214"/>
      <c r="AP113" s="1214"/>
      <c r="AQ113" s="1073"/>
      <c r="AR113" s="1073"/>
      <c r="AS113" s="1073"/>
      <c r="AT113" s="1073"/>
      <c r="AU113" s="1073"/>
      <c r="AV113" s="1073"/>
      <c r="AW113" s="1073"/>
      <c r="AX113" s="1214"/>
      <c r="AY113" s="1183"/>
    </row>
    <row r="114" spans="1:51" ht="28.5" customHeight="1" x14ac:dyDescent="0.25">
      <c r="A114" s="1189"/>
      <c r="B114" s="1018"/>
      <c r="C114" s="1018"/>
      <c r="D114" s="165" t="s">
        <v>345</v>
      </c>
      <c r="E114" s="1225"/>
      <c r="F114" s="1225"/>
      <c r="G114" s="1225"/>
      <c r="H114" s="1225"/>
      <c r="I114" s="1225"/>
      <c r="J114" s="1023"/>
      <c r="K114" s="1225"/>
      <c r="L114" s="1225"/>
      <c r="M114" s="1023"/>
      <c r="N114" s="1225"/>
      <c r="O114" s="1225"/>
      <c r="P114" s="1225"/>
      <c r="Q114" s="1225"/>
      <c r="R114" s="1225"/>
      <c r="S114" s="1183"/>
      <c r="T114" s="1020">
        <f t="shared" si="5"/>
        <v>0</v>
      </c>
      <c r="U114" s="1020">
        <f t="shared" si="5"/>
        <v>0</v>
      </c>
      <c r="V114" s="1020">
        <f t="shared" si="6"/>
        <v>0</v>
      </c>
      <c r="W114" s="1023"/>
      <c r="X114" s="1225"/>
      <c r="Y114" s="1225"/>
      <c r="Z114" s="1023"/>
      <c r="AA114" s="1225"/>
      <c r="AB114" s="1225"/>
      <c r="AC114" s="1225"/>
      <c r="AD114" s="1225"/>
      <c r="AE114" s="1225"/>
      <c r="AF114" s="1203"/>
      <c r="AG114" s="1208"/>
      <c r="AH114" s="1073"/>
      <c r="AI114" s="1073"/>
      <c r="AJ114" s="1285" t="s">
        <v>1475</v>
      </c>
      <c r="AK114" s="1073"/>
      <c r="AL114" s="1073"/>
      <c r="AM114" s="1073"/>
      <c r="AN114" s="1214"/>
      <c r="AO114" s="1214"/>
      <c r="AP114" s="1214"/>
      <c r="AQ114" s="1073"/>
      <c r="AR114" s="1073"/>
      <c r="AS114" s="1073"/>
      <c r="AT114" s="1073"/>
      <c r="AU114" s="1073"/>
      <c r="AV114" s="1073"/>
      <c r="AW114" s="1073"/>
      <c r="AX114" s="1214"/>
      <c r="AY114" s="1183"/>
    </row>
    <row r="115" spans="1:51" ht="30.6" customHeight="1" x14ac:dyDescent="0.25">
      <c r="A115" s="1189"/>
      <c r="B115" s="1018"/>
      <c r="C115" s="1018"/>
      <c r="D115" s="164" t="s">
        <v>346</v>
      </c>
      <c r="E115" s="1225"/>
      <c r="F115" s="1225"/>
      <c r="G115" s="1225"/>
      <c r="H115" s="1020"/>
      <c r="I115" s="1020"/>
      <c r="J115" s="1020"/>
      <c r="K115" s="1020"/>
      <c r="L115" s="1020"/>
      <c r="M115" s="1020"/>
      <c r="N115" s="1020"/>
      <c r="O115" s="1020"/>
      <c r="P115" s="1020"/>
      <c r="Q115" s="1020"/>
      <c r="R115" s="1020"/>
      <c r="S115" s="1183"/>
      <c r="T115" s="1020">
        <f t="shared" si="5"/>
        <v>0</v>
      </c>
      <c r="U115" s="1020">
        <f t="shared" si="5"/>
        <v>0</v>
      </c>
      <c r="V115" s="1020">
        <f t="shared" si="6"/>
        <v>0</v>
      </c>
      <c r="W115" s="1023"/>
      <c r="X115" s="1225"/>
      <c r="Y115" s="1225"/>
      <c r="Z115" s="1059"/>
      <c r="AA115" s="1225"/>
      <c r="AB115" s="1225"/>
      <c r="AC115" s="1225"/>
      <c r="AD115" s="1225"/>
      <c r="AE115" s="1225"/>
      <c r="AF115" s="1203"/>
      <c r="AG115" s="1208"/>
      <c r="AH115" s="1073"/>
      <c r="AI115" s="1073"/>
      <c r="AJ115" s="1285" t="s">
        <v>465</v>
      </c>
      <c r="AK115" s="1073"/>
      <c r="AL115" s="1073"/>
      <c r="AM115" s="1073"/>
      <c r="AN115" s="1214"/>
      <c r="AO115" s="1214"/>
      <c r="AP115" s="1214"/>
      <c r="AQ115" s="1073"/>
      <c r="AR115" s="1073"/>
      <c r="AS115" s="1073"/>
      <c r="AT115" s="1073"/>
      <c r="AU115" s="1073"/>
      <c r="AV115" s="1073"/>
      <c r="AW115" s="1073"/>
      <c r="AX115" s="1214"/>
      <c r="AY115" s="1183"/>
    </row>
    <row r="116" spans="1:51" ht="28.15" customHeight="1" x14ac:dyDescent="0.25">
      <c r="A116" s="1189"/>
      <c r="B116" s="1018"/>
      <c r="C116" s="1018"/>
      <c r="D116" s="165" t="s">
        <v>347</v>
      </c>
      <c r="E116" s="1225"/>
      <c r="F116" s="1225"/>
      <c r="G116" s="1225"/>
      <c r="H116" s="1225"/>
      <c r="I116" s="1225">
        <v>1</v>
      </c>
      <c r="J116" s="1023"/>
      <c r="K116" s="1225"/>
      <c r="L116" s="1225"/>
      <c r="M116" s="1023"/>
      <c r="N116" s="1225"/>
      <c r="O116" s="1225"/>
      <c r="P116" s="1225"/>
      <c r="Q116" s="1225"/>
      <c r="R116" s="1225"/>
      <c r="S116" s="1183"/>
      <c r="T116" s="1020">
        <f t="shared" si="5"/>
        <v>0</v>
      </c>
      <c r="U116" s="1020">
        <f t="shared" si="5"/>
        <v>0</v>
      </c>
      <c r="V116" s="1020">
        <f t="shared" si="6"/>
        <v>1</v>
      </c>
      <c r="W116" s="1023"/>
      <c r="X116" s="1225"/>
      <c r="Y116" s="1225"/>
      <c r="Z116" s="1023"/>
      <c r="AA116" s="1225"/>
      <c r="AB116" s="1225"/>
      <c r="AC116" s="1225"/>
      <c r="AD116" s="1225"/>
      <c r="AE116" s="1225"/>
      <c r="AF116" s="1203"/>
      <c r="AG116" s="1208"/>
      <c r="AH116" s="1073"/>
      <c r="AI116" s="1073"/>
      <c r="AJ116" s="1205" t="s">
        <v>466</v>
      </c>
      <c r="AK116" s="1073"/>
      <c r="AL116" s="1073"/>
      <c r="AM116" s="1073"/>
      <c r="AN116" s="1214"/>
      <c r="AO116" s="1214"/>
      <c r="AP116" s="1214"/>
      <c r="AQ116" s="1073"/>
      <c r="AR116" s="1073"/>
      <c r="AS116" s="1073"/>
      <c r="AT116" s="1073"/>
      <c r="AU116" s="1073"/>
      <c r="AV116" s="1073"/>
      <c r="AW116" s="1073"/>
      <c r="AX116" s="1214"/>
      <c r="AY116" s="1183"/>
    </row>
    <row r="117" spans="1:51" ht="28.9" customHeight="1" x14ac:dyDescent="0.25">
      <c r="A117" s="1189"/>
      <c r="B117" s="1018"/>
      <c r="C117" s="1048"/>
      <c r="D117" s="164" t="s">
        <v>348</v>
      </c>
      <c r="E117" s="1225"/>
      <c r="F117" s="1225"/>
      <c r="G117" s="1225"/>
      <c r="H117" s="1225"/>
      <c r="I117" s="1225">
        <f>+I113+I115</f>
        <v>5189400</v>
      </c>
      <c r="J117" s="1225"/>
      <c r="K117" s="1225"/>
      <c r="L117" s="1225"/>
      <c r="M117" s="1225"/>
      <c r="N117" s="1225"/>
      <c r="O117" s="1225"/>
      <c r="P117" s="1225"/>
      <c r="Q117" s="1225"/>
      <c r="R117" s="1225"/>
      <c r="S117" s="1183"/>
      <c r="T117" s="1020">
        <f t="shared" si="5"/>
        <v>0</v>
      </c>
      <c r="U117" s="1020">
        <f t="shared" si="5"/>
        <v>0</v>
      </c>
      <c r="V117" s="1020">
        <f t="shared" si="6"/>
        <v>5189400</v>
      </c>
      <c r="W117" s="1023"/>
      <c r="X117" s="1225"/>
      <c r="Y117" s="1225"/>
      <c r="Z117" s="1225"/>
      <c r="AA117" s="1225"/>
      <c r="AB117" s="1225"/>
      <c r="AC117" s="1225"/>
      <c r="AD117" s="1225"/>
      <c r="AE117" s="1225"/>
      <c r="AF117" s="1203"/>
      <c r="AG117" s="1210"/>
      <c r="AH117" s="1076"/>
      <c r="AI117" s="1076"/>
      <c r="AJ117" s="1286" t="s">
        <v>467</v>
      </c>
      <c r="AK117" s="1076"/>
      <c r="AL117" s="1076"/>
      <c r="AM117" s="1076"/>
      <c r="AN117" s="1215"/>
      <c r="AO117" s="1215"/>
      <c r="AP117" s="1215"/>
      <c r="AQ117" s="1076"/>
      <c r="AR117" s="1076"/>
      <c r="AS117" s="1076"/>
      <c r="AT117" s="1076"/>
      <c r="AU117" s="1076"/>
      <c r="AV117" s="1076"/>
      <c r="AW117" s="1076"/>
      <c r="AX117" s="1215"/>
      <c r="AY117" s="1183"/>
    </row>
    <row r="118" spans="1:51" ht="22.9" customHeight="1" x14ac:dyDescent="0.25">
      <c r="A118" s="1189"/>
      <c r="B118" s="1018"/>
      <c r="C118" s="1217" t="s">
        <v>506</v>
      </c>
      <c r="D118" s="161" t="s">
        <v>340</v>
      </c>
      <c r="E118" s="1225"/>
      <c r="F118" s="1225"/>
      <c r="G118" s="1225"/>
      <c r="H118" s="1225"/>
      <c r="I118" s="1023"/>
      <c r="J118" s="1225"/>
      <c r="K118" s="1225"/>
      <c r="L118" s="1225"/>
      <c r="M118" s="1023"/>
      <c r="N118" s="1225"/>
      <c r="O118" s="1225"/>
      <c r="P118" s="1225"/>
      <c r="Q118" s="1225"/>
      <c r="R118" s="1225"/>
      <c r="S118" s="1183"/>
      <c r="T118" s="1020">
        <f t="shared" si="5"/>
        <v>0</v>
      </c>
      <c r="U118" s="1020">
        <f t="shared" si="5"/>
        <v>0</v>
      </c>
      <c r="V118" s="1020">
        <f t="shared" si="6"/>
        <v>0</v>
      </c>
      <c r="W118" s="1023"/>
      <c r="X118" s="1225"/>
      <c r="Y118" s="1225"/>
      <c r="Z118" s="1023"/>
      <c r="AA118" s="1225"/>
      <c r="AB118" s="1225"/>
      <c r="AC118" s="1225"/>
      <c r="AD118" s="1225"/>
      <c r="AE118" s="1225"/>
      <c r="AF118" s="1279"/>
      <c r="AG118" s="1280" t="s">
        <v>506</v>
      </c>
      <c r="AH118" s="1275" t="s">
        <v>507</v>
      </c>
      <c r="AI118" s="1275" t="s">
        <v>508</v>
      </c>
      <c r="AJ118" s="1281" t="s">
        <v>463</v>
      </c>
      <c r="AK118" s="1275" t="s">
        <v>457</v>
      </c>
      <c r="AL118" s="1275" t="s">
        <v>509</v>
      </c>
      <c r="AM118" s="1275" t="s">
        <v>458</v>
      </c>
      <c r="AN118" s="1282">
        <v>389238</v>
      </c>
      <c r="AO118" s="1282">
        <v>191448</v>
      </c>
      <c r="AP118" s="1282">
        <v>197790</v>
      </c>
      <c r="AQ118" s="1120" t="s">
        <v>459</v>
      </c>
      <c r="AR118" s="1120" t="s">
        <v>459</v>
      </c>
      <c r="AS118" s="1120" t="s">
        <v>459</v>
      </c>
      <c r="AT118" s="1120" t="s">
        <v>459</v>
      </c>
      <c r="AU118" s="1278" t="s">
        <v>459</v>
      </c>
      <c r="AV118" s="1278" t="s">
        <v>459</v>
      </c>
      <c r="AW118" s="1278" t="s">
        <v>459</v>
      </c>
      <c r="AX118" s="1282">
        <v>389238</v>
      </c>
      <c r="AY118" s="1183"/>
    </row>
    <row r="119" spans="1:51" ht="20.45" customHeight="1" x14ac:dyDescent="0.25">
      <c r="A119" s="1189"/>
      <c r="B119" s="1018"/>
      <c r="C119" s="1018"/>
      <c r="D119" s="164" t="s">
        <v>343</v>
      </c>
      <c r="E119" s="1225"/>
      <c r="F119" s="1225"/>
      <c r="G119" s="1225"/>
      <c r="H119" s="1225"/>
      <c r="I119" s="1225"/>
      <c r="J119" s="1225"/>
      <c r="K119" s="1225"/>
      <c r="L119" s="1225"/>
      <c r="M119" s="1225"/>
      <c r="N119" s="1225"/>
      <c r="O119" s="1225"/>
      <c r="P119" s="1225"/>
      <c r="Q119" s="1225"/>
      <c r="R119" s="1225"/>
      <c r="S119" s="1183"/>
      <c r="T119" s="1020">
        <f t="shared" si="5"/>
        <v>0</v>
      </c>
      <c r="U119" s="1020">
        <f t="shared" si="5"/>
        <v>0</v>
      </c>
      <c r="V119" s="1020">
        <f t="shared" si="6"/>
        <v>0</v>
      </c>
      <c r="W119" s="1023"/>
      <c r="X119" s="1225"/>
      <c r="Y119" s="1225"/>
      <c r="Z119" s="1225"/>
      <c r="AA119" s="1225"/>
      <c r="AB119" s="1225"/>
      <c r="AC119" s="1225"/>
      <c r="AD119" s="1225"/>
      <c r="AE119" s="1225"/>
      <c r="AF119" s="1203"/>
      <c r="AG119" s="1204"/>
      <c r="AH119" s="1073"/>
      <c r="AI119" s="1073"/>
      <c r="AJ119" s="1285" t="s">
        <v>479</v>
      </c>
      <c r="AK119" s="1073"/>
      <c r="AL119" s="1073"/>
      <c r="AM119" s="1073"/>
      <c r="AN119" s="1073"/>
      <c r="AO119" s="1073"/>
      <c r="AP119" s="1073"/>
      <c r="AQ119" s="1073"/>
      <c r="AR119" s="1073"/>
      <c r="AS119" s="1073"/>
      <c r="AT119" s="1073"/>
      <c r="AU119" s="1073"/>
      <c r="AV119" s="1073"/>
      <c r="AW119" s="1073"/>
      <c r="AX119" s="1073"/>
      <c r="AY119" s="1183"/>
    </row>
    <row r="120" spans="1:51" ht="28.9" customHeight="1" x14ac:dyDescent="0.25">
      <c r="A120" s="1189"/>
      <c r="B120" s="1018"/>
      <c r="C120" s="1018"/>
      <c r="D120" s="165" t="s">
        <v>345</v>
      </c>
      <c r="E120" s="1225"/>
      <c r="F120" s="1225"/>
      <c r="G120" s="1225"/>
      <c r="H120" s="1225"/>
      <c r="I120" s="1225"/>
      <c r="J120" s="1023"/>
      <c r="K120" s="1225"/>
      <c r="L120" s="1225"/>
      <c r="M120" s="1023"/>
      <c r="N120" s="1225"/>
      <c r="O120" s="1225"/>
      <c r="P120" s="1225"/>
      <c r="Q120" s="1225"/>
      <c r="R120" s="1225"/>
      <c r="S120" s="1183"/>
      <c r="T120" s="1020">
        <f t="shared" si="5"/>
        <v>0</v>
      </c>
      <c r="U120" s="1020">
        <f t="shared" si="5"/>
        <v>0</v>
      </c>
      <c r="V120" s="1020">
        <f t="shared" si="6"/>
        <v>0</v>
      </c>
      <c r="W120" s="1023"/>
      <c r="X120" s="1225"/>
      <c r="Y120" s="1225"/>
      <c r="Z120" s="1023"/>
      <c r="AA120" s="1225"/>
      <c r="AB120" s="1225"/>
      <c r="AC120" s="1225"/>
      <c r="AD120" s="1225"/>
      <c r="AE120" s="1225"/>
      <c r="AF120" s="1203"/>
      <c r="AG120" s="1204"/>
      <c r="AH120" s="1073"/>
      <c r="AI120" s="1073"/>
      <c r="AJ120" s="1285" t="s">
        <v>1475</v>
      </c>
      <c r="AK120" s="1073"/>
      <c r="AL120" s="1073"/>
      <c r="AM120" s="1073"/>
      <c r="AN120" s="1073"/>
      <c r="AO120" s="1073"/>
      <c r="AP120" s="1073"/>
      <c r="AQ120" s="1073"/>
      <c r="AR120" s="1073"/>
      <c r="AS120" s="1073"/>
      <c r="AT120" s="1073"/>
      <c r="AU120" s="1073"/>
      <c r="AV120" s="1073"/>
      <c r="AW120" s="1073"/>
      <c r="AX120" s="1073"/>
      <c r="AY120" s="1183"/>
    </row>
    <row r="121" spans="1:51" ht="30.6" customHeight="1" x14ac:dyDescent="0.25">
      <c r="A121" s="1189"/>
      <c r="B121" s="1018"/>
      <c r="C121" s="1018"/>
      <c r="D121" s="164" t="s">
        <v>346</v>
      </c>
      <c r="E121" s="1225"/>
      <c r="F121" s="1225"/>
      <c r="G121" s="1225"/>
      <c r="H121" s="1225"/>
      <c r="I121" s="1020"/>
      <c r="J121" s="1020"/>
      <c r="K121" s="1020"/>
      <c r="L121" s="1020"/>
      <c r="M121" s="1020"/>
      <c r="N121" s="1020"/>
      <c r="O121" s="1020"/>
      <c r="P121" s="1020"/>
      <c r="Q121" s="1020"/>
      <c r="R121" s="1020"/>
      <c r="S121" s="1183"/>
      <c r="T121" s="1020">
        <f t="shared" si="5"/>
        <v>0</v>
      </c>
      <c r="U121" s="1020">
        <f t="shared" si="5"/>
        <v>0</v>
      </c>
      <c r="V121" s="1020">
        <f t="shared" si="6"/>
        <v>0</v>
      </c>
      <c r="W121" s="1023"/>
      <c r="X121" s="1225"/>
      <c r="Y121" s="1225"/>
      <c r="Z121" s="1059"/>
      <c r="AA121" s="1225"/>
      <c r="AB121" s="1225"/>
      <c r="AC121" s="1225"/>
      <c r="AD121" s="1225"/>
      <c r="AE121" s="1225"/>
      <c r="AF121" s="1203"/>
      <c r="AG121" s="1204"/>
      <c r="AH121" s="1073"/>
      <c r="AI121" s="1073"/>
      <c r="AJ121" s="1285" t="s">
        <v>465</v>
      </c>
      <c r="AK121" s="1073"/>
      <c r="AL121" s="1073"/>
      <c r="AM121" s="1073"/>
      <c r="AN121" s="1073"/>
      <c r="AO121" s="1073"/>
      <c r="AP121" s="1073"/>
      <c r="AQ121" s="1073"/>
      <c r="AR121" s="1073"/>
      <c r="AS121" s="1073"/>
      <c r="AT121" s="1073"/>
      <c r="AU121" s="1073"/>
      <c r="AV121" s="1073"/>
      <c r="AW121" s="1073"/>
      <c r="AX121" s="1073"/>
      <c r="AY121" s="1183"/>
    </row>
    <row r="122" spans="1:51" ht="27" customHeight="1" x14ac:dyDescent="0.25">
      <c r="A122" s="1189"/>
      <c r="B122" s="1018"/>
      <c r="C122" s="1018"/>
      <c r="D122" s="165" t="s">
        <v>347</v>
      </c>
      <c r="E122" s="1225"/>
      <c r="F122" s="1225"/>
      <c r="G122" s="1225"/>
      <c r="H122" s="1225"/>
      <c r="I122" s="1225"/>
      <c r="J122" s="1023"/>
      <c r="K122" s="1225"/>
      <c r="L122" s="1225"/>
      <c r="M122" s="1023"/>
      <c r="N122" s="1225"/>
      <c r="O122" s="1225"/>
      <c r="P122" s="1225"/>
      <c r="Q122" s="1225"/>
      <c r="R122" s="1225"/>
      <c r="S122" s="1183"/>
      <c r="T122" s="1020">
        <f t="shared" si="5"/>
        <v>0</v>
      </c>
      <c r="U122" s="1020">
        <f t="shared" si="5"/>
        <v>0</v>
      </c>
      <c r="V122" s="1020">
        <f t="shared" si="6"/>
        <v>0</v>
      </c>
      <c r="W122" s="1023"/>
      <c r="X122" s="1225"/>
      <c r="Y122" s="1225"/>
      <c r="Z122" s="1023"/>
      <c r="AA122" s="1225"/>
      <c r="AB122" s="1225"/>
      <c r="AC122" s="1225"/>
      <c r="AD122" s="1225"/>
      <c r="AE122" s="1225"/>
      <c r="AF122" s="1203"/>
      <c r="AG122" s="1204"/>
      <c r="AH122" s="1073"/>
      <c r="AI122" s="1073"/>
      <c r="AJ122" s="1205" t="s">
        <v>466</v>
      </c>
      <c r="AK122" s="1073"/>
      <c r="AL122" s="1073"/>
      <c r="AM122" s="1073"/>
      <c r="AN122" s="1073"/>
      <c r="AO122" s="1073"/>
      <c r="AP122" s="1073"/>
      <c r="AQ122" s="1073"/>
      <c r="AR122" s="1073"/>
      <c r="AS122" s="1073"/>
      <c r="AT122" s="1073"/>
      <c r="AU122" s="1073"/>
      <c r="AV122" s="1073"/>
      <c r="AW122" s="1073"/>
      <c r="AX122" s="1073"/>
      <c r="AY122" s="1183"/>
    </row>
    <row r="123" spans="1:51" ht="28.9" customHeight="1" x14ac:dyDescent="0.25">
      <c r="A123" s="1189"/>
      <c r="B123" s="1018"/>
      <c r="C123" s="1048"/>
      <c r="D123" s="164" t="s">
        <v>348</v>
      </c>
      <c r="E123" s="1225"/>
      <c r="F123" s="1225"/>
      <c r="G123" s="1225"/>
      <c r="H123" s="1225"/>
      <c r="I123" s="1225"/>
      <c r="J123" s="1225"/>
      <c r="K123" s="1225"/>
      <c r="L123" s="1225"/>
      <c r="M123" s="1225"/>
      <c r="N123" s="1225"/>
      <c r="O123" s="1225"/>
      <c r="P123" s="1225"/>
      <c r="Q123" s="1225"/>
      <c r="R123" s="1225"/>
      <c r="S123" s="1183"/>
      <c r="T123" s="1020">
        <f t="shared" si="5"/>
        <v>0</v>
      </c>
      <c r="U123" s="1020">
        <f t="shared" si="5"/>
        <v>0</v>
      </c>
      <c r="V123" s="1020">
        <f t="shared" si="6"/>
        <v>0</v>
      </c>
      <c r="W123" s="1023"/>
      <c r="X123" s="1225"/>
      <c r="Y123" s="1225"/>
      <c r="Z123" s="1225"/>
      <c r="AA123" s="1225"/>
      <c r="AB123" s="1225"/>
      <c r="AC123" s="1225"/>
      <c r="AD123" s="1225"/>
      <c r="AE123" s="1225"/>
      <c r="AF123" s="1203"/>
      <c r="AG123" s="1190"/>
      <c r="AH123" s="1076"/>
      <c r="AI123" s="1076"/>
      <c r="AJ123" s="1286" t="s">
        <v>467</v>
      </c>
      <c r="AK123" s="1076"/>
      <c r="AL123" s="1076"/>
      <c r="AM123" s="1076"/>
      <c r="AN123" s="1076"/>
      <c r="AO123" s="1076"/>
      <c r="AP123" s="1076"/>
      <c r="AQ123" s="1076"/>
      <c r="AR123" s="1076"/>
      <c r="AS123" s="1076"/>
      <c r="AT123" s="1076"/>
      <c r="AU123" s="1076"/>
      <c r="AV123" s="1076"/>
      <c r="AW123" s="1076"/>
      <c r="AX123" s="1076"/>
      <c r="AY123" s="1183"/>
    </row>
    <row r="124" spans="1:51" ht="22.9" customHeight="1" x14ac:dyDescent="0.25">
      <c r="A124" s="1189"/>
      <c r="B124" s="1018"/>
      <c r="C124" s="1217" t="s">
        <v>510</v>
      </c>
      <c r="D124" s="161" t="s">
        <v>340</v>
      </c>
      <c r="E124" s="1225"/>
      <c r="F124" s="1225"/>
      <c r="G124" s="1225">
        <v>1</v>
      </c>
      <c r="H124" s="1023">
        <v>2</v>
      </c>
      <c r="I124" s="1023">
        <v>3</v>
      </c>
      <c r="J124" s="1225"/>
      <c r="K124" s="1225"/>
      <c r="L124" s="1225"/>
      <c r="M124" s="1023"/>
      <c r="N124" s="1225"/>
      <c r="O124" s="1225"/>
      <c r="P124" s="1225"/>
      <c r="Q124" s="1225"/>
      <c r="R124" s="1225"/>
      <c r="S124" s="1183"/>
      <c r="T124" s="1020">
        <f t="shared" si="5"/>
        <v>1</v>
      </c>
      <c r="U124" s="1020">
        <f t="shared" si="5"/>
        <v>2</v>
      </c>
      <c r="V124" s="1020">
        <f t="shared" si="6"/>
        <v>3</v>
      </c>
      <c r="W124" s="1023"/>
      <c r="X124" s="1225"/>
      <c r="Y124" s="1225"/>
      <c r="Z124" s="1023"/>
      <c r="AA124" s="1225"/>
      <c r="AB124" s="1225"/>
      <c r="AC124" s="1225"/>
      <c r="AD124" s="1225"/>
      <c r="AE124" s="1225"/>
      <c r="AF124" s="1279" t="s">
        <v>1528</v>
      </c>
      <c r="AG124" s="1288" t="s">
        <v>510</v>
      </c>
      <c r="AH124" s="1275" t="s">
        <v>1635</v>
      </c>
      <c r="AI124" s="1275" t="s">
        <v>1636</v>
      </c>
      <c r="AJ124" s="1281" t="s">
        <v>463</v>
      </c>
      <c r="AK124" s="1275" t="s">
        <v>457</v>
      </c>
      <c r="AL124" s="1275" t="s">
        <v>1507</v>
      </c>
      <c r="AM124" s="1275" t="s">
        <v>458</v>
      </c>
      <c r="AN124" s="1282">
        <v>655881</v>
      </c>
      <c r="AO124" s="1282">
        <v>327558</v>
      </c>
      <c r="AP124" s="1282">
        <v>328323</v>
      </c>
      <c r="AQ124" s="1120" t="s">
        <v>459</v>
      </c>
      <c r="AR124" s="1120" t="s">
        <v>459</v>
      </c>
      <c r="AS124" s="1120" t="s">
        <v>459</v>
      </c>
      <c r="AT124" s="1120" t="s">
        <v>459</v>
      </c>
      <c r="AU124" s="1278" t="s">
        <v>459</v>
      </c>
      <c r="AV124" s="1278" t="s">
        <v>459</v>
      </c>
      <c r="AW124" s="1278" t="s">
        <v>459</v>
      </c>
      <c r="AX124" s="1282">
        <v>655881</v>
      </c>
      <c r="AY124" s="1183"/>
    </row>
    <row r="125" spans="1:51" ht="20.45" customHeight="1" x14ac:dyDescent="0.25">
      <c r="A125" s="1189"/>
      <c r="B125" s="1018"/>
      <c r="C125" s="1018"/>
      <c r="D125" s="164" t="s">
        <v>343</v>
      </c>
      <c r="E125" s="1225"/>
      <c r="F125" s="1225"/>
      <c r="G125" s="1225">
        <f>+G124*$T$11/$T$10</f>
        <v>5165500</v>
      </c>
      <c r="H125" s="1225">
        <f>+H124*$U$11/$U$10</f>
        <v>15967384.615384616</v>
      </c>
      <c r="I125" s="1225">
        <f>+I124*$V$11/$V$10</f>
        <v>15568200</v>
      </c>
      <c r="J125" s="1225"/>
      <c r="K125" s="1225"/>
      <c r="L125" s="1225"/>
      <c r="M125" s="1225"/>
      <c r="N125" s="1225"/>
      <c r="O125" s="1225"/>
      <c r="P125" s="1225"/>
      <c r="Q125" s="1225"/>
      <c r="R125" s="1225"/>
      <c r="S125" s="1183"/>
      <c r="T125" s="1020">
        <f t="shared" si="5"/>
        <v>5165500</v>
      </c>
      <c r="U125" s="1020">
        <f t="shared" si="5"/>
        <v>15967384.615384616</v>
      </c>
      <c r="V125" s="1020">
        <f t="shared" si="6"/>
        <v>15568200</v>
      </c>
      <c r="W125" s="1023"/>
      <c r="X125" s="1225"/>
      <c r="Y125" s="1225"/>
      <c r="Z125" s="1225"/>
      <c r="AA125" s="1225"/>
      <c r="AB125" s="1225"/>
      <c r="AC125" s="1225"/>
      <c r="AD125" s="1225"/>
      <c r="AE125" s="1225"/>
      <c r="AF125" s="1203"/>
      <c r="AG125" s="1208"/>
      <c r="AH125" s="1073"/>
      <c r="AI125" s="1073"/>
      <c r="AJ125" s="1285" t="s">
        <v>479</v>
      </c>
      <c r="AK125" s="1073"/>
      <c r="AL125" s="1073"/>
      <c r="AM125" s="1073"/>
      <c r="AN125" s="1073"/>
      <c r="AO125" s="1073"/>
      <c r="AP125" s="1073"/>
      <c r="AQ125" s="1073"/>
      <c r="AR125" s="1073"/>
      <c r="AS125" s="1073"/>
      <c r="AT125" s="1073"/>
      <c r="AU125" s="1073"/>
      <c r="AV125" s="1073"/>
      <c r="AW125" s="1073"/>
      <c r="AX125" s="1073"/>
      <c r="AY125" s="1183"/>
    </row>
    <row r="126" spans="1:51" ht="28.9" customHeight="1" x14ac:dyDescent="0.25">
      <c r="A126" s="1189"/>
      <c r="B126" s="1018"/>
      <c r="C126" s="1018"/>
      <c r="D126" s="165" t="s">
        <v>345</v>
      </c>
      <c r="E126" s="1225"/>
      <c r="F126" s="1225"/>
      <c r="G126" s="1225"/>
      <c r="H126" s="1225"/>
      <c r="I126" s="1225"/>
      <c r="J126" s="1023"/>
      <c r="K126" s="1225"/>
      <c r="L126" s="1225"/>
      <c r="M126" s="1023"/>
      <c r="N126" s="1225"/>
      <c r="O126" s="1225"/>
      <c r="P126" s="1225"/>
      <c r="Q126" s="1225"/>
      <c r="R126" s="1225"/>
      <c r="S126" s="1183"/>
      <c r="T126" s="1020">
        <f t="shared" si="5"/>
        <v>0</v>
      </c>
      <c r="U126" s="1020">
        <f t="shared" si="5"/>
        <v>0</v>
      </c>
      <c r="V126" s="1020">
        <f t="shared" si="6"/>
        <v>0</v>
      </c>
      <c r="W126" s="1023"/>
      <c r="X126" s="1225"/>
      <c r="Y126" s="1225"/>
      <c r="Z126" s="1023"/>
      <c r="AA126" s="1225"/>
      <c r="AB126" s="1225"/>
      <c r="AC126" s="1225"/>
      <c r="AD126" s="1225"/>
      <c r="AE126" s="1225"/>
      <c r="AF126" s="1203"/>
      <c r="AG126" s="1208"/>
      <c r="AH126" s="1073"/>
      <c r="AI126" s="1073"/>
      <c r="AJ126" s="1285" t="s">
        <v>1475</v>
      </c>
      <c r="AK126" s="1073"/>
      <c r="AL126" s="1073"/>
      <c r="AM126" s="1073"/>
      <c r="AN126" s="1073"/>
      <c r="AO126" s="1073"/>
      <c r="AP126" s="1073"/>
      <c r="AQ126" s="1073"/>
      <c r="AR126" s="1073"/>
      <c r="AS126" s="1073"/>
      <c r="AT126" s="1073"/>
      <c r="AU126" s="1073"/>
      <c r="AV126" s="1073"/>
      <c r="AW126" s="1073"/>
      <c r="AX126" s="1073"/>
      <c r="AY126" s="1183"/>
    </row>
    <row r="127" spans="1:51" ht="30.6" customHeight="1" x14ac:dyDescent="0.25">
      <c r="A127" s="1189"/>
      <c r="B127" s="1018"/>
      <c r="C127" s="1018"/>
      <c r="D127" s="164" t="s">
        <v>346</v>
      </c>
      <c r="E127" s="1225"/>
      <c r="F127" s="1225"/>
      <c r="G127" s="1225"/>
      <c r="H127" s="1225"/>
      <c r="I127" s="1020"/>
      <c r="J127" s="1020"/>
      <c r="K127" s="1020"/>
      <c r="L127" s="1020"/>
      <c r="M127" s="1020"/>
      <c r="N127" s="1020"/>
      <c r="O127" s="1020"/>
      <c r="P127" s="1020"/>
      <c r="Q127" s="1020"/>
      <c r="R127" s="1020"/>
      <c r="S127" s="1183"/>
      <c r="T127" s="1020">
        <f t="shared" si="5"/>
        <v>0</v>
      </c>
      <c r="U127" s="1020">
        <f t="shared" si="5"/>
        <v>0</v>
      </c>
      <c r="V127" s="1020">
        <f t="shared" si="6"/>
        <v>0</v>
      </c>
      <c r="W127" s="1023"/>
      <c r="X127" s="1225"/>
      <c r="Y127" s="1225"/>
      <c r="Z127" s="1059"/>
      <c r="AA127" s="1225"/>
      <c r="AB127" s="1225"/>
      <c r="AC127" s="1225"/>
      <c r="AD127" s="1225"/>
      <c r="AE127" s="1225"/>
      <c r="AF127" s="1203"/>
      <c r="AG127" s="1208"/>
      <c r="AH127" s="1073"/>
      <c r="AI127" s="1073"/>
      <c r="AJ127" s="1285" t="s">
        <v>465</v>
      </c>
      <c r="AK127" s="1073"/>
      <c r="AL127" s="1073"/>
      <c r="AM127" s="1073"/>
      <c r="AN127" s="1073"/>
      <c r="AO127" s="1073"/>
      <c r="AP127" s="1073"/>
      <c r="AQ127" s="1073"/>
      <c r="AR127" s="1073"/>
      <c r="AS127" s="1073"/>
      <c r="AT127" s="1073"/>
      <c r="AU127" s="1073"/>
      <c r="AV127" s="1073"/>
      <c r="AW127" s="1073"/>
      <c r="AX127" s="1073"/>
      <c r="AY127" s="1183"/>
    </row>
    <row r="128" spans="1:51" ht="33.6" customHeight="1" x14ac:dyDescent="0.25">
      <c r="A128" s="1189"/>
      <c r="B128" s="1018"/>
      <c r="C128" s="1018"/>
      <c r="D128" s="165" t="s">
        <v>347</v>
      </c>
      <c r="E128" s="1225"/>
      <c r="F128" s="1225"/>
      <c r="G128" s="1225">
        <f>+G124+G126</f>
        <v>1</v>
      </c>
      <c r="H128" s="1225">
        <v>2</v>
      </c>
      <c r="I128" s="1225">
        <v>3</v>
      </c>
      <c r="J128" s="1023"/>
      <c r="K128" s="1225"/>
      <c r="L128" s="1225"/>
      <c r="M128" s="1023"/>
      <c r="N128" s="1225"/>
      <c r="O128" s="1225"/>
      <c r="P128" s="1225"/>
      <c r="Q128" s="1225"/>
      <c r="R128" s="1225"/>
      <c r="S128" s="1183"/>
      <c r="T128" s="1020">
        <f t="shared" si="5"/>
        <v>1</v>
      </c>
      <c r="U128" s="1020">
        <f t="shared" si="5"/>
        <v>2</v>
      </c>
      <c r="V128" s="1020">
        <f t="shared" si="6"/>
        <v>3</v>
      </c>
      <c r="W128" s="1023"/>
      <c r="X128" s="1225"/>
      <c r="Y128" s="1225"/>
      <c r="Z128" s="1023"/>
      <c r="AA128" s="1225"/>
      <c r="AB128" s="1225"/>
      <c r="AC128" s="1225"/>
      <c r="AD128" s="1225"/>
      <c r="AE128" s="1225"/>
      <c r="AF128" s="1203"/>
      <c r="AG128" s="1208"/>
      <c r="AH128" s="1073"/>
      <c r="AI128" s="1073"/>
      <c r="AJ128" s="1205" t="s">
        <v>466</v>
      </c>
      <c r="AK128" s="1073"/>
      <c r="AL128" s="1073"/>
      <c r="AM128" s="1073"/>
      <c r="AN128" s="1073"/>
      <c r="AO128" s="1073"/>
      <c r="AP128" s="1073"/>
      <c r="AQ128" s="1073"/>
      <c r="AR128" s="1073"/>
      <c r="AS128" s="1073"/>
      <c r="AT128" s="1073"/>
      <c r="AU128" s="1073"/>
      <c r="AV128" s="1073"/>
      <c r="AW128" s="1073"/>
      <c r="AX128" s="1073"/>
      <c r="AY128" s="1183"/>
    </row>
    <row r="129" spans="1:51" ht="28.9" customHeight="1" x14ac:dyDescent="0.25">
      <c r="A129" s="1189"/>
      <c r="B129" s="1018"/>
      <c r="C129" s="1048"/>
      <c r="D129" s="164" t="s">
        <v>348</v>
      </c>
      <c r="E129" s="1225"/>
      <c r="F129" s="1225"/>
      <c r="G129" s="1225">
        <f>+G125+G127</f>
        <v>5165500</v>
      </c>
      <c r="H129" s="1225">
        <f>+H125+H127</f>
        <v>15967384.615384616</v>
      </c>
      <c r="I129" s="1225">
        <f>+I125+I127</f>
        <v>15568200</v>
      </c>
      <c r="J129" s="1225"/>
      <c r="K129" s="1225"/>
      <c r="L129" s="1225"/>
      <c r="M129" s="1225"/>
      <c r="N129" s="1225"/>
      <c r="O129" s="1225"/>
      <c r="P129" s="1225"/>
      <c r="Q129" s="1225"/>
      <c r="R129" s="1225"/>
      <c r="S129" s="1183"/>
      <c r="T129" s="1020">
        <f>+G129</f>
        <v>5165500</v>
      </c>
      <c r="U129" s="1020">
        <f>+H129</f>
        <v>15967384.615384616</v>
      </c>
      <c r="V129" s="1020">
        <f t="shared" si="6"/>
        <v>15568200</v>
      </c>
      <c r="W129" s="1023"/>
      <c r="X129" s="1225"/>
      <c r="Y129" s="1225"/>
      <c r="Z129" s="1225"/>
      <c r="AA129" s="1225"/>
      <c r="AB129" s="1225"/>
      <c r="AC129" s="1225"/>
      <c r="AD129" s="1225"/>
      <c r="AE129" s="1225"/>
      <c r="AF129" s="1203"/>
      <c r="AG129" s="1210"/>
      <c r="AH129" s="1076"/>
      <c r="AI129" s="1076"/>
      <c r="AJ129" s="1286" t="s">
        <v>467</v>
      </c>
      <c r="AK129" s="1076"/>
      <c r="AL129" s="1076"/>
      <c r="AM129" s="1076"/>
      <c r="AN129" s="1076"/>
      <c r="AO129" s="1076"/>
      <c r="AP129" s="1076"/>
      <c r="AQ129" s="1076"/>
      <c r="AR129" s="1076"/>
      <c r="AS129" s="1076"/>
      <c r="AT129" s="1076"/>
      <c r="AU129" s="1076"/>
      <c r="AV129" s="1076"/>
      <c r="AW129" s="1076"/>
      <c r="AX129" s="1076"/>
      <c r="AY129" s="1183"/>
    </row>
    <row r="130" spans="1:51" ht="19.149999999999999" customHeight="1" x14ac:dyDescent="0.25">
      <c r="A130" s="1189"/>
      <c r="B130" s="1018"/>
      <c r="C130" s="1217" t="s">
        <v>511</v>
      </c>
      <c r="D130" s="161" t="s">
        <v>340</v>
      </c>
      <c r="E130" s="1225"/>
      <c r="F130" s="1225"/>
      <c r="G130" s="1225">
        <v>69</v>
      </c>
      <c r="H130" s="1225">
        <v>55</v>
      </c>
      <c r="I130" s="1225">
        <v>41</v>
      </c>
      <c r="J130" s="1225"/>
      <c r="K130" s="1225"/>
      <c r="L130" s="1225"/>
      <c r="M130" s="1023"/>
      <c r="N130" s="1225"/>
      <c r="O130" s="1225"/>
      <c r="P130" s="1225"/>
      <c r="Q130" s="1225"/>
      <c r="R130" s="1225"/>
      <c r="S130" s="1023"/>
      <c r="T130" s="1020"/>
      <c r="U130" s="1225"/>
      <c r="V130" s="1023"/>
      <c r="W130" s="1023"/>
      <c r="X130" s="1225"/>
      <c r="Y130" s="1023"/>
      <c r="Z130" s="1023"/>
      <c r="AA130" s="1225"/>
      <c r="AB130" s="1023"/>
      <c r="AC130" s="1225"/>
      <c r="AD130" s="1059"/>
      <c r="AE130" s="1225"/>
      <c r="AF130" s="1297"/>
      <c r="AG130" s="1298"/>
      <c r="AH130" s="1299"/>
      <c r="AI130" s="1299"/>
      <c r="AJ130" s="1300"/>
      <c r="AK130" s="1299"/>
      <c r="AL130" s="1299"/>
      <c r="AM130" s="1299" t="s">
        <v>458</v>
      </c>
      <c r="AN130" s="1301">
        <v>7968095</v>
      </c>
      <c r="AO130" s="1301">
        <v>3815676</v>
      </c>
      <c r="AP130" s="1301">
        <v>4152419</v>
      </c>
      <c r="AQ130" s="1302" t="s">
        <v>459</v>
      </c>
      <c r="AR130" s="1302" t="s">
        <v>459</v>
      </c>
      <c r="AS130" s="1302" t="s">
        <v>459</v>
      </c>
      <c r="AT130" s="1302" t="s">
        <v>459</v>
      </c>
      <c r="AU130" s="1302" t="s">
        <v>459</v>
      </c>
      <c r="AV130" s="1302" t="s">
        <v>459</v>
      </c>
      <c r="AW130" s="1302" t="s">
        <v>459</v>
      </c>
      <c r="AX130" s="1301">
        <v>7936532</v>
      </c>
      <c r="AY130" s="1183"/>
    </row>
    <row r="131" spans="1:51" ht="19.149999999999999" customHeight="1" x14ac:dyDescent="0.25">
      <c r="A131" s="1189"/>
      <c r="B131" s="1018"/>
      <c r="C131" s="1018"/>
      <c r="D131" s="164" t="s">
        <v>343</v>
      </c>
      <c r="E131" s="1225"/>
      <c r="F131" s="1225"/>
      <c r="G131" s="1225">
        <f>+G11-T11</f>
        <v>627291000</v>
      </c>
      <c r="H131" s="1225">
        <f>+H11-U11</f>
        <v>481701000</v>
      </c>
      <c r="I131" s="1225">
        <f>+I11-V11</f>
        <v>481701000</v>
      </c>
      <c r="J131" s="1225"/>
      <c r="K131" s="1225"/>
      <c r="L131" s="1225"/>
      <c r="M131" s="1225"/>
      <c r="N131" s="1225"/>
      <c r="O131" s="1225"/>
      <c r="P131" s="1225"/>
      <c r="Q131" s="1225"/>
      <c r="R131" s="1225"/>
      <c r="S131" s="1023"/>
      <c r="T131" s="1020"/>
      <c r="U131" s="1225"/>
      <c r="V131" s="1023"/>
      <c r="W131" s="1023"/>
      <c r="X131" s="1023"/>
      <c r="Y131" s="1023"/>
      <c r="Z131" s="1303"/>
      <c r="AA131" s="1225"/>
      <c r="AB131" s="1225"/>
      <c r="AC131" s="1225"/>
      <c r="AD131" s="1059"/>
      <c r="AE131" s="1225"/>
      <c r="AF131" s="1297"/>
      <c r="AG131" s="1218"/>
      <c r="AH131" s="1219"/>
      <c r="AI131" s="1219"/>
      <c r="AJ131" s="1219"/>
      <c r="AK131" s="1219"/>
      <c r="AL131" s="1219"/>
      <c r="AM131" s="1219"/>
      <c r="AN131" s="1219"/>
      <c r="AO131" s="1219"/>
      <c r="AP131" s="1219"/>
      <c r="AQ131" s="1219"/>
      <c r="AR131" s="1219"/>
      <c r="AS131" s="1219"/>
      <c r="AT131" s="1219"/>
      <c r="AU131" s="1219"/>
      <c r="AV131" s="1219"/>
      <c r="AW131" s="1219"/>
      <c r="AX131" s="1219"/>
      <c r="AY131" s="1183"/>
    </row>
    <row r="132" spans="1:51" ht="28.9" customHeight="1" x14ac:dyDescent="0.25">
      <c r="A132" s="1189"/>
      <c r="B132" s="1018"/>
      <c r="C132" s="1018"/>
      <c r="D132" s="165" t="s">
        <v>345</v>
      </c>
      <c r="E132" s="1225"/>
      <c r="F132" s="1225"/>
      <c r="G132" s="1225">
        <v>0</v>
      </c>
      <c r="H132" s="1225">
        <v>0</v>
      </c>
      <c r="I132" s="1225">
        <v>0</v>
      </c>
      <c r="J132" s="1225"/>
      <c r="K132" s="1225"/>
      <c r="L132" s="1225"/>
      <c r="M132" s="1023"/>
      <c r="N132" s="1225"/>
      <c r="O132" s="1225"/>
      <c r="P132" s="1225"/>
      <c r="Q132" s="1225"/>
      <c r="R132" s="1225"/>
      <c r="S132" s="1023"/>
      <c r="T132" s="1020"/>
      <c r="U132" s="1023"/>
      <c r="V132" s="1023"/>
      <c r="W132" s="1023"/>
      <c r="X132" s="1023"/>
      <c r="Y132" s="1023"/>
      <c r="Z132" s="1023"/>
      <c r="AA132" s="1225"/>
      <c r="AB132" s="1023"/>
      <c r="AC132" s="1225"/>
      <c r="AD132" s="1059"/>
      <c r="AE132" s="1225"/>
      <c r="AF132" s="1297"/>
      <c r="AG132" s="1218"/>
      <c r="AH132" s="1219"/>
      <c r="AI132" s="1219"/>
      <c r="AJ132" s="1219"/>
      <c r="AK132" s="1219"/>
      <c r="AL132" s="1219"/>
      <c r="AM132" s="1219"/>
      <c r="AN132" s="1219"/>
      <c r="AO132" s="1219"/>
      <c r="AP132" s="1219"/>
      <c r="AQ132" s="1219"/>
      <c r="AR132" s="1219"/>
      <c r="AS132" s="1219"/>
      <c r="AT132" s="1219"/>
      <c r="AU132" s="1219"/>
      <c r="AV132" s="1219"/>
      <c r="AW132" s="1219"/>
      <c r="AX132" s="1219"/>
      <c r="AY132" s="1183"/>
    </row>
    <row r="133" spans="1:51" ht="28.9" customHeight="1" x14ac:dyDescent="0.25">
      <c r="A133" s="1189"/>
      <c r="B133" s="1018"/>
      <c r="C133" s="1018"/>
      <c r="D133" s="164" t="s">
        <v>346</v>
      </c>
      <c r="E133" s="1225"/>
      <c r="F133" s="1225"/>
      <c r="G133" s="1225">
        <f>+G13-T13</f>
        <v>74107390</v>
      </c>
      <c r="H133" s="1225">
        <f>+H13-U13</f>
        <v>10690472</v>
      </c>
      <c r="I133" s="1225">
        <f>+I13-V13</f>
        <v>4338790</v>
      </c>
      <c r="J133" s="1020"/>
      <c r="K133" s="1020"/>
      <c r="L133" s="1020"/>
      <c r="M133" s="1020"/>
      <c r="N133" s="1020"/>
      <c r="O133" s="1020"/>
      <c r="P133" s="1020"/>
      <c r="Q133" s="1020"/>
      <c r="R133" s="1020"/>
      <c r="S133" s="1023"/>
      <c r="T133" s="1020"/>
      <c r="U133" s="1023"/>
      <c r="V133" s="1023"/>
      <c r="W133" s="1023"/>
      <c r="X133" s="1023"/>
      <c r="Y133" s="1023"/>
      <c r="Z133" s="1023"/>
      <c r="AA133" s="1225"/>
      <c r="AB133" s="1023"/>
      <c r="AC133" s="1225"/>
      <c r="AD133" s="1059"/>
      <c r="AE133" s="1020"/>
      <c r="AF133" s="1297"/>
      <c r="AG133" s="1218"/>
      <c r="AH133" s="1219"/>
      <c r="AI133" s="1219"/>
      <c r="AJ133" s="1219"/>
      <c r="AK133" s="1219"/>
      <c r="AL133" s="1219"/>
      <c r="AM133" s="1219"/>
      <c r="AN133" s="1219"/>
      <c r="AO133" s="1219"/>
      <c r="AP133" s="1219"/>
      <c r="AQ133" s="1219"/>
      <c r="AR133" s="1219"/>
      <c r="AS133" s="1219"/>
      <c r="AT133" s="1219"/>
      <c r="AU133" s="1219"/>
      <c r="AV133" s="1219"/>
      <c r="AW133" s="1219"/>
      <c r="AX133" s="1219"/>
      <c r="AY133" s="1183"/>
    </row>
    <row r="134" spans="1:51" ht="28.9" customHeight="1" x14ac:dyDescent="0.25">
      <c r="A134" s="1189"/>
      <c r="B134" s="1018"/>
      <c r="C134" s="1018"/>
      <c r="D134" s="165" t="s">
        <v>347</v>
      </c>
      <c r="E134" s="1225"/>
      <c r="F134" s="1225"/>
      <c r="G134" s="1225">
        <f>+G130+G132</f>
        <v>69</v>
      </c>
      <c r="H134" s="1225">
        <f t="shared" ref="H134:I134" si="7">+H130+H132</f>
        <v>55</v>
      </c>
      <c r="I134" s="1225">
        <f t="shared" si="7"/>
        <v>41</v>
      </c>
      <c r="J134" s="1225"/>
      <c r="K134" s="1225"/>
      <c r="L134" s="1225"/>
      <c r="M134" s="1023"/>
      <c r="N134" s="1225"/>
      <c r="O134" s="1225"/>
      <c r="P134" s="1225"/>
      <c r="Q134" s="1225"/>
      <c r="R134" s="1225"/>
      <c r="S134" s="1023"/>
      <c r="T134" s="1020"/>
      <c r="U134" s="1023"/>
      <c r="V134" s="1023"/>
      <c r="W134" s="1023"/>
      <c r="X134" s="1023"/>
      <c r="Y134" s="1023"/>
      <c r="Z134" s="1023"/>
      <c r="AA134" s="1225"/>
      <c r="AB134" s="1225"/>
      <c r="AC134" s="1225"/>
      <c r="AD134" s="1059"/>
      <c r="AE134" s="1225"/>
      <c r="AF134" s="1297"/>
      <c r="AG134" s="1218"/>
      <c r="AH134" s="1219"/>
      <c r="AI134" s="1219"/>
      <c r="AJ134" s="1219"/>
      <c r="AK134" s="1219"/>
      <c r="AL134" s="1219"/>
      <c r="AM134" s="1219"/>
      <c r="AN134" s="1219"/>
      <c r="AO134" s="1219"/>
      <c r="AP134" s="1219"/>
      <c r="AQ134" s="1219"/>
      <c r="AR134" s="1219"/>
      <c r="AS134" s="1219"/>
      <c r="AT134" s="1219"/>
      <c r="AU134" s="1219"/>
      <c r="AV134" s="1219"/>
      <c r="AW134" s="1219"/>
      <c r="AX134" s="1219"/>
      <c r="AY134" s="1183"/>
    </row>
    <row r="135" spans="1:51" ht="28.9" customHeight="1" x14ac:dyDescent="0.25">
      <c r="A135" s="1189"/>
      <c r="B135" s="1018"/>
      <c r="C135" s="1048"/>
      <c r="D135" s="164" t="s">
        <v>348</v>
      </c>
      <c r="E135" s="1225"/>
      <c r="F135" s="1225"/>
      <c r="G135" s="1225">
        <f>+G131+G133</f>
        <v>701398390</v>
      </c>
      <c r="H135" s="1225">
        <f>+H131+H133</f>
        <v>492391472</v>
      </c>
      <c r="I135" s="1225">
        <f>+I131+I133</f>
        <v>486039790</v>
      </c>
      <c r="J135" s="1225"/>
      <c r="K135" s="1225"/>
      <c r="L135" s="1225"/>
      <c r="M135" s="1225"/>
      <c r="N135" s="1225"/>
      <c r="O135" s="1225"/>
      <c r="P135" s="1225"/>
      <c r="Q135" s="1225"/>
      <c r="R135" s="1225"/>
      <c r="S135" s="1023"/>
      <c r="T135" s="1020"/>
      <c r="U135" s="1225"/>
      <c r="V135" s="1023"/>
      <c r="W135" s="1023"/>
      <c r="X135" s="1023"/>
      <c r="Y135" s="1023"/>
      <c r="Z135" s="1023"/>
      <c r="AA135" s="1225"/>
      <c r="AB135" s="1225"/>
      <c r="AC135" s="1225"/>
      <c r="AD135" s="1059"/>
      <c r="AE135" s="1225"/>
      <c r="AF135" s="1297"/>
      <c r="AG135" s="1220"/>
      <c r="AH135" s="1221"/>
      <c r="AI135" s="1221"/>
      <c r="AJ135" s="1221"/>
      <c r="AK135" s="1221"/>
      <c r="AL135" s="1221"/>
      <c r="AM135" s="1221"/>
      <c r="AN135" s="1221"/>
      <c r="AO135" s="1221"/>
      <c r="AP135" s="1221"/>
      <c r="AQ135" s="1221"/>
      <c r="AR135" s="1221"/>
      <c r="AS135" s="1221"/>
      <c r="AT135" s="1221"/>
      <c r="AU135" s="1221"/>
      <c r="AV135" s="1221"/>
      <c r="AW135" s="1221"/>
      <c r="AX135" s="1221"/>
      <c r="AY135" s="1183"/>
    </row>
    <row r="136" spans="1:51" ht="27" customHeight="1" x14ac:dyDescent="0.25">
      <c r="A136" s="1189"/>
      <c r="B136" s="1018"/>
      <c r="C136" s="1217" t="s">
        <v>512</v>
      </c>
      <c r="D136" s="161" t="s">
        <v>340</v>
      </c>
      <c r="E136" s="1225">
        <f t="shared" ref="E136:F141" si="8">+E10</f>
        <v>81</v>
      </c>
      <c r="F136" s="1225">
        <f t="shared" si="8"/>
        <v>81</v>
      </c>
      <c r="G136" s="1225">
        <f t="shared" ref="G136:M136" si="9">+G16+G28+G34+G40+G46+G52+G58+G64+G70+G76+G82+G88+G94+G100+G106+G112+G118+G124+G130</f>
        <v>81</v>
      </c>
      <c r="H136" s="1225">
        <f t="shared" si="9"/>
        <v>81</v>
      </c>
      <c r="I136" s="1225">
        <f t="shared" si="9"/>
        <v>81</v>
      </c>
      <c r="J136" s="1225"/>
      <c r="K136" s="1225"/>
      <c r="L136" s="1225"/>
      <c r="M136" s="1225"/>
      <c r="N136" s="1225"/>
      <c r="O136" s="1225"/>
      <c r="P136" s="1225"/>
      <c r="Q136" s="1225"/>
      <c r="R136" s="1225"/>
      <c r="S136" s="1023"/>
      <c r="T136" s="1225">
        <f>+T16+T28+T34+T40+T46+T52+T58+T64+T70+T76+T82+T88+T94+T100+T106+T112+T118+T124+T130</f>
        <v>12</v>
      </c>
      <c r="U136" s="1225">
        <f>+U16+U22+U28+U34+U40+U46+U52+U58+U64+U70+U76+U82+U88+U94+U100+U106+U112+U118+U124+U130</f>
        <v>26</v>
      </c>
      <c r="V136" s="1225">
        <f>+V16+V22+V28+V34+V40+V46+V52+V58+V64+V70+V76+V82+V88+V94+V100+V106+V112+V118+V124+V130</f>
        <v>40</v>
      </c>
      <c r="W136" s="1225"/>
      <c r="X136" s="1225">
        <f>+X16+X22+X28+X34+X40+X46+X52+X58+X64+X70+X76+X82+X88+X94+X100+X106+X112+X118+X124+X130</f>
        <v>0</v>
      </c>
      <c r="Y136" s="1225">
        <f>+Y16+Y22+Y28+Y34+Y40+Y46+Y52+Y58+Y64+Y70+Y76+Y82+Y88+Y94+Y100+Y106+Y112+Y118+Y124+Y130</f>
        <v>0</v>
      </c>
      <c r="Z136" s="1225">
        <f t="shared" ref="Z136:AE136" si="10">+Z16+Z22+Z28+Z34+Z40+Z46+Z52+Z58+Z64+Z70+Z76+Z82+Z88+Z94+Z100+Z106+Z112+Z118+Z124+Z130</f>
        <v>0</v>
      </c>
      <c r="AA136" s="1225">
        <f t="shared" si="10"/>
        <v>0</v>
      </c>
      <c r="AB136" s="1225">
        <f t="shared" si="10"/>
        <v>0</v>
      </c>
      <c r="AC136" s="1225">
        <f t="shared" si="10"/>
        <v>0</v>
      </c>
      <c r="AD136" s="1225">
        <f t="shared" si="10"/>
        <v>0</v>
      </c>
      <c r="AE136" s="1225">
        <f t="shared" si="10"/>
        <v>0</v>
      </c>
      <c r="AF136" s="1297"/>
      <c r="AG136" s="1298" t="s">
        <v>456</v>
      </c>
      <c r="AH136" s="1299" t="s">
        <v>178</v>
      </c>
      <c r="AI136" s="1299" t="s">
        <v>178</v>
      </c>
      <c r="AJ136" s="1299" t="s">
        <v>178</v>
      </c>
      <c r="AK136" s="1299" t="s">
        <v>457</v>
      </c>
      <c r="AL136" s="1299" t="s">
        <v>178</v>
      </c>
      <c r="AM136" s="1299" t="s">
        <v>458</v>
      </c>
      <c r="AN136" s="1301">
        <v>7968095</v>
      </c>
      <c r="AO136" s="1301">
        <v>3815676</v>
      </c>
      <c r="AP136" s="1301">
        <v>4152419</v>
      </c>
      <c r="AQ136" s="1302" t="s">
        <v>459</v>
      </c>
      <c r="AR136" s="1302" t="s">
        <v>459</v>
      </c>
      <c r="AS136" s="1302" t="s">
        <v>459</v>
      </c>
      <c r="AT136" s="1302" t="s">
        <v>459</v>
      </c>
      <c r="AU136" s="1302" t="s">
        <v>459</v>
      </c>
      <c r="AV136" s="1302" t="s">
        <v>459</v>
      </c>
      <c r="AW136" s="1302" t="s">
        <v>459</v>
      </c>
      <c r="AX136" s="1301">
        <v>7936532</v>
      </c>
      <c r="AY136" s="1183"/>
    </row>
    <row r="137" spans="1:51" ht="27" customHeight="1" x14ac:dyDescent="0.25">
      <c r="A137" s="1189"/>
      <c r="B137" s="1018"/>
      <c r="C137" s="1018"/>
      <c r="D137" s="164" t="s">
        <v>343</v>
      </c>
      <c r="E137" s="1225">
        <f t="shared" si="8"/>
        <v>689277000</v>
      </c>
      <c r="F137" s="1225">
        <f t="shared" si="8"/>
        <v>689277000</v>
      </c>
      <c r="G137" s="1225">
        <f t="shared" ref="G137:L137" si="11">+G17+G23+G29+G35+G41+G47+G53+G59+G65+G71+G77+G83+G89+G95+G101+G107+G113+G119+G125+G131</f>
        <v>689277000</v>
      </c>
      <c r="H137" s="1225">
        <f t="shared" si="11"/>
        <v>689277000</v>
      </c>
      <c r="I137" s="1225">
        <f t="shared" ref="I137:I141" si="12">+I17+I29+I35+I41+I47+I53+I59+I65+I71+I77+I83+I89+I95+I101+I107+I113+I119+I125+I131</f>
        <v>689277000</v>
      </c>
      <c r="J137" s="1225"/>
      <c r="K137" s="1225"/>
      <c r="L137" s="1225"/>
      <c r="M137" s="1225"/>
      <c r="N137" s="1225"/>
      <c r="O137" s="1225"/>
      <c r="P137" s="1225"/>
      <c r="Q137" s="1225"/>
      <c r="R137" s="1225"/>
      <c r="S137" s="1023"/>
      <c r="T137" s="1225">
        <f t="shared" ref="T137:Y137" si="13">+T17+T23+T29+T35+T41+T47+T53+T59+T65+T71+T77+T83+T89+T95+T101+T107+T113+T119+T125+T131</f>
        <v>61986000</v>
      </c>
      <c r="U137" s="1225">
        <f t="shared" si="13"/>
        <v>207576000</v>
      </c>
      <c r="V137" s="1225">
        <f t="shared" si="13"/>
        <v>207576000</v>
      </c>
      <c r="W137" s="1225"/>
      <c r="X137" s="1225">
        <f t="shared" si="13"/>
        <v>0</v>
      </c>
      <c r="Y137" s="1225">
        <f t="shared" si="13"/>
        <v>0</v>
      </c>
      <c r="Z137" s="1225">
        <f t="shared" ref="Z137:AE137" si="14">+Z17+Z23+Z29+Z35+Z41+Z47+Z53+Z59+Z65+Z71+Z77+Z83+Z89+Z95+Z101+Z107+Z113+Z119+Z125+Z131</f>
        <v>0</v>
      </c>
      <c r="AA137" s="1225">
        <f t="shared" si="14"/>
        <v>0</v>
      </c>
      <c r="AB137" s="1225">
        <f t="shared" si="14"/>
        <v>0</v>
      </c>
      <c r="AC137" s="1225">
        <f t="shared" si="14"/>
        <v>0</v>
      </c>
      <c r="AD137" s="1225">
        <f t="shared" si="14"/>
        <v>0</v>
      </c>
      <c r="AE137" s="1225">
        <f t="shared" si="14"/>
        <v>0</v>
      </c>
      <c r="AF137" s="1297"/>
      <c r="AG137" s="1218"/>
      <c r="AH137" s="1219"/>
      <c r="AI137" s="1219"/>
      <c r="AJ137" s="1219"/>
      <c r="AK137" s="1219"/>
      <c r="AL137" s="1219"/>
      <c r="AM137" s="1219"/>
      <c r="AN137" s="1219"/>
      <c r="AO137" s="1219"/>
      <c r="AP137" s="1219"/>
      <c r="AQ137" s="1219"/>
      <c r="AR137" s="1219"/>
      <c r="AS137" s="1219"/>
      <c r="AT137" s="1219"/>
      <c r="AU137" s="1219"/>
      <c r="AV137" s="1219"/>
      <c r="AW137" s="1219"/>
      <c r="AX137" s="1219"/>
      <c r="AY137" s="1183"/>
    </row>
    <row r="138" spans="1:51" ht="28.9" customHeight="1" x14ac:dyDescent="0.25">
      <c r="A138" s="1189"/>
      <c r="B138" s="1018"/>
      <c r="C138" s="1018"/>
      <c r="D138" s="165" t="s">
        <v>345</v>
      </c>
      <c r="E138" s="1225">
        <f t="shared" si="8"/>
        <v>5</v>
      </c>
      <c r="F138" s="1225">
        <f t="shared" si="8"/>
        <v>5</v>
      </c>
      <c r="G138" s="1225">
        <f>+G18+G30+G36+G42+G48+G54+G60+G66+G72+G78+G84+G90+G96+G102+G108+G114+G120+G126+G132</f>
        <v>5</v>
      </c>
      <c r="H138" s="1225">
        <f>+H18+H30+H36+H42+H48+H54+H60+H66+H72+H78+H84+H90+H96+H102+H108+H114+H120+H126+H132</f>
        <v>5</v>
      </c>
      <c r="I138" s="1225">
        <f t="shared" si="12"/>
        <v>5</v>
      </c>
      <c r="J138" s="1225"/>
      <c r="K138" s="1225"/>
      <c r="L138" s="1225"/>
      <c r="M138" s="1225"/>
      <c r="N138" s="1225"/>
      <c r="O138" s="1225"/>
      <c r="P138" s="1225"/>
      <c r="Q138" s="1225"/>
      <c r="R138" s="1225"/>
      <c r="S138" s="1023"/>
      <c r="T138" s="1225">
        <f t="shared" ref="T138:Y138" si="15">+T18+T24+T30+T36+T42+T48+T54+T60+T66+T72+T78+T84+T90+T96+T102+T108+T114+T120+T126+T132</f>
        <v>5</v>
      </c>
      <c r="U138" s="1225">
        <f t="shared" si="15"/>
        <v>5</v>
      </c>
      <c r="V138" s="1225">
        <f t="shared" si="15"/>
        <v>5</v>
      </c>
      <c r="W138" s="1225"/>
      <c r="X138" s="1225">
        <f t="shared" si="15"/>
        <v>0</v>
      </c>
      <c r="Y138" s="1225">
        <f t="shared" si="15"/>
        <v>0</v>
      </c>
      <c r="Z138" s="1225">
        <f t="shared" ref="Z138:AE138" si="16">+Z18+Z24+Z30+Z36+Z42+Z48+Z54+Z60+Z66+Z72+Z78+Z84+Z90+Z96+Z102+Z108+Z114+Z120+Z126+Z132</f>
        <v>0</v>
      </c>
      <c r="AA138" s="1225">
        <f t="shared" si="16"/>
        <v>0</v>
      </c>
      <c r="AB138" s="1225">
        <f t="shared" si="16"/>
        <v>0</v>
      </c>
      <c r="AC138" s="1225">
        <f t="shared" si="16"/>
        <v>0</v>
      </c>
      <c r="AD138" s="1225">
        <f t="shared" si="16"/>
        <v>0</v>
      </c>
      <c r="AE138" s="1225">
        <f t="shared" si="16"/>
        <v>0</v>
      </c>
      <c r="AF138" s="1297"/>
      <c r="AG138" s="1218"/>
      <c r="AH138" s="1219"/>
      <c r="AI138" s="1219"/>
      <c r="AJ138" s="1219"/>
      <c r="AK138" s="1219"/>
      <c r="AL138" s="1219"/>
      <c r="AM138" s="1219"/>
      <c r="AN138" s="1219"/>
      <c r="AO138" s="1219"/>
      <c r="AP138" s="1219"/>
      <c r="AQ138" s="1219"/>
      <c r="AR138" s="1219"/>
      <c r="AS138" s="1219"/>
      <c r="AT138" s="1219"/>
      <c r="AU138" s="1219"/>
      <c r="AV138" s="1219"/>
      <c r="AW138" s="1219"/>
      <c r="AX138" s="1219"/>
      <c r="AY138" s="1183"/>
    </row>
    <row r="139" spans="1:51" ht="28.9" customHeight="1" x14ac:dyDescent="0.25">
      <c r="A139" s="1189"/>
      <c r="B139" s="1018"/>
      <c r="C139" s="1018"/>
      <c r="D139" s="164" t="s">
        <v>346</v>
      </c>
      <c r="E139" s="1225">
        <f t="shared" si="8"/>
        <v>125673233</v>
      </c>
      <c r="F139" s="1225">
        <f t="shared" si="8"/>
        <v>125673233</v>
      </c>
      <c r="G139" s="1225">
        <f t="shared" ref="G138:L140" si="17">+G19+G31+G37+G43+G49+G55+G61+G67+G73+G79+G85+G91+G97+G103+G109+G115+G121+G127+G133</f>
        <v>125673233</v>
      </c>
      <c r="H139" s="1225">
        <f t="shared" si="17"/>
        <v>125673233</v>
      </c>
      <c r="I139" s="1225">
        <f t="shared" si="12"/>
        <v>125673233</v>
      </c>
      <c r="J139" s="1225"/>
      <c r="K139" s="1225"/>
      <c r="L139" s="1225"/>
      <c r="M139" s="1225"/>
      <c r="N139" s="1225"/>
      <c r="O139" s="1225"/>
      <c r="P139" s="1225"/>
      <c r="Q139" s="1225"/>
      <c r="R139" s="1225"/>
      <c r="S139" s="1023"/>
      <c r="T139" s="1225">
        <f t="shared" ref="T139:Y139" si="18">+T19+T25+T31+T37+T43+T49+T55+T61+T67+T73+T79+T85+T91+T97+T103+T109+T115+T121+T127+T133</f>
        <v>51565843</v>
      </c>
      <c r="U139" s="1225">
        <f t="shared" si="18"/>
        <v>114982761</v>
      </c>
      <c r="V139" s="1225">
        <f t="shared" si="18"/>
        <v>121334443</v>
      </c>
      <c r="W139" s="1225"/>
      <c r="X139" s="1225">
        <f t="shared" si="18"/>
        <v>0</v>
      </c>
      <c r="Y139" s="1225">
        <f t="shared" si="18"/>
        <v>0</v>
      </c>
      <c r="Z139" s="1225">
        <f t="shared" ref="Z139:AE139" si="19">+Z19+Z25+Z31+Z37+Z43+Z49+Z55+Z61+Z67+Z73+Z79+Z85+Z91+Z97+Z103+Z109+Z115+Z121+Z127+Z133</f>
        <v>0</v>
      </c>
      <c r="AA139" s="1225">
        <f t="shared" si="19"/>
        <v>0</v>
      </c>
      <c r="AB139" s="1225">
        <f t="shared" si="19"/>
        <v>0</v>
      </c>
      <c r="AC139" s="1225">
        <f t="shared" si="19"/>
        <v>0</v>
      </c>
      <c r="AD139" s="1225">
        <f t="shared" si="19"/>
        <v>0</v>
      </c>
      <c r="AE139" s="1225">
        <f t="shared" si="19"/>
        <v>0</v>
      </c>
      <c r="AF139" s="1297"/>
      <c r="AG139" s="1218"/>
      <c r="AH139" s="1219"/>
      <c r="AI139" s="1219"/>
      <c r="AJ139" s="1219"/>
      <c r="AK139" s="1219"/>
      <c r="AL139" s="1219"/>
      <c r="AM139" s="1219"/>
      <c r="AN139" s="1219"/>
      <c r="AO139" s="1219"/>
      <c r="AP139" s="1219"/>
      <c r="AQ139" s="1219"/>
      <c r="AR139" s="1219"/>
      <c r="AS139" s="1219"/>
      <c r="AT139" s="1219"/>
      <c r="AU139" s="1219"/>
      <c r="AV139" s="1219"/>
      <c r="AW139" s="1219"/>
      <c r="AX139" s="1219"/>
      <c r="AY139" s="1183"/>
    </row>
    <row r="140" spans="1:51" ht="28.9" customHeight="1" x14ac:dyDescent="0.25">
      <c r="A140" s="1189"/>
      <c r="B140" s="1018"/>
      <c r="C140" s="1018"/>
      <c r="D140" s="165" t="s">
        <v>347</v>
      </c>
      <c r="E140" s="1225">
        <f t="shared" si="8"/>
        <v>86</v>
      </c>
      <c r="F140" s="1225">
        <f t="shared" si="8"/>
        <v>81</v>
      </c>
      <c r="G140" s="1225">
        <f t="shared" si="17"/>
        <v>86</v>
      </c>
      <c r="H140" s="1225">
        <f t="shared" si="17"/>
        <v>86</v>
      </c>
      <c r="I140" s="1225">
        <f t="shared" si="17"/>
        <v>86</v>
      </c>
      <c r="J140" s="1225"/>
      <c r="K140" s="1225"/>
      <c r="L140" s="1225"/>
      <c r="M140" s="1225"/>
      <c r="N140" s="1225"/>
      <c r="O140" s="1225"/>
      <c r="P140" s="1225"/>
      <c r="Q140" s="1225"/>
      <c r="R140" s="1225"/>
      <c r="S140" s="1023"/>
      <c r="T140" s="1225">
        <f t="shared" ref="T140:Y140" si="20">+T20+T26+T32+T38+T44+T50+T56+T62+T68+T74+T80+T86+T92+T98+T104+T110+T116+T122+T128+T134</f>
        <v>17</v>
      </c>
      <c r="U140" s="1225">
        <f>+U20+U26+U32+U38+U44+U50+U56+U62+U68+U74+U80+U86+U92+U98+U104+U110+U116+U122+U128+U134</f>
        <v>31</v>
      </c>
      <c r="V140" s="1225">
        <f t="shared" si="20"/>
        <v>45</v>
      </c>
      <c r="W140" s="1225"/>
      <c r="X140" s="1225">
        <f t="shared" si="20"/>
        <v>0</v>
      </c>
      <c r="Y140" s="1225">
        <f t="shared" si="20"/>
        <v>0</v>
      </c>
      <c r="Z140" s="1225">
        <f t="shared" ref="Z140:AE140" si="21">+Z20+Z26+Z32+Z38+Z44+Z50+Z56+Z62+Z68+Z74+Z80+Z86+Z92+Z98+Z104+Z110+Z116+Z122+Z128+Z134</f>
        <v>0</v>
      </c>
      <c r="AA140" s="1225">
        <f t="shared" si="21"/>
        <v>0</v>
      </c>
      <c r="AB140" s="1225">
        <f t="shared" si="21"/>
        <v>0</v>
      </c>
      <c r="AC140" s="1225">
        <f t="shared" si="21"/>
        <v>0</v>
      </c>
      <c r="AD140" s="1225">
        <f t="shared" si="21"/>
        <v>0</v>
      </c>
      <c r="AE140" s="1225">
        <f t="shared" si="21"/>
        <v>0</v>
      </c>
      <c r="AF140" s="1297"/>
      <c r="AG140" s="1218"/>
      <c r="AH140" s="1219"/>
      <c r="AI140" s="1219"/>
      <c r="AJ140" s="1219"/>
      <c r="AK140" s="1219"/>
      <c r="AL140" s="1219"/>
      <c r="AM140" s="1219"/>
      <c r="AN140" s="1219"/>
      <c r="AO140" s="1219"/>
      <c r="AP140" s="1219"/>
      <c r="AQ140" s="1219"/>
      <c r="AR140" s="1219"/>
      <c r="AS140" s="1219"/>
      <c r="AT140" s="1219"/>
      <c r="AU140" s="1219"/>
      <c r="AV140" s="1219"/>
      <c r="AW140" s="1219"/>
      <c r="AX140" s="1219"/>
      <c r="AY140" s="1183"/>
    </row>
    <row r="141" spans="1:51" ht="28.9" customHeight="1" thickBot="1" x14ac:dyDescent="0.3">
      <c r="A141" s="1190"/>
      <c r="B141" s="1376"/>
      <c r="C141" s="1048"/>
      <c r="D141" s="164" t="s">
        <v>348</v>
      </c>
      <c r="E141" s="1225">
        <f t="shared" si="8"/>
        <v>814950233</v>
      </c>
      <c r="F141" s="1225">
        <f t="shared" si="8"/>
        <v>689277000</v>
      </c>
      <c r="G141" s="1225">
        <f t="shared" ref="G141:L141" si="22">+G21+G27+G33+G39+G45+G51+G57+G63+G69+G75+G81+G87+G93+G99+G105+G111+G117+G123+G129+G135</f>
        <v>814950233</v>
      </c>
      <c r="H141" s="1225">
        <f t="shared" si="22"/>
        <v>814950233</v>
      </c>
      <c r="I141" s="1225">
        <f t="shared" si="12"/>
        <v>814950233</v>
      </c>
      <c r="J141" s="1225"/>
      <c r="K141" s="1225"/>
      <c r="L141" s="1225"/>
      <c r="M141" s="1225"/>
      <c r="N141" s="1225"/>
      <c r="O141" s="1225"/>
      <c r="P141" s="1225"/>
      <c r="Q141" s="1225"/>
      <c r="R141" s="1225"/>
      <c r="S141" s="1023"/>
      <c r="T141" s="1225">
        <f>+T21+T27+T33+T39+T45+T51+T57+T63+T69+T75+T81+T87+T93+T99+T105+T111+T117+T123+T129+T135</f>
        <v>113551843</v>
      </c>
      <c r="U141" s="1225">
        <f>+U21+U27+U33+U39+U45+U51+U57+U63+U69+U75+U81+U87+U93+U99+U105+U111+U117+U123+U129+U135</f>
        <v>322558761</v>
      </c>
      <c r="V141" s="1225">
        <f>+V21+V27+V33+V39+V45+V51+V57+V63+V69+V75+V81+V87+V93+V99+V105+V111+V117+V123+V129+V135</f>
        <v>328910443</v>
      </c>
      <c r="W141" s="1225"/>
      <c r="X141" s="1225">
        <f>+X21+X27+X33+X39+X45+X51+X57+X63+X69+X75+X81+X87+X93+X99+X105+X111+X117+X123+X129+X135</f>
        <v>0</v>
      </c>
      <c r="Y141" s="1225">
        <f>+Y21+Y27+Y33+Y39+Y45+Y51+Y57+Y63+Y69+Y75+Y81+Y87+Y93+Y99+Y105+Y111+Y117+Y123+Y129+Y135</f>
        <v>0</v>
      </c>
      <c r="Z141" s="1225">
        <f t="shared" ref="Z141:AE141" si="23">+Z21+Z27+Z33+Z39+Z45+Z51+Z57+Z63+Z69+Z75+Z81+Z87+Z93+Z99+Z105+Z111+Z117+Z123+Z129+Z135</f>
        <v>0</v>
      </c>
      <c r="AA141" s="1225">
        <f t="shared" si="23"/>
        <v>0</v>
      </c>
      <c r="AB141" s="1225">
        <f t="shared" si="23"/>
        <v>0</v>
      </c>
      <c r="AC141" s="1225">
        <f t="shared" si="23"/>
        <v>0</v>
      </c>
      <c r="AD141" s="1225">
        <f t="shared" si="23"/>
        <v>0</v>
      </c>
      <c r="AE141" s="1225">
        <f t="shared" si="23"/>
        <v>0</v>
      </c>
      <c r="AF141" s="1297"/>
      <c r="AG141" s="1220"/>
      <c r="AH141" s="1221"/>
      <c r="AI141" s="1221"/>
      <c r="AJ141" s="1221"/>
      <c r="AK141" s="1221"/>
      <c r="AL141" s="1221"/>
      <c r="AM141" s="1221"/>
      <c r="AN141" s="1221"/>
      <c r="AO141" s="1221"/>
      <c r="AP141" s="1221"/>
      <c r="AQ141" s="1221"/>
      <c r="AR141" s="1221"/>
      <c r="AS141" s="1221"/>
      <c r="AT141" s="1221"/>
      <c r="AU141" s="1221"/>
      <c r="AV141" s="1221"/>
      <c r="AW141" s="1221"/>
      <c r="AX141" s="1221"/>
      <c r="AY141" s="1183"/>
    </row>
    <row r="142" spans="1:51" ht="25.15" customHeight="1" x14ac:dyDescent="0.25">
      <c r="A142" s="1216">
        <v>2</v>
      </c>
      <c r="B142" s="1374" t="s">
        <v>349</v>
      </c>
      <c r="C142" s="1217" t="s">
        <v>1508</v>
      </c>
      <c r="D142" s="161" t="s">
        <v>340</v>
      </c>
      <c r="E142" s="1222">
        <f>+INVERSIÓN!DN17</f>
        <v>53</v>
      </c>
      <c r="F142" s="1222">
        <v>53</v>
      </c>
      <c r="G142" s="1222">
        <v>53</v>
      </c>
      <c r="H142" s="1222">
        <v>53</v>
      </c>
      <c r="I142" s="1222">
        <v>53</v>
      </c>
      <c r="J142" s="1222"/>
      <c r="K142" s="1222"/>
      <c r="L142" s="1222"/>
      <c r="M142" s="1222"/>
      <c r="N142" s="1006"/>
      <c r="O142" s="1222"/>
      <c r="P142" s="1222"/>
      <c r="Q142" s="1222"/>
      <c r="R142" s="1222"/>
      <c r="S142" s="1304"/>
      <c r="T142" s="1006">
        <v>7</v>
      </c>
      <c r="U142" s="1006">
        <v>17</v>
      </c>
      <c r="V142" s="1006">
        <v>27</v>
      </c>
      <c r="W142" s="1006"/>
      <c r="X142" s="1006"/>
      <c r="Y142" s="1006"/>
      <c r="Z142" s="1006"/>
      <c r="AA142" s="1006"/>
      <c r="AB142" s="1222"/>
      <c r="AC142" s="1006"/>
      <c r="AD142" s="1006"/>
      <c r="AE142" s="1222"/>
      <c r="AF142" s="1305" t="s">
        <v>1529</v>
      </c>
      <c r="AG142" s="1280" t="s">
        <v>1509</v>
      </c>
      <c r="AH142" s="1275" t="s">
        <v>178</v>
      </c>
      <c r="AI142" s="1275" t="s">
        <v>178</v>
      </c>
      <c r="AJ142" s="1275" t="s">
        <v>178</v>
      </c>
      <c r="AK142" s="1275" t="s">
        <v>457</v>
      </c>
      <c r="AL142" s="1275" t="s">
        <v>178</v>
      </c>
      <c r="AM142" s="1275" t="s">
        <v>458</v>
      </c>
      <c r="AN142" s="1277">
        <v>8371164</v>
      </c>
      <c r="AO142" s="1277">
        <v>4014958</v>
      </c>
      <c r="AP142" s="1277">
        <v>4356206</v>
      </c>
      <c r="AQ142" s="1278" t="s">
        <v>459</v>
      </c>
      <c r="AR142" s="1278" t="s">
        <v>459</v>
      </c>
      <c r="AS142" s="1278" t="s">
        <v>459</v>
      </c>
      <c r="AT142" s="1278" t="s">
        <v>459</v>
      </c>
      <c r="AU142" s="1278" t="s">
        <v>459</v>
      </c>
      <c r="AV142" s="1278" t="s">
        <v>459</v>
      </c>
      <c r="AW142" s="1278" t="s">
        <v>459</v>
      </c>
      <c r="AX142" s="1277">
        <v>8371164</v>
      </c>
      <c r="AY142" s="1183"/>
    </row>
    <row r="143" spans="1:51" ht="19.149999999999999" customHeight="1" x14ac:dyDescent="0.25">
      <c r="A143" s="1189"/>
      <c r="B143" s="1018"/>
      <c r="C143" s="1018"/>
      <c r="D143" s="164" t="s">
        <v>343</v>
      </c>
      <c r="E143" s="1222">
        <f>+INVERSIÓN!DN18</f>
        <v>387000000</v>
      </c>
      <c r="F143" s="1222">
        <v>387000000</v>
      </c>
      <c r="G143" s="1222">
        <v>387000000</v>
      </c>
      <c r="H143" s="1222">
        <v>387000000</v>
      </c>
      <c r="I143" s="1222">
        <v>387000000</v>
      </c>
      <c r="J143" s="1222"/>
      <c r="K143" s="1020"/>
      <c r="L143" s="1020"/>
      <c r="M143" s="1222"/>
      <c r="N143" s="1222"/>
      <c r="O143" s="1006"/>
      <c r="P143" s="1222"/>
      <c r="Q143" s="1222"/>
      <c r="R143" s="1222"/>
      <c r="S143" s="1073"/>
      <c r="T143" s="1006">
        <v>8818000</v>
      </c>
      <c r="U143" s="1006">
        <v>8818000</v>
      </c>
      <c r="V143" s="1006">
        <v>103938000</v>
      </c>
      <c r="W143" s="1006"/>
      <c r="X143" s="1059"/>
      <c r="Y143" s="1006"/>
      <c r="Z143" s="1006"/>
      <c r="AA143" s="1006"/>
      <c r="AB143" s="1006"/>
      <c r="AC143" s="1222"/>
      <c r="AD143" s="1006"/>
      <c r="AE143" s="1222"/>
      <c r="AF143" s="1203"/>
      <c r="AG143" s="1204"/>
      <c r="AH143" s="1073"/>
      <c r="AI143" s="1073"/>
      <c r="AJ143" s="1073"/>
      <c r="AK143" s="1073"/>
      <c r="AL143" s="1073"/>
      <c r="AM143" s="1073"/>
      <c r="AN143" s="1073"/>
      <c r="AO143" s="1073"/>
      <c r="AP143" s="1073"/>
      <c r="AQ143" s="1073"/>
      <c r="AR143" s="1073"/>
      <c r="AS143" s="1073"/>
      <c r="AT143" s="1073"/>
      <c r="AU143" s="1073"/>
      <c r="AV143" s="1073"/>
      <c r="AW143" s="1073"/>
      <c r="AX143" s="1073"/>
      <c r="AY143" s="1183"/>
    </row>
    <row r="144" spans="1:51" ht="28.9" customHeight="1" x14ac:dyDescent="0.25">
      <c r="A144" s="1189"/>
      <c r="B144" s="1018"/>
      <c r="C144" s="1018"/>
      <c r="D144" s="165" t="s">
        <v>345</v>
      </c>
      <c r="E144" s="1222">
        <f>+INVERSIÓN!DN20</f>
        <v>3</v>
      </c>
      <c r="F144" s="1222">
        <v>3</v>
      </c>
      <c r="G144" s="1222">
        <v>3</v>
      </c>
      <c r="H144" s="1222">
        <v>3</v>
      </c>
      <c r="I144" s="1222">
        <v>3</v>
      </c>
      <c r="J144" s="1222"/>
      <c r="K144" s="1225"/>
      <c r="L144" s="1225"/>
      <c r="M144" s="1222"/>
      <c r="N144" s="1222"/>
      <c r="O144" s="1222"/>
      <c r="P144" s="1222"/>
      <c r="Q144" s="1222"/>
      <c r="R144" s="1222"/>
      <c r="S144" s="1073"/>
      <c r="T144" s="1006">
        <v>3</v>
      </c>
      <c r="U144" s="1006">
        <v>3</v>
      </c>
      <c r="V144" s="1006">
        <v>3</v>
      </c>
      <c r="W144" s="1006"/>
      <c r="X144" s="1006"/>
      <c r="Y144" s="1225"/>
      <c r="Z144" s="1006"/>
      <c r="AA144" s="1006"/>
      <c r="AB144" s="1006"/>
      <c r="AC144" s="1222"/>
      <c r="AD144" s="1222"/>
      <c r="AE144" s="1222"/>
      <c r="AF144" s="1203"/>
      <c r="AG144" s="1204"/>
      <c r="AH144" s="1073"/>
      <c r="AI144" s="1073"/>
      <c r="AJ144" s="1073"/>
      <c r="AK144" s="1073"/>
      <c r="AL144" s="1073"/>
      <c r="AM144" s="1073"/>
      <c r="AN144" s="1073"/>
      <c r="AO144" s="1073"/>
      <c r="AP144" s="1073"/>
      <c r="AQ144" s="1073"/>
      <c r="AR144" s="1073"/>
      <c r="AS144" s="1073"/>
      <c r="AT144" s="1073"/>
      <c r="AU144" s="1073"/>
      <c r="AV144" s="1073"/>
      <c r="AW144" s="1073"/>
      <c r="AX144" s="1073"/>
      <c r="AY144" s="1183"/>
    </row>
    <row r="145" spans="1:51" ht="28.9" customHeight="1" x14ac:dyDescent="0.25">
      <c r="A145" s="1189"/>
      <c r="B145" s="1018"/>
      <c r="C145" s="1018"/>
      <c r="D145" s="164" t="s">
        <v>346</v>
      </c>
      <c r="E145" s="1222">
        <f>+INVERSIÓN!DN21</f>
        <v>42690400</v>
      </c>
      <c r="F145" s="1222">
        <v>42690400</v>
      </c>
      <c r="G145" s="1222">
        <v>42690400</v>
      </c>
      <c r="H145" s="1222">
        <v>42690400</v>
      </c>
      <c r="I145" s="1222">
        <v>42690400</v>
      </c>
      <c r="J145" s="1222"/>
      <c r="K145" s="1225"/>
      <c r="L145" s="1225"/>
      <c r="M145" s="1225"/>
      <c r="N145" s="1225"/>
      <c r="O145" s="1225"/>
      <c r="P145" s="1225"/>
      <c r="Q145" s="1225"/>
      <c r="R145" s="1225"/>
      <c r="S145" s="1073"/>
      <c r="T145" s="1006">
        <v>13227000</v>
      </c>
      <c r="U145" s="1006">
        <v>24690400</v>
      </c>
      <c r="V145" s="1006">
        <v>24690400</v>
      </c>
      <c r="W145" s="1006"/>
      <c r="X145" s="1006"/>
      <c r="Y145" s="1225"/>
      <c r="Z145" s="1006"/>
      <c r="AA145" s="1006"/>
      <c r="AB145" s="1006"/>
      <c r="AC145" s="1225"/>
      <c r="AD145" s="1225"/>
      <c r="AE145" s="1225"/>
      <c r="AF145" s="1203"/>
      <c r="AG145" s="1204"/>
      <c r="AH145" s="1073"/>
      <c r="AI145" s="1073"/>
      <c r="AJ145" s="1073"/>
      <c r="AK145" s="1073"/>
      <c r="AL145" s="1073"/>
      <c r="AM145" s="1073"/>
      <c r="AN145" s="1073"/>
      <c r="AO145" s="1073"/>
      <c r="AP145" s="1073"/>
      <c r="AQ145" s="1073"/>
      <c r="AR145" s="1073"/>
      <c r="AS145" s="1073"/>
      <c r="AT145" s="1073"/>
      <c r="AU145" s="1073"/>
      <c r="AV145" s="1073"/>
      <c r="AW145" s="1073"/>
      <c r="AX145" s="1073"/>
      <c r="AY145" s="1183"/>
    </row>
    <row r="146" spans="1:51" ht="28.9" customHeight="1" x14ac:dyDescent="0.25">
      <c r="A146" s="1189"/>
      <c r="B146" s="1018"/>
      <c r="C146" s="1018"/>
      <c r="D146" s="165" t="s">
        <v>347</v>
      </c>
      <c r="E146" s="1222">
        <f>+INVERSIÓN!DN22</f>
        <v>56</v>
      </c>
      <c r="F146" s="1059">
        <v>53</v>
      </c>
      <c r="G146" s="1222">
        <v>56</v>
      </c>
      <c r="H146" s="1222">
        <v>56</v>
      </c>
      <c r="I146" s="1222">
        <v>56</v>
      </c>
      <c r="J146" s="1222"/>
      <c r="K146" s="1225"/>
      <c r="L146" s="1225"/>
      <c r="M146" s="1225"/>
      <c r="N146" s="1225"/>
      <c r="O146" s="1225"/>
      <c r="P146" s="1225"/>
      <c r="Q146" s="1225"/>
      <c r="R146" s="1225"/>
      <c r="S146" s="1073"/>
      <c r="T146" s="1006">
        <f>+T142+T144</f>
        <v>10</v>
      </c>
      <c r="U146" s="1006">
        <v>20</v>
      </c>
      <c r="V146" s="1006">
        <f>+V142+V144</f>
        <v>30</v>
      </c>
      <c r="W146" s="1006"/>
      <c r="X146" s="1006"/>
      <c r="Y146" s="1225"/>
      <c r="Z146" s="1006"/>
      <c r="AA146" s="1006"/>
      <c r="AB146" s="1006"/>
      <c r="AC146" s="1225"/>
      <c r="AD146" s="1225"/>
      <c r="AE146" s="1225"/>
      <c r="AF146" s="1203"/>
      <c r="AG146" s="1204"/>
      <c r="AH146" s="1073"/>
      <c r="AI146" s="1073"/>
      <c r="AJ146" s="1073"/>
      <c r="AK146" s="1073"/>
      <c r="AL146" s="1073"/>
      <c r="AM146" s="1073"/>
      <c r="AN146" s="1073"/>
      <c r="AO146" s="1073"/>
      <c r="AP146" s="1073"/>
      <c r="AQ146" s="1073"/>
      <c r="AR146" s="1073"/>
      <c r="AS146" s="1073"/>
      <c r="AT146" s="1073"/>
      <c r="AU146" s="1073"/>
      <c r="AV146" s="1073"/>
      <c r="AW146" s="1073"/>
      <c r="AX146" s="1073"/>
      <c r="AY146" s="1183"/>
    </row>
    <row r="147" spans="1:51" ht="28.9" customHeight="1" x14ac:dyDescent="0.25">
      <c r="A147" s="1189"/>
      <c r="B147" s="1018"/>
      <c r="C147" s="1048"/>
      <c r="D147" s="164" t="s">
        <v>348</v>
      </c>
      <c r="E147" s="1222">
        <f>+INVERSIÓN!DN23</f>
        <v>429690400</v>
      </c>
      <c r="F147" s="1059">
        <v>400227000</v>
      </c>
      <c r="G147" s="1059">
        <v>400227000</v>
      </c>
      <c r="H147" s="1059">
        <v>400227000</v>
      </c>
      <c r="I147" s="1222">
        <f>+I143+I145</f>
        <v>429690400</v>
      </c>
      <c r="J147" s="1222"/>
      <c r="K147" s="1026"/>
      <c r="L147" s="1026"/>
      <c r="M147" s="1026"/>
      <c r="N147" s="1026"/>
      <c r="O147" s="1026"/>
      <c r="P147" s="1026"/>
      <c r="Q147" s="1026"/>
      <c r="R147" s="1026"/>
      <c r="S147" s="1073"/>
      <c r="T147" s="1059">
        <v>22045000</v>
      </c>
      <c r="U147" s="1006">
        <v>128628400</v>
      </c>
      <c r="V147" s="1006">
        <f>+V143+V145</f>
        <v>128628400</v>
      </c>
      <c r="W147" s="1006"/>
      <c r="X147" s="1006"/>
      <c r="Y147" s="1225"/>
      <c r="Z147" s="1026"/>
      <c r="AA147" s="1026"/>
      <c r="AB147" s="1026"/>
      <c r="AC147" s="1026"/>
      <c r="AD147" s="1026"/>
      <c r="AE147" s="1026"/>
      <c r="AF147" s="1203"/>
      <c r="AG147" s="1190"/>
      <c r="AH147" s="1076"/>
      <c r="AI147" s="1076"/>
      <c r="AJ147" s="1076"/>
      <c r="AK147" s="1076"/>
      <c r="AL147" s="1076"/>
      <c r="AM147" s="1076"/>
      <c r="AN147" s="1076"/>
      <c r="AO147" s="1076"/>
      <c r="AP147" s="1076"/>
      <c r="AQ147" s="1076"/>
      <c r="AR147" s="1076"/>
      <c r="AS147" s="1076"/>
      <c r="AT147" s="1076"/>
      <c r="AU147" s="1076"/>
      <c r="AV147" s="1076"/>
      <c r="AW147" s="1076"/>
      <c r="AX147" s="1076"/>
      <c r="AY147" s="1183"/>
    </row>
    <row r="148" spans="1:51" ht="21" customHeight="1" x14ac:dyDescent="0.25">
      <c r="A148" s="1189"/>
      <c r="B148" s="1018"/>
      <c r="C148" s="1217" t="s">
        <v>461</v>
      </c>
      <c r="D148" s="161" t="s">
        <v>340</v>
      </c>
      <c r="E148" s="1225"/>
      <c r="F148" s="1225"/>
      <c r="G148" s="1225">
        <v>1</v>
      </c>
      <c r="H148" s="1225">
        <v>1</v>
      </c>
      <c r="I148" s="1225">
        <v>2</v>
      </c>
      <c r="J148" s="1225"/>
      <c r="K148" s="1306"/>
      <c r="L148" s="1225"/>
      <c r="M148" s="1225"/>
      <c r="N148" s="1023"/>
      <c r="O148" s="1225"/>
      <c r="P148" s="1225"/>
      <c r="Q148" s="1222"/>
      <c r="R148" s="1222"/>
      <c r="S148" s="1073"/>
      <c r="T148" s="1225">
        <f>+G148</f>
        <v>1</v>
      </c>
      <c r="U148" s="1225">
        <f>+H148</f>
        <v>1</v>
      </c>
      <c r="V148" s="1225">
        <f>+I148</f>
        <v>2</v>
      </c>
      <c r="W148" s="1225"/>
      <c r="X148" s="1225"/>
      <c r="Y148" s="1225"/>
      <c r="Z148" s="1225"/>
      <c r="AA148" s="1023"/>
      <c r="AB148" s="1225"/>
      <c r="AC148" s="1225"/>
      <c r="AD148" s="1225"/>
      <c r="AE148" s="1222"/>
      <c r="AF148" s="1307" t="s">
        <v>1536</v>
      </c>
      <c r="AG148" s="1288" t="s">
        <v>462</v>
      </c>
      <c r="AH148" s="1275" t="s">
        <v>1637</v>
      </c>
      <c r="AI148" s="1275" t="s">
        <v>1638</v>
      </c>
      <c r="AJ148" s="1281" t="s">
        <v>463</v>
      </c>
      <c r="AK148" s="1275" t="s">
        <v>457</v>
      </c>
      <c r="AL148" s="1275" t="s">
        <v>514</v>
      </c>
      <c r="AM148" s="1275" t="s">
        <v>458</v>
      </c>
      <c r="AN148" s="1282">
        <v>593978</v>
      </c>
      <c r="AO148" s="1282">
        <v>272693</v>
      </c>
      <c r="AP148" s="1282">
        <v>321285</v>
      </c>
      <c r="AQ148" s="1283" t="s">
        <v>459</v>
      </c>
      <c r="AR148" s="1283" t="s">
        <v>459</v>
      </c>
      <c r="AS148" s="1283" t="s">
        <v>459</v>
      </c>
      <c r="AT148" s="1283" t="s">
        <v>459</v>
      </c>
      <c r="AU148" s="1284" t="s">
        <v>459</v>
      </c>
      <c r="AV148" s="1284" t="s">
        <v>459</v>
      </c>
      <c r="AW148" s="1284" t="s">
        <v>459</v>
      </c>
      <c r="AX148" s="1282">
        <v>593978</v>
      </c>
      <c r="AY148" s="1183"/>
    </row>
    <row r="149" spans="1:51" ht="21" customHeight="1" x14ac:dyDescent="0.25">
      <c r="A149" s="1189"/>
      <c r="B149" s="1018"/>
      <c r="C149" s="1018"/>
      <c r="D149" s="164" t="s">
        <v>343</v>
      </c>
      <c r="E149" s="1225"/>
      <c r="F149" s="1225"/>
      <c r="G149" s="1225">
        <f>+G148*$T$143/$T$142</f>
        <v>1259714.2857142857</v>
      </c>
      <c r="H149" s="1225">
        <f>+H148*$U$143/$U$142</f>
        <v>518705.8823529412</v>
      </c>
      <c r="I149" s="1225">
        <f>+I148*$V$143/$V$142</f>
        <v>7699111.111111111</v>
      </c>
      <c r="J149" s="1225"/>
      <c r="K149" s="1225"/>
      <c r="L149" s="1225"/>
      <c r="M149" s="1225"/>
      <c r="N149" s="1225"/>
      <c r="O149" s="1225"/>
      <c r="P149" s="1225"/>
      <c r="Q149" s="1225"/>
      <c r="R149" s="1225"/>
      <c r="S149" s="1073"/>
      <c r="T149" s="1225">
        <f t="shared" ref="T149:T212" si="24">+G149</f>
        <v>1259714.2857142857</v>
      </c>
      <c r="U149" s="1225">
        <f t="shared" ref="U149:U212" si="25">+H149</f>
        <v>518705.8823529412</v>
      </c>
      <c r="V149" s="1225">
        <f t="shared" ref="V149:V212" si="26">+I149</f>
        <v>7699111.111111111</v>
      </c>
      <c r="W149" s="1225"/>
      <c r="X149" s="1225"/>
      <c r="Y149" s="1225"/>
      <c r="Z149" s="1225"/>
      <c r="AA149" s="1225"/>
      <c r="AB149" s="1225"/>
      <c r="AC149" s="1225"/>
      <c r="AD149" s="1225"/>
      <c r="AE149" s="1222"/>
      <c r="AF149" s="1203"/>
      <c r="AG149" s="1208"/>
      <c r="AH149" s="1073"/>
      <c r="AI149" s="1073"/>
      <c r="AJ149" s="1285" t="s">
        <v>464</v>
      </c>
      <c r="AK149" s="1073"/>
      <c r="AL149" s="1073"/>
      <c r="AM149" s="1073"/>
      <c r="AN149" s="1073"/>
      <c r="AO149" s="1073"/>
      <c r="AP149" s="1073"/>
      <c r="AQ149" s="1073"/>
      <c r="AR149" s="1073"/>
      <c r="AS149" s="1073"/>
      <c r="AT149" s="1073"/>
      <c r="AU149" s="1073"/>
      <c r="AV149" s="1073"/>
      <c r="AW149" s="1073"/>
      <c r="AX149" s="1073"/>
      <c r="AY149" s="1183"/>
    </row>
    <row r="150" spans="1:51" ht="21" customHeight="1" x14ac:dyDescent="0.25">
      <c r="A150" s="1189"/>
      <c r="B150" s="1018"/>
      <c r="C150" s="1018"/>
      <c r="D150" s="165" t="s">
        <v>345</v>
      </c>
      <c r="E150" s="1225"/>
      <c r="F150" s="1225"/>
      <c r="G150" s="1225">
        <v>1</v>
      </c>
      <c r="H150" s="1225">
        <v>1</v>
      </c>
      <c r="I150" s="1225">
        <v>1</v>
      </c>
      <c r="J150" s="1225"/>
      <c r="K150" s="1306"/>
      <c r="L150" s="1225"/>
      <c r="M150" s="1225"/>
      <c r="N150" s="1023"/>
      <c r="O150" s="1225"/>
      <c r="P150" s="1225"/>
      <c r="Q150" s="1222"/>
      <c r="R150" s="1222"/>
      <c r="S150" s="1073"/>
      <c r="T150" s="1225">
        <f t="shared" si="24"/>
        <v>1</v>
      </c>
      <c r="U150" s="1225">
        <f t="shared" si="25"/>
        <v>1</v>
      </c>
      <c r="V150" s="1225">
        <f t="shared" si="26"/>
        <v>1</v>
      </c>
      <c r="W150" s="1225"/>
      <c r="X150" s="1225"/>
      <c r="Y150" s="1225"/>
      <c r="Z150" s="1225"/>
      <c r="AA150" s="1023"/>
      <c r="AB150" s="1225"/>
      <c r="AC150" s="1225"/>
      <c r="AD150" s="1225"/>
      <c r="AE150" s="1222"/>
      <c r="AF150" s="1203"/>
      <c r="AG150" s="1208"/>
      <c r="AH150" s="1073"/>
      <c r="AI150" s="1073"/>
      <c r="AJ150" s="1285" t="s">
        <v>1476</v>
      </c>
      <c r="AK150" s="1073"/>
      <c r="AL150" s="1073"/>
      <c r="AM150" s="1073"/>
      <c r="AN150" s="1073"/>
      <c r="AO150" s="1073"/>
      <c r="AP150" s="1073"/>
      <c r="AQ150" s="1073"/>
      <c r="AR150" s="1073"/>
      <c r="AS150" s="1073"/>
      <c r="AT150" s="1073"/>
      <c r="AU150" s="1073"/>
      <c r="AV150" s="1073"/>
      <c r="AW150" s="1073"/>
      <c r="AX150" s="1073"/>
      <c r="AY150" s="1183"/>
    </row>
    <row r="151" spans="1:51" ht="21" customHeight="1" x14ac:dyDescent="0.25">
      <c r="A151" s="1189"/>
      <c r="B151" s="1018"/>
      <c r="C151" s="1018"/>
      <c r="D151" s="164" t="s">
        <v>346</v>
      </c>
      <c r="E151" s="1225"/>
      <c r="F151" s="1225"/>
      <c r="G151" s="1225">
        <f>+G150*$T$145/$T$144</f>
        <v>4409000</v>
      </c>
      <c r="H151" s="1225">
        <f>+H150*$U$145/$U$144</f>
        <v>8230133.333333333</v>
      </c>
      <c r="I151" s="1225">
        <f>+I150*$V$145/$V$144</f>
        <v>8230133.333333333</v>
      </c>
      <c r="J151" s="1225"/>
      <c r="K151" s="1225"/>
      <c r="L151" s="1225"/>
      <c r="M151" s="1225"/>
      <c r="N151" s="1225"/>
      <c r="O151" s="1225"/>
      <c r="P151" s="1225"/>
      <c r="Q151" s="1225"/>
      <c r="R151" s="1225"/>
      <c r="S151" s="1073"/>
      <c r="T151" s="1225">
        <f t="shared" si="24"/>
        <v>4409000</v>
      </c>
      <c r="U151" s="1225">
        <f t="shared" si="25"/>
        <v>8230133.333333333</v>
      </c>
      <c r="V151" s="1225">
        <f t="shared" si="26"/>
        <v>8230133.333333333</v>
      </c>
      <c r="W151" s="1225"/>
      <c r="X151" s="1225"/>
      <c r="Y151" s="1225"/>
      <c r="Z151" s="1225"/>
      <c r="AA151" s="1225"/>
      <c r="AB151" s="1225"/>
      <c r="AC151" s="1225"/>
      <c r="AD151" s="1225"/>
      <c r="AE151" s="1222"/>
      <c r="AF151" s="1203"/>
      <c r="AG151" s="1208"/>
      <c r="AH151" s="1073"/>
      <c r="AI151" s="1073"/>
      <c r="AJ151" s="1285" t="s">
        <v>465</v>
      </c>
      <c r="AK151" s="1073"/>
      <c r="AL151" s="1073"/>
      <c r="AM151" s="1073"/>
      <c r="AN151" s="1073"/>
      <c r="AO151" s="1073"/>
      <c r="AP151" s="1073"/>
      <c r="AQ151" s="1073"/>
      <c r="AR151" s="1073"/>
      <c r="AS151" s="1073"/>
      <c r="AT151" s="1073"/>
      <c r="AU151" s="1073"/>
      <c r="AV151" s="1073"/>
      <c r="AW151" s="1073"/>
      <c r="AX151" s="1073"/>
      <c r="AY151" s="1183"/>
    </row>
    <row r="152" spans="1:51" ht="21" customHeight="1" x14ac:dyDescent="0.25">
      <c r="A152" s="1189"/>
      <c r="B152" s="1018"/>
      <c r="C152" s="1018"/>
      <c r="D152" s="165" t="s">
        <v>347</v>
      </c>
      <c r="E152" s="1225"/>
      <c r="F152" s="1225"/>
      <c r="G152" s="1225">
        <f>+G148+G150</f>
        <v>2</v>
      </c>
      <c r="H152" s="1225">
        <f>+H148+H150</f>
        <v>2</v>
      </c>
      <c r="I152" s="1225">
        <v>3</v>
      </c>
      <c r="J152" s="1225"/>
      <c r="K152" s="1306"/>
      <c r="L152" s="1225"/>
      <c r="M152" s="1225"/>
      <c r="N152" s="1023"/>
      <c r="O152" s="1023"/>
      <c r="P152" s="1225"/>
      <c r="Q152" s="1225"/>
      <c r="R152" s="1225"/>
      <c r="S152" s="1073"/>
      <c r="T152" s="1225">
        <f t="shared" si="24"/>
        <v>2</v>
      </c>
      <c r="U152" s="1225">
        <f t="shared" si="25"/>
        <v>2</v>
      </c>
      <c r="V152" s="1225">
        <f t="shared" si="26"/>
        <v>3</v>
      </c>
      <c r="W152" s="1225"/>
      <c r="X152" s="1225"/>
      <c r="Y152" s="1225"/>
      <c r="Z152" s="1225"/>
      <c r="AA152" s="1023"/>
      <c r="AB152" s="1225"/>
      <c r="AC152" s="1225"/>
      <c r="AD152" s="1225"/>
      <c r="AE152" s="1222"/>
      <c r="AF152" s="1203"/>
      <c r="AG152" s="1208"/>
      <c r="AH152" s="1073"/>
      <c r="AI152" s="1073"/>
      <c r="AJ152" s="1205" t="s">
        <v>466</v>
      </c>
      <c r="AK152" s="1073"/>
      <c r="AL152" s="1073"/>
      <c r="AM152" s="1073"/>
      <c r="AN152" s="1073"/>
      <c r="AO152" s="1073"/>
      <c r="AP152" s="1073"/>
      <c r="AQ152" s="1073"/>
      <c r="AR152" s="1073"/>
      <c r="AS152" s="1073"/>
      <c r="AT152" s="1073"/>
      <c r="AU152" s="1073"/>
      <c r="AV152" s="1073"/>
      <c r="AW152" s="1073"/>
      <c r="AX152" s="1073"/>
      <c r="AY152" s="1183"/>
    </row>
    <row r="153" spans="1:51" ht="21" customHeight="1" x14ac:dyDescent="0.25">
      <c r="A153" s="1189"/>
      <c r="B153" s="1018"/>
      <c r="C153" s="1048"/>
      <c r="D153" s="164" t="s">
        <v>348</v>
      </c>
      <c r="E153" s="1225"/>
      <c r="F153" s="1225"/>
      <c r="G153" s="1225">
        <f>+G149+G151</f>
        <v>5668714.2857142854</v>
      </c>
      <c r="H153" s="1225">
        <f>+H149+H151</f>
        <v>8748839.2156862747</v>
      </c>
      <c r="I153" s="1225">
        <f>+I149+I151</f>
        <v>15929244.444444444</v>
      </c>
      <c r="J153" s="1225"/>
      <c r="K153" s="1225"/>
      <c r="L153" s="1225"/>
      <c r="M153" s="1225"/>
      <c r="N153" s="1225"/>
      <c r="O153" s="1225"/>
      <c r="P153" s="1225"/>
      <c r="Q153" s="1225"/>
      <c r="R153" s="1225"/>
      <c r="S153" s="1073"/>
      <c r="T153" s="1225">
        <f t="shared" si="24"/>
        <v>5668714.2857142854</v>
      </c>
      <c r="U153" s="1225">
        <f t="shared" si="25"/>
        <v>8748839.2156862747</v>
      </c>
      <c r="V153" s="1225">
        <f t="shared" si="26"/>
        <v>15929244.444444444</v>
      </c>
      <c r="W153" s="1225"/>
      <c r="X153" s="1225"/>
      <c r="Y153" s="1225"/>
      <c r="Z153" s="1225"/>
      <c r="AA153" s="1225"/>
      <c r="AB153" s="1225"/>
      <c r="AC153" s="1225"/>
      <c r="AD153" s="1225"/>
      <c r="AE153" s="1222"/>
      <c r="AF153" s="1173"/>
      <c r="AG153" s="1210"/>
      <c r="AH153" s="1076"/>
      <c r="AI153" s="1076"/>
      <c r="AJ153" s="1286" t="s">
        <v>467</v>
      </c>
      <c r="AK153" s="1076"/>
      <c r="AL153" s="1076"/>
      <c r="AM153" s="1076"/>
      <c r="AN153" s="1076"/>
      <c r="AO153" s="1076"/>
      <c r="AP153" s="1076"/>
      <c r="AQ153" s="1076"/>
      <c r="AR153" s="1076"/>
      <c r="AS153" s="1076"/>
      <c r="AT153" s="1076"/>
      <c r="AU153" s="1076"/>
      <c r="AV153" s="1076"/>
      <c r="AW153" s="1076"/>
      <c r="AX153" s="1076"/>
      <c r="AY153" s="1183"/>
    </row>
    <row r="154" spans="1:51" ht="21" customHeight="1" x14ac:dyDescent="0.25">
      <c r="A154" s="1189"/>
      <c r="B154" s="1018"/>
      <c r="C154" s="1217" t="s">
        <v>472</v>
      </c>
      <c r="D154" s="161" t="s">
        <v>340</v>
      </c>
      <c r="E154" s="1225"/>
      <c r="F154" s="1225"/>
      <c r="G154" s="1225">
        <v>1</v>
      </c>
      <c r="H154" s="1225">
        <v>2</v>
      </c>
      <c r="I154" s="1225">
        <v>2</v>
      </c>
      <c r="J154" s="1225"/>
      <c r="K154" s="1306"/>
      <c r="L154" s="1225"/>
      <c r="M154" s="1225"/>
      <c r="N154" s="1023"/>
      <c r="O154" s="1225"/>
      <c r="P154" s="1225"/>
      <c r="Q154" s="1222"/>
      <c r="R154" s="1222"/>
      <c r="S154" s="1073"/>
      <c r="T154" s="1225">
        <f t="shared" si="24"/>
        <v>1</v>
      </c>
      <c r="U154" s="1225">
        <f t="shared" si="25"/>
        <v>2</v>
      </c>
      <c r="V154" s="1225">
        <f t="shared" si="26"/>
        <v>2</v>
      </c>
      <c r="W154" s="1225"/>
      <c r="X154" s="1225"/>
      <c r="Y154" s="1225"/>
      <c r="Z154" s="1225"/>
      <c r="AA154" s="1023"/>
      <c r="AB154" s="1225"/>
      <c r="AC154" s="1225"/>
      <c r="AD154" s="1225"/>
      <c r="AE154" s="1222"/>
      <c r="AF154" s="1304" t="s">
        <v>1473</v>
      </c>
      <c r="AG154" s="1275" t="s">
        <v>472</v>
      </c>
      <c r="AH154" s="1275" t="s">
        <v>1530</v>
      </c>
      <c r="AI154" s="1275" t="s">
        <v>1531</v>
      </c>
      <c r="AJ154" s="1308" t="s">
        <v>1478</v>
      </c>
      <c r="AK154" s="1275" t="s">
        <v>457</v>
      </c>
      <c r="AL154" s="1275" t="s">
        <v>178</v>
      </c>
      <c r="AM154" s="1275" t="s">
        <v>458</v>
      </c>
      <c r="AN154" s="1282">
        <v>180974</v>
      </c>
      <c r="AO154" s="1277">
        <v>86932</v>
      </c>
      <c r="AP154" s="1277">
        <v>94042</v>
      </c>
      <c r="AQ154" s="1120" t="s">
        <v>459</v>
      </c>
      <c r="AR154" s="1120" t="s">
        <v>459</v>
      </c>
      <c r="AS154" s="1120" t="s">
        <v>459</v>
      </c>
      <c r="AT154" s="1120" t="s">
        <v>459</v>
      </c>
      <c r="AU154" s="1278" t="s">
        <v>459</v>
      </c>
      <c r="AV154" s="1278" t="s">
        <v>459</v>
      </c>
      <c r="AW154" s="1278" t="s">
        <v>459</v>
      </c>
      <c r="AX154" s="1282">
        <v>180974</v>
      </c>
      <c r="AY154" s="1183"/>
    </row>
    <row r="155" spans="1:51" ht="21" customHeight="1" x14ac:dyDescent="0.25">
      <c r="A155" s="1189"/>
      <c r="B155" s="1018"/>
      <c r="C155" s="1018"/>
      <c r="D155" s="164" t="s">
        <v>343</v>
      </c>
      <c r="E155" s="1225"/>
      <c r="F155" s="1225"/>
      <c r="G155" s="1225">
        <f>+G154*$T$143/$T$142</f>
        <v>1259714.2857142857</v>
      </c>
      <c r="H155" s="1225">
        <f>+H154*$U$143/$U$142</f>
        <v>1037411.7647058824</v>
      </c>
      <c r="I155" s="1225">
        <f>+I154*$V$143/$V$142</f>
        <v>7699111.111111111</v>
      </c>
      <c r="J155" s="1225"/>
      <c r="K155" s="1225"/>
      <c r="L155" s="1225"/>
      <c r="M155" s="1225"/>
      <c r="N155" s="1225"/>
      <c r="O155" s="1225"/>
      <c r="P155" s="1225"/>
      <c r="Q155" s="1225"/>
      <c r="R155" s="1225"/>
      <c r="S155" s="1073"/>
      <c r="T155" s="1225">
        <f t="shared" si="24"/>
        <v>1259714.2857142857</v>
      </c>
      <c r="U155" s="1225">
        <f t="shared" si="25"/>
        <v>1037411.7647058824</v>
      </c>
      <c r="V155" s="1225">
        <f t="shared" si="26"/>
        <v>7699111.111111111</v>
      </c>
      <c r="W155" s="1225"/>
      <c r="X155" s="1225"/>
      <c r="Y155" s="1225"/>
      <c r="Z155" s="1225"/>
      <c r="AA155" s="1225"/>
      <c r="AB155" s="1225"/>
      <c r="AC155" s="1225"/>
      <c r="AD155" s="1225"/>
      <c r="AE155" s="1222"/>
      <c r="AF155" s="1073"/>
      <c r="AG155" s="1073"/>
      <c r="AH155" s="1073"/>
      <c r="AI155" s="1073"/>
      <c r="AJ155" s="1073"/>
      <c r="AK155" s="1073"/>
      <c r="AL155" s="1073"/>
      <c r="AM155" s="1073"/>
      <c r="AN155" s="1073"/>
      <c r="AO155" s="1289"/>
      <c r="AP155" s="1289"/>
      <c r="AQ155" s="1073"/>
      <c r="AR155" s="1073"/>
      <c r="AS155" s="1073"/>
      <c r="AT155" s="1073"/>
      <c r="AU155" s="1073"/>
      <c r="AV155" s="1073"/>
      <c r="AW155" s="1073"/>
      <c r="AX155" s="1073"/>
      <c r="AY155" s="1183"/>
    </row>
    <row r="156" spans="1:51" ht="21" customHeight="1" x14ac:dyDescent="0.25">
      <c r="A156" s="1189"/>
      <c r="B156" s="1018"/>
      <c r="C156" s="1018"/>
      <c r="D156" s="165" t="s">
        <v>345</v>
      </c>
      <c r="E156" s="1225"/>
      <c r="F156" s="1225"/>
      <c r="G156" s="1225">
        <v>0</v>
      </c>
      <c r="H156" s="1225"/>
      <c r="I156" s="1225"/>
      <c r="J156" s="1225"/>
      <c r="K156" s="1306"/>
      <c r="L156" s="1225"/>
      <c r="M156" s="1225"/>
      <c r="N156" s="1023"/>
      <c r="O156" s="1225"/>
      <c r="P156" s="1225"/>
      <c r="Q156" s="1222"/>
      <c r="R156" s="1222"/>
      <c r="S156" s="1073"/>
      <c r="T156" s="1225">
        <f t="shared" si="24"/>
        <v>0</v>
      </c>
      <c r="U156" s="1225">
        <f t="shared" si="25"/>
        <v>0</v>
      </c>
      <c r="V156" s="1225">
        <f t="shared" si="26"/>
        <v>0</v>
      </c>
      <c r="W156" s="1225"/>
      <c r="X156" s="1225"/>
      <c r="Y156" s="1225"/>
      <c r="Z156" s="1225"/>
      <c r="AA156" s="1023"/>
      <c r="AB156" s="1225"/>
      <c r="AC156" s="1225"/>
      <c r="AD156" s="1225"/>
      <c r="AE156" s="1222"/>
      <c r="AF156" s="1073"/>
      <c r="AG156" s="1073"/>
      <c r="AH156" s="1073"/>
      <c r="AI156" s="1073"/>
      <c r="AJ156" s="1073"/>
      <c r="AK156" s="1073"/>
      <c r="AL156" s="1073"/>
      <c r="AM156" s="1073"/>
      <c r="AN156" s="1073"/>
      <c r="AO156" s="1289"/>
      <c r="AP156" s="1289"/>
      <c r="AQ156" s="1073"/>
      <c r="AR156" s="1073"/>
      <c r="AS156" s="1073"/>
      <c r="AT156" s="1073"/>
      <c r="AU156" s="1073"/>
      <c r="AV156" s="1073"/>
      <c r="AW156" s="1073"/>
      <c r="AX156" s="1073"/>
      <c r="AY156" s="1183"/>
    </row>
    <row r="157" spans="1:51" ht="21" customHeight="1" x14ac:dyDescent="0.25">
      <c r="A157" s="1189"/>
      <c r="B157" s="1018"/>
      <c r="C157" s="1018"/>
      <c r="D157" s="164" t="s">
        <v>346</v>
      </c>
      <c r="E157" s="1225"/>
      <c r="F157" s="1225"/>
      <c r="G157" s="1225">
        <v>0</v>
      </c>
      <c r="H157" s="1225"/>
      <c r="I157" s="1225"/>
      <c r="J157" s="1225"/>
      <c r="K157" s="1306"/>
      <c r="L157" s="1225"/>
      <c r="M157" s="1225"/>
      <c r="N157" s="1225"/>
      <c r="O157" s="1225"/>
      <c r="P157" s="1225"/>
      <c r="Q157" s="1225"/>
      <c r="R157" s="1225"/>
      <c r="S157" s="1073"/>
      <c r="T157" s="1225">
        <f t="shared" si="24"/>
        <v>0</v>
      </c>
      <c r="U157" s="1225">
        <f t="shared" si="25"/>
        <v>0</v>
      </c>
      <c r="V157" s="1225">
        <f t="shared" si="26"/>
        <v>0</v>
      </c>
      <c r="W157" s="1225"/>
      <c r="X157" s="1225"/>
      <c r="Y157" s="1225"/>
      <c r="Z157" s="1225"/>
      <c r="AA157" s="1225"/>
      <c r="AB157" s="1225"/>
      <c r="AC157" s="1225"/>
      <c r="AD157" s="1225"/>
      <c r="AE157" s="1222"/>
      <c r="AF157" s="1073"/>
      <c r="AG157" s="1073"/>
      <c r="AH157" s="1073"/>
      <c r="AI157" s="1073"/>
      <c r="AJ157" s="1073"/>
      <c r="AK157" s="1073"/>
      <c r="AL157" s="1073"/>
      <c r="AM157" s="1073"/>
      <c r="AN157" s="1073"/>
      <c r="AO157" s="1289"/>
      <c r="AP157" s="1289"/>
      <c r="AQ157" s="1073"/>
      <c r="AR157" s="1073"/>
      <c r="AS157" s="1073"/>
      <c r="AT157" s="1073"/>
      <c r="AU157" s="1073"/>
      <c r="AV157" s="1073"/>
      <c r="AW157" s="1073"/>
      <c r="AX157" s="1073"/>
      <c r="AY157" s="1183"/>
    </row>
    <row r="158" spans="1:51" ht="21" customHeight="1" x14ac:dyDescent="0.25">
      <c r="A158" s="1189"/>
      <c r="B158" s="1018"/>
      <c r="C158" s="1018"/>
      <c r="D158" s="165" t="s">
        <v>347</v>
      </c>
      <c r="E158" s="1225"/>
      <c r="F158" s="1225"/>
      <c r="G158" s="1225">
        <f>+G154+G156</f>
        <v>1</v>
      </c>
      <c r="H158" s="1225">
        <f>+H154+H156</f>
        <v>2</v>
      </c>
      <c r="I158" s="1225">
        <v>2</v>
      </c>
      <c r="J158" s="1225"/>
      <c r="K158" s="1306"/>
      <c r="L158" s="1225"/>
      <c r="M158" s="1225"/>
      <c r="N158" s="1023"/>
      <c r="O158" s="1023"/>
      <c r="P158" s="1023"/>
      <c r="Q158" s="1023"/>
      <c r="R158" s="1023"/>
      <c r="S158" s="1073"/>
      <c r="T158" s="1225">
        <f t="shared" si="24"/>
        <v>1</v>
      </c>
      <c r="U158" s="1225">
        <f t="shared" si="25"/>
        <v>2</v>
      </c>
      <c r="V158" s="1225">
        <f t="shared" si="26"/>
        <v>2</v>
      </c>
      <c r="W158" s="1225"/>
      <c r="X158" s="1225"/>
      <c r="Y158" s="1225"/>
      <c r="Z158" s="1225"/>
      <c r="AA158" s="1023"/>
      <c r="AB158" s="1225"/>
      <c r="AC158" s="1225"/>
      <c r="AD158" s="1225"/>
      <c r="AE158" s="1222"/>
      <c r="AF158" s="1073"/>
      <c r="AG158" s="1073"/>
      <c r="AH158" s="1073"/>
      <c r="AI158" s="1073"/>
      <c r="AJ158" s="1073"/>
      <c r="AK158" s="1073"/>
      <c r="AL158" s="1073"/>
      <c r="AM158" s="1073"/>
      <c r="AN158" s="1073"/>
      <c r="AO158" s="1289"/>
      <c r="AP158" s="1289"/>
      <c r="AQ158" s="1073"/>
      <c r="AR158" s="1073"/>
      <c r="AS158" s="1073"/>
      <c r="AT158" s="1073"/>
      <c r="AU158" s="1073"/>
      <c r="AV158" s="1073"/>
      <c r="AW158" s="1073"/>
      <c r="AX158" s="1073"/>
      <c r="AY158" s="1183"/>
    </row>
    <row r="159" spans="1:51" ht="21" customHeight="1" x14ac:dyDescent="0.25">
      <c r="A159" s="1189"/>
      <c r="B159" s="1018"/>
      <c r="C159" s="1048"/>
      <c r="D159" s="164" t="s">
        <v>348</v>
      </c>
      <c r="E159" s="1225"/>
      <c r="F159" s="1225"/>
      <c r="G159" s="1225">
        <f>+G155+G157</f>
        <v>1259714.2857142857</v>
      </c>
      <c r="H159" s="1225">
        <f>+H155+H157</f>
        <v>1037411.7647058824</v>
      </c>
      <c r="I159" s="1225">
        <f>+I155+I157</f>
        <v>7699111.111111111</v>
      </c>
      <c r="J159" s="1225"/>
      <c r="K159" s="1225"/>
      <c r="L159" s="1225"/>
      <c r="M159" s="1225"/>
      <c r="N159" s="1225"/>
      <c r="O159" s="1225"/>
      <c r="P159" s="1225"/>
      <c r="Q159" s="1225"/>
      <c r="R159" s="1225"/>
      <c r="S159" s="1073"/>
      <c r="T159" s="1225">
        <f t="shared" si="24"/>
        <v>1259714.2857142857</v>
      </c>
      <c r="U159" s="1225">
        <f t="shared" si="25"/>
        <v>1037411.7647058824</v>
      </c>
      <c r="V159" s="1225">
        <f t="shared" si="26"/>
        <v>7699111.111111111</v>
      </c>
      <c r="W159" s="1225"/>
      <c r="X159" s="1225"/>
      <c r="Y159" s="1225"/>
      <c r="Z159" s="1225"/>
      <c r="AA159" s="1225"/>
      <c r="AB159" s="1225"/>
      <c r="AC159" s="1225"/>
      <c r="AD159" s="1225"/>
      <c r="AE159" s="1222"/>
      <c r="AF159" s="1076"/>
      <c r="AG159" s="1076"/>
      <c r="AH159" s="1076"/>
      <c r="AI159" s="1076"/>
      <c r="AJ159" s="1076"/>
      <c r="AK159" s="1076"/>
      <c r="AL159" s="1076"/>
      <c r="AM159" s="1076"/>
      <c r="AN159" s="1076"/>
      <c r="AO159" s="1290"/>
      <c r="AP159" s="1290"/>
      <c r="AQ159" s="1076"/>
      <c r="AR159" s="1076"/>
      <c r="AS159" s="1076"/>
      <c r="AT159" s="1076"/>
      <c r="AU159" s="1076"/>
      <c r="AV159" s="1076"/>
      <c r="AW159" s="1076"/>
      <c r="AX159" s="1076"/>
      <c r="AY159" s="1183"/>
    </row>
    <row r="160" spans="1:51" ht="21" customHeight="1" x14ac:dyDescent="0.25">
      <c r="A160" s="1189"/>
      <c r="B160" s="1018"/>
      <c r="C160" s="1217" t="s">
        <v>474</v>
      </c>
      <c r="D160" s="161" t="s">
        <v>340</v>
      </c>
      <c r="E160" s="1225"/>
      <c r="F160" s="1225"/>
      <c r="G160" s="1225"/>
      <c r="H160" s="1225"/>
      <c r="I160" s="1225"/>
      <c r="J160" s="1225"/>
      <c r="K160" s="1306"/>
      <c r="L160" s="1225"/>
      <c r="M160" s="1225"/>
      <c r="N160" s="1023"/>
      <c r="O160" s="1225"/>
      <c r="P160" s="1225"/>
      <c r="Q160" s="1225"/>
      <c r="R160" s="1225"/>
      <c r="S160" s="1073"/>
      <c r="T160" s="1225">
        <f t="shared" si="24"/>
        <v>0</v>
      </c>
      <c r="U160" s="1225">
        <f t="shared" si="25"/>
        <v>0</v>
      </c>
      <c r="V160" s="1225">
        <f t="shared" si="26"/>
        <v>0</v>
      </c>
      <c r="W160" s="1225"/>
      <c r="X160" s="1225"/>
      <c r="Y160" s="1225"/>
      <c r="Z160" s="1225"/>
      <c r="AA160" s="1023"/>
      <c r="AB160" s="1225"/>
      <c r="AC160" s="1225"/>
      <c r="AD160" s="1225"/>
      <c r="AE160" s="1222"/>
      <c r="AF160" s="1305"/>
      <c r="AG160" s="1275" t="s">
        <v>515</v>
      </c>
      <c r="AH160" s="1275" t="s">
        <v>516</v>
      </c>
      <c r="AI160" s="1275" t="s">
        <v>517</v>
      </c>
      <c r="AJ160" s="1308" t="s">
        <v>1478</v>
      </c>
      <c r="AK160" s="1275" t="s">
        <v>457</v>
      </c>
      <c r="AL160" s="1275" t="s">
        <v>518</v>
      </c>
      <c r="AM160" s="1275" t="s">
        <v>458</v>
      </c>
      <c r="AN160" s="1282">
        <v>107677</v>
      </c>
      <c r="AO160" s="1277">
        <v>53035</v>
      </c>
      <c r="AP160" s="1277">
        <v>54642</v>
      </c>
      <c r="AQ160" s="1120" t="s">
        <v>459</v>
      </c>
      <c r="AR160" s="1120" t="s">
        <v>459</v>
      </c>
      <c r="AS160" s="1120" t="s">
        <v>459</v>
      </c>
      <c r="AT160" s="1120" t="s">
        <v>459</v>
      </c>
      <c r="AU160" s="1278" t="s">
        <v>459</v>
      </c>
      <c r="AV160" s="1278" t="s">
        <v>459</v>
      </c>
      <c r="AW160" s="1278" t="s">
        <v>459</v>
      </c>
      <c r="AX160" s="1282">
        <v>106587</v>
      </c>
      <c r="AY160" s="1183"/>
    </row>
    <row r="161" spans="1:51" ht="21" customHeight="1" x14ac:dyDescent="0.25">
      <c r="A161" s="1189"/>
      <c r="B161" s="1018"/>
      <c r="C161" s="1018"/>
      <c r="D161" s="164" t="s">
        <v>343</v>
      </c>
      <c r="E161" s="1225"/>
      <c r="F161" s="1225"/>
      <c r="G161" s="1225"/>
      <c r="H161" s="1225"/>
      <c r="I161" s="1225"/>
      <c r="J161" s="1225"/>
      <c r="K161" s="1225"/>
      <c r="L161" s="1225"/>
      <c r="M161" s="1225"/>
      <c r="N161" s="1225"/>
      <c r="O161" s="1225"/>
      <c r="P161" s="1225"/>
      <c r="Q161" s="1225"/>
      <c r="R161" s="1225"/>
      <c r="S161" s="1073"/>
      <c r="T161" s="1225">
        <f t="shared" si="24"/>
        <v>0</v>
      </c>
      <c r="U161" s="1225">
        <f t="shared" si="25"/>
        <v>0</v>
      </c>
      <c r="V161" s="1225">
        <f t="shared" si="26"/>
        <v>0</v>
      </c>
      <c r="W161" s="1225"/>
      <c r="X161" s="1225"/>
      <c r="Y161" s="1225"/>
      <c r="Z161" s="1225"/>
      <c r="AA161" s="1225"/>
      <c r="AB161" s="1225"/>
      <c r="AC161" s="1225"/>
      <c r="AD161" s="1225"/>
      <c r="AE161" s="1222"/>
      <c r="AF161" s="1203"/>
      <c r="AG161" s="1073"/>
      <c r="AH161" s="1073"/>
      <c r="AI161" s="1073"/>
      <c r="AJ161" s="1073"/>
      <c r="AK161" s="1073"/>
      <c r="AL161" s="1073"/>
      <c r="AM161" s="1073"/>
      <c r="AN161" s="1073"/>
      <c r="AO161" s="1073"/>
      <c r="AP161" s="1073"/>
      <c r="AQ161" s="1073"/>
      <c r="AR161" s="1073"/>
      <c r="AS161" s="1073"/>
      <c r="AT161" s="1073"/>
      <c r="AU161" s="1073"/>
      <c r="AV161" s="1073"/>
      <c r="AW161" s="1073"/>
      <c r="AX161" s="1073"/>
      <c r="AY161" s="1183"/>
    </row>
    <row r="162" spans="1:51" ht="21" customHeight="1" x14ac:dyDescent="0.25">
      <c r="A162" s="1189"/>
      <c r="B162" s="1018"/>
      <c r="C162" s="1018"/>
      <c r="D162" s="165" t="s">
        <v>345</v>
      </c>
      <c r="E162" s="1225"/>
      <c r="F162" s="1225"/>
      <c r="G162" s="1225"/>
      <c r="H162" s="1225"/>
      <c r="I162" s="1225"/>
      <c r="J162" s="1225"/>
      <c r="K162" s="1306"/>
      <c r="L162" s="1225"/>
      <c r="M162" s="1225"/>
      <c r="N162" s="1023"/>
      <c r="O162" s="1225"/>
      <c r="P162" s="1225"/>
      <c r="Q162" s="1225"/>
      <c r="R162" s="1225"/>
      <c r="S162" s="1073"/>
      <c r="T162" s="1225">
        <f t="shared" si="24"/>
        <v>0</v>
      </c>
      <c r="U162" s="1225">
        <f t="shared" si="25"/>
        <v>0</v>
      </c>
      <c r="V162" s="1225">
        <f t="shared" si="26"/>
        <v>0</v>
      </c>
      <c r="W162" s="1225"/>
      <c r="X162" s="1225"/>
      <c r="Y162" s="1225"/>
      <c r="Z162" s="1225"/>
      <c r="AA162" s="1023"/>
      <c r="AB162" s="1225"/>
      <c r="AC162" s="1225"/>
      <c r="AD162" s="1225"/>
      <c r="AE162" s="1222"/>
      <c r="AF162" s="1203"/>
      <c r="AG162" s="1073"/>
      <c r="AH162" s="1073"/>
      <c r="AI162" s="1073"/>
      <c r="AJ162" s="1073"/>
      <c r="AK162" s="1073"/>
      <c r="AL162" s="1073"/>
      <c r="AM162" s="1073"/>
      <c r="AN162" s="1073"/>
      <c r="AO162" s="1073"/>
      <c r="AP162" s="1073"/>
      <c r="AQ162" s="1073"/>
      <c r="AR162" s="1073"/>
      <c r="AS162" s="1073"/>
      <c r="AT162" s="1073"/>
      <c r="AU162" s="1073"/>
      <c r="AV162" s="1073"/>
      <c r="AW162" s="1073"/>
      <c r="AX162" s="1073"/>
      <c r="AY162" s="1183"/>
    </row>
    <row r="163" spans="1:51" ht="21" customHeight="1" x14ac:dyDescent="0.25">
      <c r="A163" s="1189"/>
      <c r="B163" s="1018"/>
      <c r="C163" s="1018"/>
      <c r="D163" s="164" t="s">
        <v>346</v>
      </c>
      <c r="E163" s="1225"/>
      <c r="F163" s="1225"/>
      <c r="G163" s="1225"/>
      <c r="H163" s="1225"/>
      <c r="I163" s="1225"/>
      <c r="J163" s="1225"/>
      <c r="K163" s="1306"/>
      <c r="L163" s="1225"/>
      <c r="M163" s="1225"/>
      <c r="N163" s="1225"/>
      <c r="O163" s="1225"/>
      <c r="P163" s="1225"/>
      <c r="Q163" s="1225"/>
      <c r="R163" s="1225"/>
      <c r="S163" s="1073"/>
      <c r="T163" s="1225">
        <f t="shared" si="24"/>
        <v>0</v>
      </c>
      <c r="U163" s="1225">
        <f t="shared" si="25"/>
        <v>0</v>
      </c>
      <c r="V163" s="1225">
        <f t="shared" si="26"/>
        <v>0</v>
      </c>
      <c r="W163" s="1225"/>
      <c r="X163" s="1225"/>
      <c r="Y163" s="1225"/>
      <c r="Z163" s="1225"/>
      <c r="AA163" s="1225"/>
      <c r="AB163" s="1225"/>
      <c r="AC163" s="1225"/>
      <c r="AD163" s="1225"/>
      <c r="AE163" s="1222"/>
      <c r="AF163" s="1203"/>
      <c r="AG163" s="1073"/>
      <c r="AH163" s="1073"/>
      <c r="AI163" s="1073"/>
      <c r="AJ163" s="1073"/>
      <c r="AK163" s="1073"/>
      <c r="AL163" s="1073"/>
      <c r="AM163" s="1073"/>
      <c r="AN163" s="1073"/>
      <c r="AO163" s="1073"/>
      <c r="AP163" s="1073"/>
      <c r="AQ163" s="1073"/>
      <c r="AR163" s="1073"/>
      <c r="AS163" s="1073"/>
      <c r="AT163" s="1073"/>
      <c r="AU163" s="1073"/>
      <c r="AV163" s="1073"/>
      <c r="AW163" s="1073"/>
      <c r="AX163" s="1073"/>
      <c r="AY163" s="1183"/>
    </row>
    <row r="164" spans="1:51" ht="21" customHeight="1" x14ac:dyDescent="0.25">
      <c r="A164" s="1189"/>
      <c r="B164" s="1018"/>
      <c r="C164" s="1018"/>
      <c r="D164" s="165" t="s">
        <v>347</v>
      </c>
      <c r="E164" s="1225"/>
      <c r="F164" s="1225"/>
      <c r="G164" s="1225"/>
      <c r="H164" s="1225"/>
      <c r="I164" s="1225"/>
      <c r="J164" s="1225"/>
      <c r="K164" s="1306"/>
      <c r="L164" s="1225"/>
      <c r="M164" s="1225"/>
      <c r="N164" s="1023"/>
      <c r="O164" s="1023"/>
      <c r="P164" s="1225"/>
      <c r="Q164" s="1225"/>
      <c r="R164" s="1225"/>
      <c r="S164" s="1073"/>
      <c r="T164" s="1225">
        <f t="shared" si="24"/>
        <v>0</v>
      </c>
      <c r="U164" s="1225">
        <f t="shared" si="25"/>
        <v>0</v>
      </c>
      <c r="V164" s="1225">
        <f t="shared" si="26"/>
        <v>0</v>
      </c>
      <c r="W164" s="1225"/>
      <c r="X164" s="1225"/>
      <c r="Y164" s="1225"/>
      <c r="Z164" s="1225"/>
      <c r="AA164" s="1023"/>
      <c r="AB164" s="1225"/>
      <c r="AC164" s="1225"/>
      <c r="AD164" s="1225"/>
      <c r="AE164" s="1222"/>
      <c r="AF164" s="1203"/>
      <c r="AG164" s="1073"/>
      <c r="AH164" s="1073"/>
      <c r="AI164" s="1073"/>
      <c r="AJ164" s="1073"/>
      <c r="AK164" s="1073"/>
      <c r="AL164" s="1073"/>
      <c r="AM164" s="1073"/>
      <c r="AN164" s="1073"/>
      <c r="AO164" s="1073"/>
      <c r="AP164" s="1073"/>
      <c r="AQ164" s="1073"/>
      <c r="AR164" s="1073"/>
      <c r="AS164" s="1073"/>
      <c r="AT164" s="1073"/>
      <c r="AU164" s="1073"/>
      <c r="AV164" s="1073"/>
      <c r="AW164" s="1073"/>
      <c r="AX164" s="1073"/>
      <c r="AY164" s="1183"/>
    </row>
    <row r="165" spans="1:51" ht="21" customHeight="1" x14ac:dyDescent="0.25">
      <c r="A165" s="1189"/>
      <c r="B165" s="1018"/>
      <c r="C165" s="1048"/>
      <c r="D165" s="164" t="s">
        <v>348</v>
      </c>
      <c r="E165" s="1225"/>
      <c r="F165" s="1225"/>
      <c r="G165" s="1225"/>
      <c r="H165" s="1225"/>
      <c r="I165" s="1225"/>
      <c r="J165" s="1225"/>
      <c r="K165" s="1225"/>
      <c r="L165" s="1225"/>
      <c r="M165" s="1225"/>
      <c r="N165" s="1225"/>
      <c r="O165" s="1225"/>
      <c r="P165" s="1225"/>
      <c r="Q165" s="1225"/>
      <c r="R165" s="1225"/>
      <c r="S165" s="1073"/>
      <c r="T165" s="1225">
        <f t="shared" si="24"/>
        <v>0</v>
      </c>
      <c r="U165" s="1225">
        <f t="shared" si="25"/>
        <v>0</v>
      </c>
      <c r="V165" s="1225">
        <f t="shared" si="26"/>
        <v>0</v>
      </c>
      <c r="W165" s="1225"/>
      <c r="X165" s="1225"/>
      <c r="Y165" s="1225"/>
      <c r="Z165" s="1225"/>
      <c r="AA165" s="1225"/>
      <c r="AB165" s="1225"/>
      <c r="AC165" s="1225"/>
      <c r="AD165" s="1225"/>
      <c r="AE165" s="1222"/>
      <c r="AF165" s="1203"/>
      <c r="AG165" s="1076"/>
      <c r="AH165" s="1076"/>
      <c r="AI165" s="1076"/>
      <c r="AJ165" s="1076"/>
      <c r="AK165" s="1076"/>
      <c r="AL165" s="1076"/>
      <c r="AM165" s="1076"/>
      <c r="AN165" s="1076"/>
      <c r="AO165" s="1076"/>
      <c r="AP165" s="1076"/>
      <c r="AQ165" s="1076"/>
      <c r="AR165" s="1076"/>
      <c r="AS165" s="1076"/>
      <c r="AT165" s="1076"/>
      <c r="AU165" s="1076"/>
      <c r="AV165" s="1076"/>
      <c r="AW165" s="1076"/>
      <c r="AX165" s="1076"/>
      <c r="AY165" s="1183"/>
    </row>
    <row r="166" spans="1:51" ht="21" customHeight="1" x14ac:dyDescent="0.25">
      <c r="A166" s="1189"/>
      <c r="B166" s="1018"/>
      <c r="C166" s="1217" t="s">
        <v>477</v>
      </c>
      <c r="D166" s="161" t="s">
        <v>340</v>
      </c>
      <c r="E166" s="1225"/>
      <c r="F166" s="1225"/>
      <c r="G166" s="1225"/>
      <c r="H166" s="1225"/>
      <c r="I166" s="1225"/>
      <c r="J166" s="1225"/>
      <c r="K166" s="1306"/>
      <c r="L166" s="1225"/>
      <c r="M166" s="1225"/>
      <c r="N166" s="1023"/>
      <c r="O166" s="1225"/>
      <c r="P166" s="1225"/>
      <c r="Q166" s="1225"/>
      <c r="R166" s="1225"/>
      <c r="S166" s="1073"/>
      <c r="T166" s="1225">
        <f t="shared" si="24"/>
        <v>0</v>
      </c>
      <c r="U166" s="1225">
        <f t="shared" si="25"/>
        <v>0</v>
      </c>
      <c r="V166" s="1225">
        <f t="shared" si="26"/>
        <v>0</v>
      </c>
      <c r="W166" s="1225"/>
      <c r="X166" s="1225"/>
      <c r="Y166" s="1225"/>
      <c r="Z166" s="1225"/>
      <c r="AA166" s="1023"/>
      <c r="AB166" s="1225"/>
      <c r="AC166" s="1225"/>
      <c r="AD166" s="1225"/>
      <c r="AE166" s="1222"/>
      <c r="AF166" s="1307"/>
      <c r="AG166" s="1275" t="s">
        <v>478</v>
      </c>
      <c r="AH166" s="1275" t="s">
        <v>519</v>
      </c>
      <c r="AI166" s="1275" t="s">
        <v>520</v>
      </c>
      <c r="AJ166" s="1281" t="s">
        <v>463</v>
      </c>
      <c r="AK166" s="1275" t="s">
        <v>457</v>
      </c>
      <c r="AL166" s="1275" t="s">
        <v>521</v>
      </c>
      <c r="AM166" s="1275" t="s">
        <v>458</v>
      </c>
      <c r="AN166" s="1282">
        <v>406498</v>
      </c>
      <c r="AO166" s="1282">
        <v>195731</v>
      </c>
      <c r="AP166" s="1282">
        <v>210767</v>
      </c>
      <c r="AQ166" s="1120" t="s">
        <v>459</v>
      </c>
      <c r="AR166" s="1120" t="s">
        <v>459</v>
      </c>
      <c r="AS166" s="1120" t="s">
        <v>459</v>
      </c>
      <c r="AT166" s="1120" t="s">
        <v>459</v>
      </c>
      <c r="AU166" s="1278" t="s">
        <v>459</v>
      </c>
      <c r="AV166" s="1278" t="s">
        <v>459</v>
      </c>
      <c r="AW166" s="1278" t="s">
        <v>459</v>
      </c>
      <c r="AX166" s="1282">
        <v>406428</v>
      </c>
      <c r="AY166" s="1183"/>
    </row>
    <row r="167" spans="1:51" ht="21" customHeight="1" x14ac:dyDescent="0.25">
      <c r="A167" s="1189"/>
      <c r="B167" s="1018"/>
      <c r="C167" s="1018"/>
      <c r="D167" s="164" t="s">
        <v>343</v>
      </c>
      <c r="E167" s="1225"/>
      <c r="F167" s="1225"/>
      <c r="G167" s="1225"/>
      <c r="H167" s="1225"/>
      <c r="I167" s="1225"/>
      <c r="J167" s="1225"/>
      <c r="K167" s="1225"/>
      <c r="L167" s="1225"/>
      <c r="M167" s="1225"/>
      <c r="N167" s="1225"/>
      <c r="O167" s="1225"/>
      <c r="P167" s="1225"/>
      <c r="Q167" s="1225"/>
      <c r="R167" s="1225"/>
      <c r="S167" s="1073"/>
      <c r="T167" s="1225">
        <f t="shared" si="24"/>
        <v>0</v>
      </c>
      <c r="U167" s="1225">
        <f t="shared" si="25"/>
        <v>0</v>
      </c>
      <c r="V167" s="1225">
        <f t="shared" si="26"/>
        <v>0</v>
      </c>
      <c r="W167" s="1225"/>
      <c r="X167" s="1225"/>
      <c r="Y167" s="1225"/>
      <c r="Z167" s="1225"/>
      <c r="AA167" s="1225"/>
      <c r="AB167" s="1225"/>
      <c r="AC167" s="1225"/>
      <c r="AD167" s="1225"/>
      <c r="AE167" s="1222"/>
      <c r="AF167" s="1203"/>
      <c r="AG167" s="1073"/>
      <c r="AH167" s="1073"/>
      <c r="AI167" s="1073"/>
      <c r="AJ167" s="1285" t="s">
        <v>464</v>
      </c>
      <c r="AK167" s="1073"/>
      <c r="AL167" s="1073"/>
      <c r="AM167" s="1073"/>
      <c r="AN167" s="1073"/>
      <c r="AO167" s="1073"/>
      <c r="AP167" s="1073"/>
      <c r="AQ167" s="1073"/>
      <c r="AR167" s="1073"/>
      <c r="AS167" s="1073"/>
      <c r="AT167" s="1073"/>
      <c r="AU167" s="1073"/>
      <c r="AV167" s="1073"/>
      <c r="AW167" s="1073"/>
      <c r="AX167" s="1073"/>
      <c r="AY167" s="1183"/>
    </row>
    <row r="168" spans="1:51" ht="21" customHeight="1" x14ac:dyDescent="0.25">
      <c r="A168" s="1189"/>
      <c r="B168" s="1018"/>
      <c r="C168" s="1018"/>
      <c r="D168" s="165" t="s">
        <v>345</v>
      </c>
      <c r="E168" s="1225"/>
      <c r="F168" s="1225"/>
      <c r="G168" s="1225"/>
      <c r="H168" s="1225"/>
      <c r="I168" s="1225"/>
      <c r="J168" s="1225"/>
      <c r="K168" s="1306"/>
      <c r="L168" s="1225"/>
      <c r="M168" s="1225"/>
      <c r="N168" s="1023"/>
      <c r="O168" s="1225"/>
      <c r="P168" s="1225"/>
      <c r="Q168" s="1225"/>
      <c r="R168" s="1225"/>
      <c r="S168" s="1073"/>
      <c r="T168" s="1225">
        <f t="shared" si="24"/>
        <v>0</v>
      </c>
      <c r="U168" s="1225">
        <f t="shared" si="25"/>
        <v>0</v>
      </c>
      <c r="V168" s="1225">
        <f t="shared" si="26"/>
        <v>0</v>
      </c>
      <c r="W168" s="1225"/>
      <c r="X168" s="1225"/>
      <c r="Y168" s="1225"/>
      <c r="Z168" s="1225"/>
      <c r="AA168" s="1023"/>
      <c r="AB168" s="1225"/>
      <c r="AC168" s="1225"/>
      <c r="AD168" s="1225"/>
      <c r="AE168" s="1222"/>
      <c r="AF168" s="1203"/>
      <c r="AG168" s="1073"/>
      <c r="AH168" s="1073"/>
      <c r="AI168" s="1073"/>
      <c r="AJ168" s="1285" t="s">
        <v>1476</v>
      </c>
      <c r="AK168" s="1073"/>
      <c r="AL168" s="1073"/>
      <c r="AM168" s="1073"/>
      <c r="AN168" s="1073"/>
      <c r="AO168" s="1073"/>
      <c r="AP168" s="1073"/>
      <c r="AQ168" s="1073"/>
      <c r="AR168" s="1073"/>
      <c r="AS168" s="1073"/>
      <c r="AT168" s="1073"/>
      <c r="AU168" s="1073"/>
      <c r="AV168" s="1073"/>
      <c r="AW168" s="1073"/>
      <c r="AX168" s="1073"/>
      <c r="AY168" s="1183"/>
    </row>
    <row r="169" spans="1:51" ht="21" customHeight="1" x14ac:dyDescent="0.25">
      <c r="A169" s="1189"/>
      <c r="B169" s="1018"/>
      <c r="C169" s="1018"/>
      <c r="D169" s="164" t="s">
        <v>346</v>
      </c>
      <c r="E169" s="1225"/>
      <c r="F169" s="1225"/>
      <c r="G169" s="1225"/>
      <c r="H169" s="1225"/>
      <c r="I169" s="1225"/>
      <c r="J169" s="1225"/>
      <c r="K169" s="1306"/>
      <c r="L169" s="1225"/>
      <c r="M169" s="1225"/>
      <c r="N169" s="1225"/>
      <c r="O169" s="1225"/>
      <c r="P169" s="1225"/>
      <c r="Q169" s="1225"/>
      <c r="R169" s="1225"/>
      <c r="S169" s="1073"/>
      <c r="T169" s="1225">
        <f t="shared" si="24"/>
        <v>0</v>
      </c>
      <c r="U169" s="1225">
        <f t="shared" si="25"/>
        <v>0</v>
      </c>
      <c r="V169" s="1225">
        <f t="shared" si="26"/>
        <v>0</v>
      </c>
      <c r="W169" s="1225"/>
      <c r="X169" s="1225"/>
      <c r="Y169" s="1225"/>
      <c r="Z169" s="1225"/>
      <c r="AA169" s="1225"/>
      <c r="AB169" s="1225"/>
      <c r="AC169" s="1225"/>
      <c r="AD169" s="1225"/>
      <c r="AE169" s="1222"/>
      <c r="AF169" s="1203"/>
      <c r="AG169" s="1073"/>
      <c r="AH169" s="1073"/>
      <c r="AI169" s="1073"/>
      <c r="AJ169" s="1285" t="s">
        <v>465</v>
      </c>
      <c r="AK169" s="1073"/>
      <c r="AL169" s="1073"/>
      <c r="AM169" s="1073"/>
      <c r="AN169" s="1073"/>
      <c r="AO169" s="1073"/>
      <c r="AP169" s="1073"/>
      <c r="AQ169" s="1073"/>
      <c r="AR169" s="1073"/>
      <c r="AS169" s="1073"/>
      <c r="AT169" s="1073"/>
      <c r="AU169" s="1073"/>
      <c r="AV169" s="1073"/>
      <c r="AW169" s="1073"/>
      <c r="AX169" s="1073"/>
      <c r="AY169" s="1183"/>
    </row>
    <row r="170" spans="1:51" ht="21" customHeight="1" x14ac:dyDescent="0.25">
      <c r="A170" s="1189"/>
      <c r="B170" s="1018"/>
      <c r="C170" s="1018"/>
      <c r="D170" s="165" t="s">
        <v>347</v>
      </c>
      <c r="E170" s="1225"/>
      <c r="F170" s="1225"/>
      <c r="G170" s="1225"/>
      <c r="H170" s="1225"/>
      <c r="I170" s="1225"/>
      <c r="J170" s="1225"/>
      <c r="K170" s="1306"/>
      <c r="L170" s="1225"/>
      <c r="M170" s="1225"/>
      <c r="N170" s="1023"/>
      <c r="O170" s="1023"/>
      <c r="P170" s="1023"/>
      <c r="Q170" s="1023"/>
      <c r="R170" s="1023"/>
      <c r="S170" s="1073"/>
      <c r="T170" s="1225">
        <f t="shared" si="24"/>
        <v>0</v>
      </c>
      <c r="U170" s="1225">
        <f t="shared" si="25"/>
        <v>0</v>
      </c>
      <c r="V170" s="1225">
        <f t="shared" si="26"/>
        <v>0</v>
      </c>
      <c r="W170" s="1225"/>
      <c r="X170" s="1225"/>
      <c r="Y170" s="1225"/>
      <c r="Z170" s="1225"/>
      <c r="AA170" s="1023"/>
      <c r="AB170" s="1225"/>
      <c r="AC170" s="1225"/>
      <c r="AD170" s="1225"/>
      <c r="AE170" s="1222"/>
      <c r="AF170" s="1203"/>
      <c r="AG170" s="1073"/>
      <c r="AH170" s="1073"/>
      <c r="AI170" s="1073"/>
      <c r="AJ170" s="1205" t="s">
        <v>466</v>
      </c>
      <c r="AK170" s="1073"/>
      <c r="AL170" s="1073"/>
      <c r="AM170" s="1073"/>
      <c r="AN170" s="1073"/>
      <c r="AO170" s="1073"/>
      <c r="AP170" s="1073"/>
      <c r="AQ170" s="1073"/>
      <c r="AR170" s="1073"/>
      <c r="AS170" s="1073"/>
      <c r="AT170" s="1073"/>
      <c r="AU170" s="1073"/>
      <c r="AV170" s="1073"/>
      <c r="AW170" s="1073"/>
      <c r="AX170" s="1073"/>
      <c r="AY170" s="1183"/>
    </row>
    <row r="171" spans="1:51" ht="21" customHeight="1" x14ac:dyDescent="0.25">
      <c r="A171" s="1189"/>
      <c r="B171" s="1018"/>
      <c r="C171" s="1048"/>
      <c r="D171" s="164" t="s">
        <v>348</v>
      </c>
      <c r="E171" s="1225"/>
      <c r="F171" s="1225"/>
      <c r="G171" s="1225"/>
      <c r="H171" s="1225"/>
      <c r="I171" s="1225"/>
      <c r="J171" s="1225"/>
      <c r="K171" s="1225"/>
      <c r="L171" s="1225"/>
      <c r="M171" s="1225"/>
      <c r="N171" s="1225"/>
      <c r="O171" s="1225"/>
      <c r="P171" s="1225"/>
      <c r="Q171" s="1225"/>
      <c r="R171" s="1225"/>
      <c r="S171" s="1073"/>
      <c r="T171" s="1225">
        <f t="shared" si="24"/>
        <v>0</v>
      </c>
      <c r="U171" s="1225">
        <f t="shared" si="25"/>
        <v>0</v>
      </c>
      <c r="V171" s="1225">
        <f t="shared" si="26"/>
        <v>0</v>
      </c>
      <c r="W171" s="1225"/>
      <c r="X171" s="1225"/>
      <c r="Y171" s="1225"/>
      <c r="Z171" s="1225"/>
      <c r="AA171" s="1225"/>
      <c r="AB171" s="1225"/>
      <c r="AC171" s="1225"/>
      <c r="AD171" s="1225"/>
      <c r="AE171" s="1222"/>
      <c r="AF171" s="1203"/>
      <c r="AG171" s="1076"/>
      <c r="AH171" s="1076"/>
      <c r="AI171" s="1076"/>
      <c r="AJ171" s="1286" t="s">
        <v>467</v>
      </c>
      <c r="AK171" s="1076"/>
      <c r="AL171" s="1076"/>
      <c r="AM171" s="1076"/>
      <c r="AN171" s="1076"/>
      <c r="AO171" s="1076"/>
      <c r="AP171" s="1076"/>
      <c r="AQ171" s="1076"/>
      <c r="AR171" s="1076"/>
      <c r="AS171" s="1076"/>
      <c r="AT171" s="1076"/>
      <c r="AU171" s="1076"/>
      <c r="AV171" s="1076"/>
      <c r="AW171" s="1076"/>
      <c r="AX171" s="1076"/>
      <c r="AY171" s="1183"/>
    </row>
    <row r="172" spans="1:51" ht="21" customHeight="1" x14ac:dyDescent="0.25">
      <c r="A172" s="1189"/>
      <c r="B172" s="1018"/>
      <c r="C172" s="1217" t="s">
        <v>482</v>
      </c>
      <c r="D172" s="161" t="s">
        <v>340</v>
      </c>
      <c r="E172" s="1225"/>
      <c r="F172" s="1225"/>
      <c r="G172" s="1225"/>
      <c r="H172" s="1225"/>
      <c r="I172" s="1225"/>
      <c r="J172" s="1225"/>
      <c r="K172" s="1306"/>
      <c r="L172" s="1225"/>
      <c r="M172" s="1225"/>
      <c r="N172" s="1023"/>
      <c r="O172" s="1225"/>
      <c r="P172" s="1225"/>
      <c r="Q172" s="1225"/>
      <c r="R172" s="1225"/>
      <c r="S172" s="1073"/>
      <c r="T172" s="1225">
        <f t="shared" si="24"/>
        <v>0</v>
      </c>
      <c r="U172" s="1225">
        <f t="shared" si="25"/>
        <v>0</v>
      </c>
      <c r="V172" s="1225">
        <f t="shared" si="26"/>
        <v>0</v>
      </c>
      <c r="W172" s="1225"/>
      <c r="X172" s="1225"/>
      <c r="Y172" s="1225"/>
      <c r="Z172" s="1225"/>
      <c r="AA172" s="1023"/>
      <c r="AB172" s="1225"/>
      <c r="AC172" s="1225"/>
      <c r="AD172" s="1225"/>
      <c r="AE172" s="1222"/>
      <c r="AF172" s="1307"/>
      <c r="AG172" s="1275" t="s">
        <v>522</v>
      </c>
      <c r="AH172" s="1275" t="s">
        <v>523</v>
      </c>
      <c r="AI172" s="1275" t="s">
        <v>524</v>
      </c>
      <c r="AJ172" s="1308" t="s">
        <v>1478</v>
      </c>
      <c r="AK172" s="1275" t="s">
        <v>457</v>
      </c>
      <c r="AL172" s="1275" t="s">
        <v>178</v>
      </c>
      <c r="AM172" s="1275" t="s">
        <v>458</v>
      </c>
      <c r="AN172" s="1282">
        <v>182943</v>
      </c>
      <c r="AO172" s="1277">
        <v>90946</v>
      </c>
      <c r="AP172" s="1277">
        <v>91997</v>
      </c>
      <c r="AQ172" s="1120" t="s">
        <v>459</v>
      </c>
      <c r="AR172" s="1120" t="s">
        <v>459</v>
      </c>
      <c r="AS172" s="1120" t="s">
        <v>459</v>
      </c>
      <c r="AT172" s="1120" t="s">
        <v>459</v>
      </c>
      <c r="AU172" s="1278" t="s">
        <v>459</v>
      </c>
      <c r="AV172" s="1278" t="s">
        <v>459</v>
      </c>
      <c r="AW172" s="1278" t="s">
        <v>459</v>
      </c>
      <c r="AX172" s="1282">
        <v>182943</v>
      </c>
      <c r="AY172" s="1183"/>
    </row>
    <row r="173" spans="1:51" ht="21" customHeight="1" x14ac:dyDescent="0.25">
      <c r="A173" s="1189"/>
      <c r="B173" s="1018"/>
      <c r="C173" s="1018"/>
      <c r="D173" s="164" t="s">
        <v>343</v>
      </c>
      <c r="E173" s="1225"/>
      <c r="F173" s="1225"/>
      <c r="G173" s="1225"/>
      <c r="H173" s="1225"/>
      <c r="I173" s="1225"/>
      <c r="J173" s="1225"/>
      <c r="K173" s="1225"/>
      <c r="L173" s="1225"/>
      <c r="M173" s="1225"/>
      <c r="N173" s="1225"/>
      <c r="O173" s="1225"/>
      <c r="P173" s="1225"/>
      <c r="Q173" s="1225"/>
      <c r="R173" s="1225"/>
      <c r="S173" s="1073"/>
      <c r="T173" s="1225">
        <f t="shared" si="24"/>
        <v>0</v>
      </c>
      <c r="U173" s="1225">
        <f t="shared" si="25"/>
        <v>0</v>
      </c>
      <c r="V173" s="1225">
        <f t="shared" si="26"/>
        <v>0</v>
      </c>
      <c r="W173" s="1225"/>
      <c r="X173" s="1225"/>
      <c r="Y173" s="1225"/>
      <c r="Z173" s="1225"/>
      <c r="AA173" s="1225"/>
      <c r="AB173" s="1225"/>
      <c r="AC173" s="1225"/>
      <c r="AD173" s="1225"/>
      <c r="AE173" s="1222"/>
      <c r="AF173" s="1203"/>
      <c r="AG173" s="1073"/>
      <c r="AH173" s="1073"/>
      <c r="AI173" s="1073"/>
      <c r="AJ173" s="1073"/>
      <c r="AK173" s="1073"/>
      <c r="AL173" s="1073"/>
      <c r="AM173" s="1073"/>
      <c r="AN173" s="1073"/>
      <c r="AO173" s="1073"/>
      <c r="AP173" s="1073"/>
      <c r="AQ173" s="1073"/>
      <c r="AR173" s="1073"/>
      <c r="AS173" s="1073"/>
      <c r="AT173" s="1073"/>
      <c r="AU173" s="1073"/>
      <c r="AV173" s="1073"/>
      <c r="AW173" s="1073"/>
      <c r="AX173" s="1073"/>
      <c r="AY173" s="1183"/>
    </row>
    <row r="174" spans="1:51" ht="21" customHeight="1" x14ac:dyDescent="0.25">
      <c r="A174" s="1189"/>
      <c r="B174" s="1018"/>
      <c r="C174" s="1018"/>
      <c r="D174" s="165" t="s">
        <v>345</v>
      </c>
      <c r="E174" s="1225"/>
      <c r="F174" s="1225"/>
      <c r="G174" s="1225"/>
      <c r="H174" s="1225"/>
      <c r="I174" s="1225"/>
      <c r="J174" s="1225"/>
      <c r="K174" s="1306"/>
      <c r="L174" s="1225"/>
      <c r="M174" s="1225"/>
      <c r="N174" s="1023"/>
      <c r="O174" s="1225"/>
      <c r="P174" s="1225"/>
      <c r="Q174" s="1225"/>
      <c r="R174" s="1225"/>
      <c r="S174" s="1073"/>
      <c r="T174" s="1225">
        <f t="shared" si="24"/>
        <v>0</v>
      </c>
      <c r="U174" s="1225">
        <f t="shared" si="25"/>
        <v>0</v>
      </c>
      <c r="V174" s="1225">
        <f t="shared" si="26"/>
        <v>0</v>
      </c>
      <c r="W174" s="1225"/>
      <c r="X174" s="1225"/>
      <c r="Y174" s="1225"/>
      <c r="Z174" s="1225"/>
      <c r="AA174" s="1023"/>
      <c r="AB174" s="1225"/>
      <c r="AC174" s="1225"/>
      <c r="AD174" s="1225"/>
      <c r="AE174" s="1222"/>
      <c r="AF174" s="1203"/>
      <c r="AG174" s="1073"/>
      <c r="AH174" s="1073"/>
      <c r="AI174" s="1073"/>
      <c r="AJ174" s="1073"/>
      <c r="AK174" s="1073"/>
      <c r="AL174" s="1073"/>
      <c r="AM174" s="1073"/>
      <c r="AN174" s="1073"/>
      <c r="AO174" s="1073"/>
      <c r="AP174" s="1073"/>
      <c r="AQ174" s="1073"/>
      <c r="AR174" s="1073"/>
      <c r="AS174" s="1073"/>
      <c r="AT174" s="1073"/>
      <c r="AU174" s="1073"/>
      <c r="AV174" s="1073"/>
      <c r="AW174" s="1073"/>
      <c r="AX174" s="1073"/>
      <c r="AY174" s="1183"/>
    </row>
    <row r="175" spans="1:51" ht="21" customHeight="1" x14ac:dyDescent="0.25">
      <c r="A175" s="1189"/>
      <c r="B175" s="1018"/>
      <c r="C175" s="1018"/>
      <c r="D175" s="164" t="s">
        <v>346</v>
      </c>
      <c r="E175" s="1225"/>
      <c r="F175" s="1225"/>
      <c r="G175" s="1225"/>
      <c r="H175" s="1225"/>
      <c r="I175" s="1225"/>
      <c r="J175" s="1225"/>
      <c r="K175" s="1306"/>
      <c r="L175" s="1225"/>
      <c r="M175" s="1225"/>
      <c r="N175" s="1023"/>
      <c r="O175" s="1225"/>
      <c r="P175" s="1225"/>
      <c r="Q175" s="1225"/>
      <c r="R175" s="1225"/>
      <c r="S175" s="1073"/>
      <c r="T175" s="1225">
        <f t="shared" si="24"/>
        <v>0</v>
      </c>
      <c r="U175" s="1225">
        <f t="shared" si="25"/>
        <v>0</v>
      </c>
      <c r="V175" s="1225">
        <f t="shared" si="26"/>
        <v>0</v>
      </c>
      <c r="W175" s="1225"/>
      <c r="X175" s="1225"/>
      <c r="Y175" s="1225"/>
      <c r="Z175" s="1225"/>
      <c r="AA175" s="1023"/>
      <c r="AB175" s="1225"/>
      <c r="AC175" s="1225"/>
      <c r="AD175" s="1225"/>
      <c r="AE175" s="1222"/>
      <c r="AF175" s="1203"/>
      <c r="AG175" s="1073"/>
      <c r="AH175" s="1073"/>
      <c r="AI175" s="1073"/>
      <c r="AJ175" s="1073"/>
      <c r="AK175" s="1073"/>
      <c r="AL175" s="1073"/>
      <c r="AM175" s="1073"/>
      <c r="AN175" s="1073"/>
      <c r="AO175" s="1073"/>
      <c r="AP175" s="1073"/>
      <c r="AQ175" s="1073"/>
      <c r="AR175" s="1073"/>
      <c r="AS175" s="1073"/>
      <c r="AT175" s="1073"/>
      <c r="AU175" s="1073"/>
      <c r="AV175" s="1073"/>
      <c r="AW175" s="1073"/>
      <c r="AX175" s="1073"/>
      <c r="AY175" s="1183"/>
    </row>
    <row r="176" spans="1:51" ht="21" customHeight="1" x14ac:dyDescent="0.25">
      <c r="A176" s="1189"/>
      <c r="B176" s="1018"/>
      <c r="C176" s="1018"/>
      <c r="D176" s="165" t="s">
        <v>347</v>
      </c>
      <c r="E176" s="1225"/>
      <c r="F176" s="1225"/>
      <c r="G176" s="1225"/>
      <c r="H176" s="1225"/>
      <c r="I176" s="1225"/>
      <c r="J176" s="1225"/>
      <c r="K176" s="1306"/>
      <c r="L176" s="1225"/>
      <c r="M176" s="1225"/>
      <c r="N176" s="1023"/>
      <c r="O176" s="1023"/>
      <c r="P176" s="1023"/>
      <c r="Q176" s="1023"/>
      <c r="R176" s="1023"/>
      <c r="S176" s="1073"/>
      <c r="T176" s="1225">
        <f t="shared" si="24"/>
        <v>0</v>
      </c>
      <c r="U176" s="1225">
        <f t="shared" si="25"/>
        <v>0</v>
      </c>
      <c r="V176" s="1225">
        <f t="shared" si="26"/>
        <v>0</v>
      </c>
      <c r="W176" s="1225"/>
      <c r="X176" s="1225"/>
      <c r="Y176" s="1225"/>
      <c r="Z176" s="1225"/>
      <c r="AA176" s="1023"/>
      <c r="AB176" s="1225"/>
      <c r="AC176" s="1225"/>
      <c r="AD176" s="1225"/>
      <c r="AE176" s="1222"/>
      <c r="AF176" s="1203"/>
      <c r="AG176" s="1073"/>
      <c r="AH176" s="1073"/>
      <c r="AI176" s="1073"/>
      <c r="AJ176" s="1073"/>
      <c r="AK176" s="1073"/>
      <c r="AL176" s="1073"/>
      <c r="AM176" s="1073"/>
      <c r="AN176" s="1073"/>
      <c r="AO176" s="1073"/>
      <c r="AP176" s="1073"/>
      <c r="AQ176" s="1073"/>
      <c r="AR176" s="1073"/>
      <c r="AS176" s="1073"/>
      <c r="AT176" s="1073"/>
      <c r="AU176" s="1073"/>
      <c r="AV176" s="1073"/>
      <c r="AW176" s="1073"/>
      <c r="AX176" s="1073"/>
      <c r="AY176" s="1183"/>
    </row>
    <row r="177" spans="1:51" ht="21" customHeight="1" x14ac:dyDescent="0.25">
      <c r="A177" s="1189"/>
      <c r="B177" s="1018"/>
      <c r="C177" s="1048"/>
      <c r="D177" s="164" t="s">
        <v>348</v>
      </c>
      <c r="E177" s="1225"/>
      <c r="F177" s="1225"/>
      <c r="G177" s="1225"/>
      <c r="H177" s="1225"/>
      <c r="I177" s="1225"/>
      <c r="J177" s="1225"/>
      <c r="K177" s="1225"/>
      <c r="L177" s="1225"/>
      <c r="M177" s="1225"/>
      <c r="N177" s="1225"/>
      <c r="O177" s="1225"/>
      <c r="P177" s="1225"/>
      <c r="Q177" s="1225"/>
      <c r="R177" s="1225"/>
      <c r="S177" s="1073"/>
      <c r="T177" s="1225">
        <f t="shared" si="24"/>
        <v>0</v>
      </c>
      <c r="U177" s="1225">
        <f t="shared" si="25"/>
        <v>0</v>
      </c>
      <c r="V177" s="1225">
        <f t="shared" si="26"/>
        <v>0</v>
      </c>
      <c r="W177" s="1225"/>
      <c r="X177" s="1225"/>
      <c r="Y177" s="1225"/>
      <c r="Z177" s="1225"/>
      <c r="AA177" s="1225"/>
      <c r="AB177" s="1225"/>
      <c r="AC177" s="1225"/>
      <c r="AD177" s="1225"/>
      <c r="AE177" s="1222"/>
      <c r="AF177" s="1173"/>
      <c r="AG177" s="1076"/>
      <c r="AH177" s="1076"/>
      <c r="AI177" s="1076"/>
      <c r="AJ177" s="1076"/>
      <c r="AK177" s="1076"/>
      <c r="AL177" s="1076"/>
      <c r="AM177" s="1076"/>
      <c r="AN177" s="1076"/>
      <c r="AO177" s="1076"/>
      <c r="AP177" s="1076"/>
      <c r="AQ177" s="1076"/>
      <c r="AR177" s="1076"/>
      <c r="AS177" s="1076"/>
      <c r="AT177" s="1076"/>
      <c r="AU177" s="1076"/>
      <c r="AV177" s="1076"/>
      <c r="AW177" s="1076"/>
      <c r="AX177" s="1076"/>
      <c r="AY177" s="1183"/>
    </row>
    <row r="178" spans="1:51" ht="21" customHeight="1" x14ac:dyDescent="0.25">
      <c r="A178" s="1189"/>
      <c r="B178" s="1018"/>
      <c r="C178" s="1217" t="s">
        <v>486</v>
      </c>
      <c r="D178" s="161" t="s">
        <v>340</v>
      </c>
      <c r="E178" s="1225"/>
      <c r="F178" s="1225"/>
      <c r="G178" s="1225"/>
      <c r="H178" s="1225">
        <v>1</v>
      </c>
      <c r="I178" s="1225">
        <v>1</v>
      </c>
      <c r="J178" s="1225"/>
      <c r="K178" s="1306"/>
      <c r="L178" s="1225"/>
      <c r="M178" s="1225"/>
      <c r="N178" s="1023"/>
      <c r="O178" s="1225"/>
      <c r="P178" s="1225"/>
      <c r="Q178" s="1225"/>
      <c r="R178" s="1225"/>
      <c r="S178" s="1073"/>
      <c r="T178" s="1225">
        <f t="shared" si="24"/>
        <v>0</v>
      </c>
      <c r="U178" s="1225">
        <f t="shared" si="25"/>
        <v>1</v>
      </c>
      <c r="V178" s="1225">
        <f t="shared" si="26"/>
        <v>1</v>
      </c>
      <c r="W178" s="1225"/>
      <c r="X178" s="1225"/>
      <c r="Y178" s="1225"/>
      <c r="Z178" s="1225"/>
      <c r="AA178" s="1023"/>
      <c r="AB178" s="1225"/>
      <c r="AC178" s="1225"/>
      <c r="AD178" s="1225"/>
      <c r="AE178" s="1222"/>
      <c r="AF178" s="1304" t="s">
        <v>1472</v>
      </c>
      <c r="AG178" s="1275" t="s">
        <v>486</v>
      </c>
      <c r="AH178" s="1275" t="s">
        <v>1532</v>
      </c>
      <c r="AI178" s="1275" t="s">
        <v>1533</v>
      </c>
      <c r="AJ178" s="1308" t="s">
        <v>1478</v>
      </c>
      <c r="AK178" s="1275" t="s">
        <v>457</v>
      </c>
      <c r="AL178" s="1275" t="s">
        <v>525</v>
      </c>
      <c r="AM178" s="1275" t="s">
        <v>458</v>
      </c>
      <c r="AN178" s="1282">
        <v>733740</v>
      </c>
      <c r="AO178" s="1282">
        <v>353078</v>
      </c>
      <c r="AP178" s="1282">
        <v>380662</v>
      </c>
      <c r="AQ178" s="1120" t="s">
        <v>459</v>
      </c>
      <c r="AR178" s="1120" t="s">
        <v>459</v>
      </c>
      <c r="AS178" s="1120" t="s">
        <v>459</v>
      </c>
      <c r="AT178" s="1120" t="s">
        <v>459</v>
      </c>
      <c r="AU178" s="1278" t="s">
        <v>459</v>
      </c>
      <c r="AV178" s="1278" t="s">
        <v>459</v>
      </c>
      <c r="AW178" s="1278" t="s">
        <v>459</v>
      </c>
      <c r="AX178" s="1282">
        <v>733740</v>
      </c>
      <c r="AY178" s="1183"/>
    </row>
    <row r="179" spans="1:51" ht="21" customHeight="1" x14ac:dyDescent="0.25">
      <c r="A179" s="1189"/>
      <c r="B179" s="1018"/>
      <c r="C179" s="1018"/>
      <c r="D179" s="164" t="s">
        <v>343</v>
      </c>
      <c r="E179" s="1225"/>
      <c r="F179" s="1225"/>
      <c r="G179" s="1225"/>
      <c r="H179" s="1225">
        <f>+H178*$U$143/$U$142</f>
        <v>518705.8823529412</v>
      </c>
      <c r="I179" s="1225">
        <f>+I178*$V$143/$V$142</f>
        <v>3849555.5555555555</v>
      </c>
      <c r="J179" s="1225"/>
      <c r="K179" s="1225"/>
      <c r="L179" s="1225"/>
      <c r="M179" s="1225"/>
      <c r="N179" s="1225"/>
      <c r="O179" s="1225"/>
      <c r="P179" s="1225"/>
      <c r="Q179" s="1225"/>
      <c r="R179" s="1225"/>
      <c r="S179" s="1073"/>
      <c r="T179" s="1225">
        <f t="shared" si="24"/>
        <v>0</v>
      </c>
      <c r="U179" s="1225">
        <f t="shared" si="25"/>
        <v>518705.8823529412</v>
      </c>
      <c r="V179" s="1225">
        <f t="shared" si="26"/>
        <v>3849555.5555555555</v>
      </c>
      <c r="W179" s="1225"/>
      <c r="X179" s="1225"/>
      <c r="Y179" s="1225"/>
      <c r="Z179" s="1225"/>
      <c r="AA179" s="1225"/>
      <c r="AB179" s="1225"/>
      <c r="AC179" s="1225"/>
      <c r="AD179" s="1225"/>
      <c r="AE179" s="1222"/>
      <c r="AF179" s="1073"/>
      <c r="AG179" s="1073"/>
      <c r="AH179" s="1073"/>
      <c r="AI179" s="1073"/>
      <c r="AJ179" s="1073"/>
      <c r="AK179" s="1073"/>
      <c r="AL179" s="1073"/>
      <c r="AM179" s="1073"/>
      <c r="AN179" s="1073"/>
      <c r="AO179" s="1073"/>
      <c r="AP179" s="1073"/>
      <c r="AQ179" s="1073"/>
      <c r="AR179" s="1073"/>
      <c r="AS179" s="1073"/>
      <c r="AT179" s="1073"/>
      <c r="AU179" s="1073"/>
      <c r="AV179" s="1073"/>
      <c r="AW179" s="1073"/>
      <c r="AX179" s="1073"/>
      <c r="AY179" s="1183"/>
    </row>
    <row r="180" spans="1:51" ht="21" customHeight="1" x14ac:dyDescent="0.25">
      <c r="A180" s="1189"/>
      <c r="B180" s="1018"/>
      <c r="C180" s="1018"/>
      <c r="D180" s="165" t="s">
        <v>345</v>
      </c>
      <c r="E180" s="1225"/>
      <c r="F180" s="1225"/>
      <c r="G180" s="1225"/>
      <c r="H180" s="1225"/>
      <c r="I180" s="1225"/>
      <c r="J180" s="1225"/>
      <c r="K180" s="1306"/>
      <c r="L180" s="1225"/>
      <c r="M180" s="1225"/>
      <c r="N180" s="1023"/>
      <c r="O180" s="1225"/>
      <c r="P180" s="1225"/>
      <c r="Q180" s="1225"/>
      <c r="R180" s="1225"/>
      <c r="S180" s="1073"/>
      <c r="T180" s="1225">
        <f t="shared" si="24"/>
        <v>0</v>
      </c>
      <c r="U180" s="1225">
        <f t="shared" si="25"/>
        <v>0</v>
      </c>
      <c r="V180" s="1225">
        <f t="shared" si="26"/>
        <v>0</v>
      </c>
      <c r="W180" s="1225"/>
      <c r="X180" s="1225"/>
      <c r="Y180" s="1225"/>
      <c r="Z180" s="1225"/>
      <c r="AA180" s="1023"/>
      <c r="AB180" s="1225"/>
      <c r="AC180" s="1225"/>
      <c r="AD180" s="1225"/>
      <c r="AE180" s="1222"/>
      <c r="AF180" s="1073"/>
      <c r="AG180" s="1073"/>
      <c r="AH180" s="1073"/>
      <c r="AI180" s="1073"/>
      <c r="AJ180" s="1073"/>
      <c r="AK180" s="1073"/>
      <c r="AL180" s="1073"/>
      <c r="AM180" s="1073"/>
      <c r="AN180" s="1073"/>
      <c r="AO180" s="1073"/>
      <c r="AP180" s="1073"/>
      <c r="AQ180" s="1073"/>
      <c r="AR180" s="1073"/>
      <c r="AS180" s="1073"/>
      <c r="AT180" s="1073"/>
      <c r="AU180" s="1073"/>
      <c r="AV180" s="1073"/>
      <c r="AW180" s="1073"/>
      <c r="AX180" s="1073"/>
      <c r="AY180" s="1183"/>
    </row>
    <row r="181" spans="1:51" ht="21" customHeight="1" x14ac:dyDescent="0.25">
      <c r="A181" s="1189"/>
      <c r="B181" s="1018"/>
      <c r="C181" s="1018"/>
      <c r="D181" s="164" t="s">
        <v>346</v>
      </c>
      <c r="E181" s="1225"/>
      <c r="F181" s="1225"/>
      <c r="G181" s="1225"/>
      <c r="H181" s="1225"/>
      <c r="I181" s="1225"/>
      <c r="J181" s="1225"/>
      <c r="K181" s="1306"/>
      <c r="L181" s="1225"/>
      <c r="M181" s="1225"/>
      <c r="N181" s="1225"/>
      <c r="O181" s="1225"/>
      <c r="P181" s="1225"/>
      <c r="Q181" s="1225"/>
      <c r="R181" s="1225"/>
      <c r="S181" s="1073"/>
      <c r="T181" s="1225">
        <f t="shared" si="24"/>
        <v>0</v>
      </c>
      <c r="U181" s="1225">
        <f t="shared" si="25"/>
        <v>0</v>
      </c>
      <c r="V181" s="1225">
        <f t="shared" si="26"/>
        <v>0</v>
      </c>
      <c r="W181" s="1225"/>
      <c r="X181" s="1225"/>
      <c r="Y181" s="1225"/>
      <c r="Z181" s="1225"/>
      <c r="AA181" s="1225"/>
      <c r="AB181" s="1225"/>
      <c r="AC181" s="1225"/>
      <c r="AD181" s="1225"/>
      <c r="AE181" s="1222"/>
      <c r="AF181" s="1073"/>
      <c r="AG181" s="1073"/>
      <c r="AH181" s="1073"/>
      <c r="AI181" s="1073"/>
      <c r="AJ181" s="1073"/>
      <c r="AK181" s="1073"/>
      <c r="AL181" s="1073"/>
      <c r="AM181" s="1073"/>
      <c r="AN181" s="1073"/>
      <c r="AO181" s="1073"/>
      <c r="AP181" s="1073"/>
      <c r="AQ181" s="1073"/>
      <c r="AR181" s="1073"/>
      <c r="AS181" s="1073"/>
      <c r="AT181" s="1073"/>
      <c r="AU181" s="1073"/>
      <c r="AV181" s="1073"/>
      <c r="AW181" s="1073"/>
      <c r="AX181" s="1073"/>
      <c r="AY181" s="1183"/>
    </row>
    <row r="182" spans="1:51" ht="21" customHeight="1" x14ac:dyDescent="0.25">
      <c r="A182" s="1189"/>
      <c r="B182" s="1018"/>
      <c r="C182" s="1018"/>
      <c r="D182" s="165" t="s">
        <v>347</v>
      </c>
      <c r="E182" s="1225"/>
      <c r="F182" s="1225"/>
      <c r="G182" s="1225"/>
      <c r="H182" s="1225">
        <f>+H178+H180</f>
        <v>1</v>
      </c>
      <c r="I182" s="1225">
        <v>1</v>
      </c>
      <c r="J182" s="1225"/>
      <c r="K182" s="1306"/>
      <c r="L182" s="1225"/>
      <c r="M182" s="1225"/>
      <c r="N182" s="1023"/>
      <c r="O182" s="1023"/>
      <c r="P182" s="1023"/>
      <c r="Q182" s="1023"/>
      <c r="R182" s="1023"/>
      <c r="S182" s="1073"/>
      <c r="T182" s="1225">
        <f t="shared" si="24"/>
        <v>0</v>
      </c>
      <c r="U182" s="1225">
        <f t="shared" si="25"/>
        <v>1</v>
      </c>
      <c r="V182" s="1225">
        <f t="shared" si="26"/>
        <v>1</v>
      </c>
      <c r="W182" s="1225"/>
      <c r="X182" s="1225"/>
      <c r="Y182" s="1225"/>
      <c r="Z182" s="1225"/>
      <c r="AA182" s="1023"/>
      <c r="AB182" s="1225"/>
      <c r="AC182" s="1225"/>
      <c r="AD182" s="1225"/>
      <c r="AE182" s="1222"/>
      <c r="AF182" s="1073"/>
      <c r="AG182" s="1073"/>
      <c r="AH182" s="1073"/>
      <c r="AI182" s="1073"/>
      <c r="AJ182" s="1073"/>
      <c r="AK182" s="1073"/>
      <c r="AL182" s="1073"/>
      <c r="AM182" s="1073"/>
      <c r="AN182" s="1073"/>
      <c r="AO182" s="1073"/>
      <c r="AP182" s="1073"/>
      <c r="AQ182" s="1073"/>
      <c r="AR182" s="1073"/>
      <c r="AS182" s="1073"/>
      <c r="AT182" s="1073"/>
      <c r="AU182" s="1073"/>
      <c r="AV182" s="1073"/>
      <c r="AW182" s="1073"/>
      <c r="AX182" s="1073"/>
      <c r="AY182" s="1183"/>
    </row>
    <row r="183" spans="1:51" ht="21" customHeight="1" x14ac:dyDescent="0.25">
      <c r="A183" s="1189"/>
      <c r="B183" s="1018"/>
      <c r="C183" s="1048"/>
      <c r="D183" s="164" t="s">
        <v>348</v>
      </c>
      <c r="E183" s="1225"/>
      <c r="F183" s="1225"/>
      <c r="G183" s="1225"/>
      <c r="H183" s="1225">
        <f>+H179+H181</f>
        <v>518705.8823529412</v>
      </c>
      <c r="I183" s="1225">
        <f>+I179+I181</f>
        <v>3849555.5555555555</v>
      </c>
      <c r="J183" s="1225"/>
      <c r="K183" s="1225"/>
      <c r="L183" s="1225"/>
      <c r="M183" s="1225"/>
      <c r="N183" s="1225"/>
      <c r="O183" s="1225"/>
      <c r="P183" s="1225"/>
      <c r="Q183" s="1225"/>
      <c r="R183" s="1225"/>
      <c r="S183" s="1073"/>
      <c r="T183" s="1225">
        <f t="shared" si="24"/>
        <v>0</v>
      </c>
      <c r="U183" s="1225">
        <f t="shared" si="25"/>
        <v>518705.8823529412</v>
      </c>
      <c r="V183" s="1225">
        <f t="shared" si="26"/>
        <v>3849555.5555555555</v>
      </c>
      <c r="W183" s="1225"/>
      <c r="X183" s="1225"/>
      <c r="Y183" s="1225"/>
      <c r="Z183" s="1225"/>
      <c r="AA183" s="1225"/>
      <c r="AB183" s="1225"/>
      <c r="AC183" s="1225"/>
      <c r="AD183" s="1225"/>
      <c r="AE183" s="1222"/>
      <c r="AF183" s="1076"/>
      <c r="AG183" s="1076"/>
      <c r="AH183" s="1076"/>
      <c r="AI183" s="1076"/>
      <c r="AJ183" s="1076"/>
      <c r="AK183" s="1076"/>
      <c r="AL183" s="1076"/>
      <c r="AM183" s="1076"/>
      <c r="AN183" s="1076"/>
      <c r="AO183" s="1076"/>
      <c r="AP183" s="1076"/>
      <c r="AQ183" s="1076"/>
      <c r="AR183" s="1076"/>
      <c r="AS183" s="1076"/>
      <c r="AT183" s="1076"/>
      <c r="AU183" s="1076"/>
      <c r="AV183" s="1076"/>
      <c r="AW183" s="1076"/>
      <c r="AX183" s="1076"/>
      <c r="AY183" s="1183"/>
    </row>
    <row r="184" spans="1:51" ht="21" customHeight="1" x14ac:dyDescent="0.25">
      <c r="A184" s="1189"/>
      <c r="B184" s="1018"/>
      <c r="C184" s="1217" t="s">
        <v>526</v>
      </c>
      <c r="D184" s="161" t="s">
        <v>340</v>
      </c>
      <c r="E184" s="1225"/>
      <c r="F184" s="1225"/>
      <c r="G184" s="1225"/>
      <c r="H184" s="1225">
        <v>2</v>
      </c>
      <c r="I184" s="1225">
        <v>3</v>
      </c>
      <c r="J184" s="1225"/>
      <c r="K184" s="1306"/>
      <c r="L184" s="1225"/>
      <c r="M184" s="1225"/>
      <c r="N184" s="1023"/>
      <c r="O184" s="1225"/>
      <c r="P184" s="1225"/>
      <c r="Q184" s="1225"/>
      <c r="R184" s="1225"/>
      <c r="S184" s="1073"/>
      <c r="T184" s="1225">
        <f t="shared" si="24"/>
        <v>0</v>
      </c>
      <c r="U184" s="1225">
        <f t="shared" si="25"/>
        <v>2</v>
      </c>
      <c r="V184" s="1225">
        <f t="shared" si="26"/>
        <v>3</v>
      </c>
      <c r="W184" s="1225"/>
      <c r="X184" s="1225"/>
      <c r="Y184" s="1225"/>
      <c r="Z184" s="1225"/>
      <c r="AA184" s="1023"/>
      <c r="AB184" s="1225"/>
      <c r="AC184" s="1225"/>
      <c r="AD184" s="1225"/>
      <c r="AE184" s="1222"/>
      <c r="AF184" s="1304" t="s">
        <v>1537</v>
      </c>
      <c r="AG184" s="1309" t="s">
        <v>527</v>
      </c>
      <c r="AH184" s="1275" t="s">
        <v>1639</v>
      </c>
      <c r="AI184" s="1275" t="s">
        <v>1640</v>
      </c>
      <c r="AJ184" s="1308" t="s">
        <v>1478</v>
      </c>
      <c r="AK184" s="1275" t="s">
        <v>457</v>
      </c>
      <c r="AL184" s="1275" t="s">
        <v>528</v>
      </c>
      <c r="AM184" s="1275" t="s">
        <v>458</v>
      </c>
      <c r="AN184" s="1282">
        <v>1037929</v>
      </c>
      <c r="AO184" s="1282">
        <v>503962</v>
      </c>
      <c r="AP184" s="1282">
        <v>533967</v>
      </c>
      <c r="AQ184" s="1120" t="s">
        <v>459</v>
      </c>
      <c r="AR184" s="1120" t="s">
        <v>459</v>
      </c>
      <c r="AS184" s="1120" t="s">
        <v>459</v>
      </c>
      <c r="AT184" s="1120" t="s">
        <v>459</v>
      </c>
      <c r="AU184" s="1278" t="s">
        <v>459</v>
      </c>
      <c r="AV184" s="1278" t="s">
        <v>459</v>
      </c>
      <c r="AW184" s="1278" t="s">
        <v>459</v>
      </c>
      <c r="AX184" s="1282">
        <v>1037929</v>
      </c>
      <c r="AY184" s="1183"/>
    </row>
    <row r="185" spans="1:51" ht="21" customHeight="1" x14ac:dyDescent="0.25">
      <c r="A185" s="1189"/>
      <c r="B185" s="1018"/>
      <c r="C185" s="1018"/>
      <c r="D185" s="164" t="s">
        <v>343</v>
      </c>
      <c r="E185" s="1225"/>
      <c r="F185" s="1225"/>
      <c r="G185" s="1225"/>
      <c r="H185" s="1225">
        <f>+H184*$U$143/$U$142</f>
        <v>1037411.7647058824</v>
      </c>
      <c r="I185" s="1225">
        <f>+I184*$V$143/$V$142</f>
        <v>11548666.666666666</v>
      </c>
      <c r="J185" s="1225"/>
      <c r="K185" s="1225"/>
      <c r="L185" s="1225"/>
      <c r="M185" s="1225"/>
      <c r="N185" s="1225"/>
      <c r="O185" s="1225"/>
      <c r="P185" s="1225"/>
      <c r="Q185" s="1225"/>
      <c r="R185" s="1225"/>
      <c r="S185" s="1073"/>
      <c r="T185" s="1225">
        <f t="shared" si="24"/>
        <v>0</v>
      </c>
      <c r="U185" s="1225">
        <f t="shared" si="25"/>
        <v>1037411.7647058824</v>
      </c>
      <c r="V185" s="1225">
        <f t="shared" si="26"/>
        <v>11548666.666666666</v>
      </c>
      <c r="W185" s="1225"/>
      <c r="X185" s="1225"/>
      <c r="Y185" s="1225"/>
      <c r="Z185" s="1225"/>
      <c r="AA185" s="1225"/>
      <c r="AB185" s="1225"/>
      <c r="AC185" s="1225"/>
      <c r="AD185" s="1225"/>
      <c r="AE185" s="1222"/>
      <c r="AF185" s="1073"/>
      <c r="AG185" s="1223"/>
      <c r="AH185" s="1073"/>
      <c r="AI185" s="1073"/>
      <c r="AJ185" s="1073"/>
      <c r="AK185" s="1073"/>
      <c r="AL185" s="1073"/>
      <c r="AM185" s="1073"/>
      <c r="AN185" s="1073"/>
      <c r="AO185" s="1073"/>
      <c r="AP185" s="1073"/>
      <c r="AQ185" s="1073"/>
      <c r="AR185" s="1073"/>
      <c r="AS185" s="1073"/>
      <c r="AT185" s="1073"/>
      <c r="AU185" s="1073"/>
      <c r="AV185" s="1073"/>
      <c r="AW185" s="1073"/>
      <c r="AX185" s="1073"/>
      <c r="AY185" s="1183"/>
    </row>
    <row r="186" spans="1:51" ht="21" customHeight="1" x14ac:dyDescent="0.25">
      <c r="A186" s="1189"/>
      <c r="B186" s="1018"/>
      <c r="C186" s="1018"/>
      <c r="D186" s="165" t="s">
        <v>345</v>
      </c>
      <c r="E186" s="1225"/>
      <c r="F186" s="1225"/>
      <c r="G186" s="1225"/>
      <c r="H186" s="1225"/>
      <c r="I186" s="1225"/>
      <c r="J186" s="1225"/>
      <c r="K186" s="1306"/>
      <c r="L186" s="1225"/>
      <c r="M186" s="1225"/>
      <c r="N186" s="1023"/>
      <c r="O186" s="1225"/>
      <c r="P186" s="1225"/>
      <c r="Q186" s="1225"/>
      <c r="R186" s="1225"/>
      <c r="S186" s="1073"/>
      <c r="T186" s="1225">
        <f t="shared" si="24"/>
        <v>0</v>
      </c>
      <c r="U186" s="1225">
        <f t="shared" si="25"/>
        <v>0</v>
      </c>
      <c r="V186" s="1225">
        <f t="shared" si="26"/>
        <v>0</v>
      </c>
      <c r="W186" s="1225"/>
      <c r="X186" s="1225"/>
      <c r="Y186" s="1225"/>
      <c r="Z186" s="1225"/>
      <c r="AA186" s="1023"/>
      <c r="AB186" s="1225"/>
      <c r="AC186" s="1225"/>
      <c r="AD186" s="1225"/>
      <c r="AE186" s="1222"/>
      <c r="AF186" s="1073"/>
      <c r="AG186" s="1223"/>
      <c r="AH186" s="1073"/>
      <c r="AI186" s="1073"/>
      <c r="AJ186" s="1073"/>
      <c r="AK186" s="1073"/>
      <c r="AL186" s="1073"/>
      <c r="AM186" s="1073"/>
      <c r="AN186" s="1073"/>
      <c r="AO186" s="1073"/>
      <c r="AP186" s="1073"/>
      <c r="AQ186" s="1073"/>
      <c r="AR186" s="1073"/>
      <c r="AS186" s="1073"/>
      <c r="AT186" s="1073"/>
      <c r="AU186" s="1073"/>
      <c r="AV186" s="1073"/>
      <c r="AW186" s="1073"/>
      <c r="AX186" s="1073"/>
      <c r="AY186" s="1183"/>
    </row>
    <row r="187" spans="1:51" ht="21" customHeight="1" x14ac:dyDescent="0.25">
      <c r="A187" s="1189"/>
      <c r="B187" s="1018"/>
      <c r="C187" s="1018"/>
      <c r="D187" s="164" t="s">
        <v>346</v>
      </c>
      <c r="E187" s="1225"/>
      <c r="F187" s="1225"/>
      <c r="G187" s="1225"/>
      <c r="H187" s="1225"/>
      <c r="I187" s="1225"/>
      <c r="J187" s="1225"/>
      <c r="K187" s="1306"/>
      <c r="L187" s="1225"/>
      <c r="M187" s="1225"/>
      <c r="N187" s="1023"/>
      <c r="O187" s="1225"/>
      <c r="P187" s="1225"/>
      <c r="Q187" s="1225"/>
      <c r="R187" s="1225"/>
      <c r="S187" s="1073"/>
      <c r="T187" s="1225">
        <f t="shared" si="24"/>
        <v>0</v>
      </c>
      <c r="U187" s="1225">
        <f t="shared" si="25"/>
        <v>0</v>
      </c>
      <c r="V187" s="1225">
        <f t="shared" si="26"/>
        <v>0</v>
      </c>
      <c r="W187" s="1225"/>
      <c r="X187" s="1225"/>
      <c r="Y187" s="1225"/>
      <c r="Z187" s="1225"/>
      <c r="AA187" s="1023"/>
      <c r="AB187" s="1225"/>
      <c r="AC187" s="1225"/>
      <c r="AD187" s="1225"/>
      <c r="AE187" s="1222"/>
      <c r="AF187" s="1073"/>
      <c r="AG187" s="1223"/>
      <c r="AH187" s="1073"/>
      <c r="AI187" s="1073"/>
      <c r="AJ187" s="1073"/>
      <c r="AK187" s="1073"/>
      <c r="AL187" s="1073"/>
      <c r="AM187" s="1073"/>
      <c r="AN187" s="1073"/>
      <c r="AO187" s="1073"/>
      <c r="AP187" s="1073"/>
      <c r="AQ187" s="1073"/>
      <c r="AR187" s="1073"/>
      <c r="AS187" s="1073"/>
      <c r="AT187" s="1073"/>
      <c r="AU187" s="1073"/>
      <c r="AV187" s="1073"/>
      <c r="AW187" s="1073"/>
      <c r="AX187" s="1073"/>
      <c r="AY187" s="1183"/>
    </row>
    <row r="188" spans="1:51" ht="21" customHeight="1" x14ac:dyDescent="0.25">
      <c r="A188" s="1189"/>
      <c r="B188" s="1018"/>
      <c r="C188" s="1018"/>
      <c r="D188" s="165" t="s">
        <v>347</v>
      </c>
      <c r="E188" s="1225"/>
      <c r="F188" s="1225"/>
      <c r="G188" s="1225"/>
      <c r="H188" s="1225">
        <f>+H184+H186</f>
        <v>2</v>
      </c>
      <c r="I188" s="1225">
        <v>3</v>
      </c>
      <c r="J188" s="1225"/>
      <c r="K188" s="1306"/>
      <c r="L188" s="1225"/>
      <c r="M188" s="1225"/>
      <c r="N188" s="1023"/>
      <c r="O188" s="1023"/>
      <c r="P188" s="1023"/>
      <c r="Q188" s="1023"/>
      <c r="R188" s="1023"/>
      <c r="S188" s="1073"/>
      <c r="T188" s="1225">
        <f t="shared" si="24"/>
        <v>0</v>
      </c>
      <c r="U188" s="1225">
        <f t="shared" si="25"/>
        <v>2</v>
      </c>
      <c r="V188" s="1225">
        <f t="shared" si="26"/>
        <v>3</v>
      </c>
      <c r="W188" s="1225"/>
      <c r="X188" s="1225"/>
      <c r="Y188" s="1225"/>
      <c r="Z188" s="1225"/>
      <c r="AA188" s="1023"/>
      <c r="AB188" s="1225"/>
      <c r="AC188" s="1225"/>
      <c r="AD188" s="1225"/>
      <c r="AE188" s="1222"/>
      <c r="AF188" s="1073"/>
      <c r="AG188" s="1223"/>
      <c r="AH188" s="1073"/>
      <c r="AI188" s="1073"/>
      <c r="AJ188" s="1073"/>
      <c r="AK188" s="1073"/>
      <c r="AL188" s="1073"/>
      <c r="AM188" s="1073"/>
      <c r="AN188" s="1073"/>
      <c r="AO188" s="1073"/>
      <c r="AP188" s="1073"/>
      <c r="AQ188" s="1073"/>
      <c r="AR188" s="1073"/>
      <c r="AS188" s="1073"/>
      <c r="AT188" s="1073"/>
      <c r="AU188" s="1073"/>
      <c r="AV188" s="1073"/>
      <c r="AW188" s="1073"/>
      <c r="AX188" s="1073"/>
      <c r="AY188" s="1183"/>
    </row>
    <row r="189" spans="1:51" ht="21" customHeight="1" x14ac:dyDescent="0.25">
      <c r="A189" s="1189"/>
      <c r="B189" s="1018"/>
      <c r="C189" s="1048"/>
      <c r="D189" s="164" t="s">
        <v>348</v>
      </c>
      <c r="E189" s="1225"/>
      <c r="F189" s="1225"/>
      <c r="G189" s="1225"/>
      <c r="H189" s="1225">
        <f>+H185+H187</f>
        <v>1037411.7647058824</v>
      </c>
      <c r="I189" s="1225">
        <f>+I185+I187</f>
        <v>11548666.666666666</v>
      </c>
      <c r="J189" s="1225"/>
      <c r="K189" s="1225"/>
      <c r="L189" s="1225"/>
      <c r="M189" s="1225"/>
      <c r="N189" s="1225"/>
      <c r="O189" s="1225"/>
      <c r="P189" s="1225"/>
      <c r="Q189" s="1225"/>
      <c r="R189" s="1225"/>
      <c r="S189" s="1073"/>
      <c r="T189" s="1225">
        <f t="shared" si="24"/>
        <v>0</v>
      </c>
      <c r="U189" s="1225">
        <f t="shared" si="25"/>
        <v>1037411.7647058824</v>
      </c>
      <c r="V189" s="1225">
        <f t="shared" si="26"/>
        <v>11548666.666666666</v>
      </c>
      <c r="W189" s="1225"/>
      <c r="X189" s="1225"/>
      <c r="Y189" s="1225"/>
      <c r="Z189" s="1225"/>
      <c r="AA189" s="1225"/>
      <c r="AB189" s="1225"/>
      <c r="AC189" s="1225"/>
      <c r="AD189" s="1225"/>
      <c r="AE189" s="1222"/>
      <c r="AF189" s="1076"/>
      <c r="AG189" s="1224"/>
      <c r="AH189" s="1076"/>
      <c r="AI189" s="1076"/>
      <c r="AJ189" s="1076"/>
      <c r="AK189" s="1076"/>
      <c r="AL189" s="1076"/>
      <c r="AM189" s="1076"/>
      <c r="AN189" s="1076"/>
      <c r="AO189" s="1076"/>
      <c r="AP189" s="1076"/>
      <c r="AQ189" s="1076"/>
      <c r="AR189" s="1076"/>
      <c r="AS189" s="1076"/>
      <c r="AT189" s="1076"/>
      <c r="AU189" s="1076"/>
      <c r="AV189" s="1076"/>
      <c r="AW189" s="1076"/>
      <c r="AX189" s="1076"/>
      <c r="AY189" s="1183"/>
    </row>
    <row r="190" spans="1:51" ht="21" customHeight="1" x14ac:dyDescent="0.25">
      <c r="A190" s="1189"/>
      <c r="B190" s="1018"/>
      <c r="C190" s="1217" t="s">
        <v>529</v>
      </c>
      <c r="D190" s="161" t="s">
        <v>340</v>
      </c>
      <c r="E190" s="1225"/>
      <c r="F190" s="1225"/>
      <c r="G190" s="1225">
        <v>1</v>
      </c>
      <c r="H190" s="1225">
        <v>3</v>
      </c>
      <c r="I190" s="1225">
        <v>6</v>
      </c>
      <c r="J190" s="1225"/>
      <c r="K190" s="1306"/>
      <c r="L190" s="1225"/>
      <c r="M190" s="1225"/>
      <c r="N190" s="1023"/>
      <c r="O190" s="1225"/>
      <c r="P190" s="1225"/>
      <c r="Q190" s="1225"/>
      <c r="R190" s="1225"/>
      <c r="S190" s="1073"/>
      <c r="T190" s="1225">
        <f t="shared" si="24"/>
        <v>1</v>
      </c>
      <c r="U190" s="1225">
        <f t="shared" si="25"/>
        <v>3</v>
      </c>
      <c r="V190" s="1225">
        <f t="shared" si="26"/>
        <v>6</v>
      </c>
      <c r="W190" s="1225"/>
      <c r="X190" s="1225"/>
      <c r="Y190" s="1225"/>
      <c r="Z190" s="1225"/>
      <c r="AA190" s="1023"/>
      <c r="AB190" s="1225"/>
      <c r="AC190" s="1225"/>
      <c r="AD190" s="1225"/>
      <c r="AE190" s="1222"/>
      <c r="AF190" s="1304" t="s">
        <v>1538</v>
      </c>
      <c r="AG190" s="1309" t="s">
        <v>530</v>
      </c>
      <c r="AH190" s="1275" t="s">
        <v>1641</v>
      </c>
      <c r="AI190" s="1275" t="s">
        <v>1642</v>
      </c>
      <c r="AJ190" s="1308" t="s">
        <v>1478</v>
      </c>
      <c r="AK190" s="1275" t="s">
        <v>457</v>
      </c>
      <c r="AL190" s="1275" t="s">
        <v>531</v>
      </c>
      <c r="AM190" s="1275" t="s">
        <v>458</v>
      </c>
      <c r="AN190" s="1282">
        <v>408155</v>
      </c>
      <c r="AO190" s="1282">
        <v>189984</v>
      </c>
      <c r="AP190" s="1282">
        <v>218171</v>
      </c>
      <c r="AQ190" s="1120" t="s">
        <v>459</v>
      </c>
      <c r="AR190" s="1120" t="s">
        <v>459</v>
      </c>
      <c r="AS190" s="1120" t="s">
        <v>459</v>
      </c>
      <c r="AT190" s="1120" t="s">
        <v>459</v>
      </c>
      <c r="AU190" s="1278" t="s">
        <v>459</v>
      </c>
      <c r="AV190" s="1278" t="s">
        <v>459</v>
      </c>
      <c r="AW190" s="1278" t="s">
        <v>459</v>
      </c>
      <c r="AX190" s="1282">
        <v>408155</v>
      </c>
      <c r="AY190" s="1183"/>
    </row>
    <row r="191" spans="1:51" ht="21" customHeight="1" x14ac:dyDescent="0.25">
      <c r="A191" s="1189"/>
      <c r="B191" s="1018"/>
      <c r="C191" s="1018"/>
      <c r="D191" s="164" t="s">
        <v>343</v>
      </c>
      <c r="E191" s="1225"/>
      <c r="F191" s="1225"/>
      <c r="G191" s="1225">
        <f>+G190*$T$143/$T$142</f>
        <v>1259714.2857142857</v>
      </c>
      <c r="H191" s="1225">
        <f>+H190*$U$143/$U$142</f>
        <v>1556117.6470588236</v>
      </c>
      <c r="I191" s="1225">
        <f>+I190*$V$143/$V$142</f>
        <v>23097333.333333332</v>
      </c>
      <c r="J191" s="1225"/>
      <c r="K191" s="1225"/>
      <c r="L191" s="1225"/>
      <c r="M191" s="1225"/>
      <c r="N191" s="1225"/>
      <c r="O191" s="1225"/>
      <c r="P191" s="1225"/>
      <c r="Q191" s="1225"/>
      <c r="R191" s="1225"/>
      <c r="S191" s="1073"/>
      <c r="T191" s="1225">
        <f t="shared" si="24"/>
        <v>1259714.2857142857</v>
      </c>
      <c r="U191" s="1225">
        <f t="shared" si="25"/>
        <v>1556117.6470588236</v>
      </c>
      <c r="V191" s="1225">
        <f t="shared" si="26"/>
        <v>23097333.333333332</v>
      </c>
      <c r="W191" s="1225"/>
      <c r="X191" s="1225"/>
      <c r="Y191" s="1225"/>
      <c r="Z191" s="1225"/>
      <c r="AA191" s="1225"/>
      <c r="AB191" s="1225"/>
      <c r="AC191" s="1225"/>
      <c r="AD191" s="1225"/>
      <c r="AE191" s="1222"/>
      <c r="AF191" s="1073"/>
      <c r="AG191" s="1223"/>
      <c r="AH191" s="1073"/>
      <c r="AI191" s="1073"/>
      <c r="AJ191" s="1073"/>
      <c r="AK191" s="1073"/>
      <c r="AL191" s="1073"/>
      <c r="AM191" s="1073"/>
      <c r="AN191" s="1293"/>
      <c r="AO191" s="1073"/>
      <c r="AP191" s="1073"/>
      <c r="AQ191" s="1073"/>
      <c r="AR191" s="1073"/>
      <c r="AS191" s="1073"/>
      <c r="AT191" s="1073"/>
      <c r="AU191" s="1073"/>
      <c r="AV191" s="1073"/>
      <c r="AW191" s="1073"/>
      <c r="AX191" s="1293"/>
      <c r="AY191" s="1183"/>
    </row>
    <row r="192" spans="1:51" ht="21" customHeight="1" x14ac:dyDescent="0.25">
      <c r="A192" s="1189"/>
      <c r="B192" s="1018"/>
      <c r="C192" s="1018"/>
      <c r="D192" s="165" t="s">
        <v>345</v>
      </c>
      <c r="E192" s="1225"/>
      <c r="F192" s="1225"/>
      <c r="G192" s="1225"/>
      <c r="H192" s="1225"/>
      <c r="I192" s="1225"/>
      <c r="J192" s="1225"/>
      <c r="K192" s="1306"/>
      <c r="L192" s="1225"/>
      <c r="M192" s="1225"/>
      <c r="N192" s="1023"/>
      <c r="O192" s="1225"/>
      <c r="P192" s="1225"/>
      <c r="Q192" s="1225"/>
      <c r="R192" s="1225"/>
      <c r="S192" s="1073"/>
      <c r="T192" s="1225">
        <f t="shared" si="24"/>
        <v>0</v>
      </c>
      <c r="U192" s="1225">
        <f t="shared" si="25"/>
        <v>0</v>
      </c>
      <c r="V192" s="1225">
        <f t="shared" si="26"/>
        <v>0</v>
      </c>
      <c r="W192" s="1225"/>
      <c r="X192" s="1225"/>
      <c r="Y192" s="1225"/>
      <c r="Z192" s="1225"/>
      <c r="AA192" s="1023"/>
      <c r="AB192" s="1225"/>
      <c r="AC192" s="1225"/>
      <c r="AD192" s="1225"/>
      <c r="AE192" s="1222"/>
      <c r="AF192" s="1073"/>
      <c r="AG192" s="1223"/>
      <c r="AH192" s="1073"/>
      <c r="AI192" s="1073"/>
      <c r="AJ192" s="1073"/>
      <c r="AK192" s="1073"/>
      <c r="AL192" s="1073"/>
      <c r="AM192" s="1073"/>
      <c r="AN192" s="1293"/>
      <c r="AO192" s="1073"/>
      <c r="AP192" s="1073"/>
      <c r="AQ192" s="1073"/>
      <c r="AR192" s="1073"/>
      <c r="AS192" s="1073"/>
      <c r="AT192" s="1073"/>
      <c r="AU192" s="1073"/>
      <c r="AV192" s="1073"/>
      <c r="AW192" s="1073"/>
      <c r="AX192" s="1293"/>
      <c r="AY192" s="1183"/>
    </row>
    <row r="193" spans="1:51" ht="21" customHeight="1" x14ac:dyDescent="0.25">
      <c r="A193" s="1189"/>
      <c r="B193" s="1018"/>
      <c r="C193" s="1018"/>
      <c r="D193" s="164" t="s">
        <v>346</v>
      </c>
      <c r="E193" s="1225"/>
      <c r="F193" s="1225"/>
      <c r="G193" s="1225"/>
      <c r="H193" s="1225"/>
      <c r="I193" s="1225"/>
      <c r="J193" s="1225"/>
      <c r="K193" s="1306"/>
      <c r="L193" s="1225"/>
      <c r="M193" s="1225"/>
      <c r="N193" s="1225"/>
      <c r="O193" s="1225"/>
      <c r="P193" s="1225"/>
      <c r="Q193" s="1225"/>
      <c r="R193" s="1225"/>
      <c r="S193" s="1073"/>
      <c r="T193" s="1225">
        <f t="shared" si="24"/>
        <v>0</v>
      </c>
      <c r="U193" s="1225">
        <f t="shared" si="25"/>
        <v>0</v>
      </c>
      <c r="V193" s="1225">
        <f t="shared" si="26"/>
        <v>0</v>
      </c>
      <c r="W193" s="1225"/>
      <c r="X193" s="1225"/>
      <c r="Y193" s="1225"/>
      <c r="Z193" s="1225"/>
      <c r="AA193" s="1225"/>
      <c r="AB193" s="1225"/>
      <c r="AC193" s="1225"/>
      <c r="AD193" s="1225"/>
      <c r="AE193" s="1222"/>
      <c r="AF193" s="1073"/>
      <c r="AG193" s="1223"/>
      <c r="AH193" s="1073"/>
      <c r="AI193" s="1073"/>
      <c r="AJ193" s="1073"/>
      <c r="AK193" s="1073"/>
      <c r="AL193" s="1073"/>
      <c r="AM193" s="1073"/>
      <c r="AN193" s="1293"/>
      <c r="AO193" s="1073"/>
      <c r="AP193" s="1073"/>
      <c r="AQ193" s="1073"/>
      <c r="AR193" s="1073"/>
      <c r="AS193" s="1073"/>
      <c r="AT193" s="1073"/>
      <c r="AU193" s="1073"/>
      <c r="AV193" s="1073"/>
      <c r="AW193" s="1073"/>
      <c r="AX193" s="1293"/>
      <c r="AY193" s="1183"/>
    </row>
    <row r="194" spans="1:51" ht="21" customHeight="1" x14ac:dyDescent="0.25">
      <c r="A194" s="1189"/>
      <c r="B194" s="1018"/>
      <c r="C194" s="1018"/>
      <c r="D194" s="165" t="s">
        <v>347</v>
      </c>
      <c r="E194" s="1225"/>
      <c r="F194" s="1225"/>
      <c r="G194" s="1225">
        <f>+G190+G192</f>
        <v>1</v>
      </c>
      <c r="H194" s="1225">
        <f>+H190+H192</f>
        <v>3</v>
      </c>
      <c r="I194" s="1225">
        <v>6</v>
      </c>
      <c r="J194" s="1225"/>
      <c r="K194" s="1306"/>
      <c r="L194" s="1225"/>
      <c r="M194" s="1225"/>
      <c r="N194" s="1023"/>
      <c r="O194" s="1023"/>
      <c r="P194" s="1225"/>
      <c r="Q194" s="1225"/>
      <c r="R194" s="1225"/>
      <c r="S194" s="1073"/>
      <c r="T194" s="1225">
        <f t="shared" si="24"/>
        <v>1</v>
      </c>
      <c r="U194" s="1225">
        <f t="shared" si="25"/>
        <v>3</v>
      </c>
      <c r="V194" s="1225">
        <f t="shared" si="26"/>
        <v>6</v>
      </c>
      <c r="W194" s="1225"/>
      <c r="X194" s="1225"/>
      <c r="Y194" s="1225"/>
      <c r="Z194" s="1225"/>
      <c r="AA194" s="1023"/>
      <c r="AB194" s="1225"/>
      <c r="AC194" s="1225"/>
      <c r="AD194" s="1225"/>
      <c r="AE194" s="1222"/>
      <c r="AF194" s="1073"/>
      <c r="AG194" s="1223"/>
      <c r="AH194" s="1073"/>
      <c r="AI194" s="1073"/>
      <c r="AJ194" s="1073"/>
      <c r="AK194" s="1073"/>
      <c r="AL194" s="1073"/>
      <c r="AM194" s="1073"/>
      <c r="AN194" s="1293"/>
      <c r="AO194" s="1073"/>
      <c r="AP194" s="1073"/>
      <c r="AQ194" s="1073"/>
      <c r="AR194" s="1073"/>
      <c r="AS194" s="1073"/>
      <c r="AT194" s="1073"/>
      <c r="AU194" s="1073"/>
      <c r="AV194" s="1073"/>
      <c r="AW194" s="1073"/>
      <c r="AX194" s="1293"/>
      <c r="AY194" s="1183"/>
    </row>
    <row r="195" spans="1:51" ht="21" customHeight="1" x14ac:dyDescent="0.25">
      <c r="A195" s="1189"/>
      <c r="B195" s="1018"/>
      <c r="C195" s="1048"/>
      <c r="D195" s="164" t="s">
        <v>348</v>
      </c>
      <c r="E195" s="1225"/>
      <c r="F195" s="1225"/>
      <c r="G195" s="1225">
        <f>+G191+G193</f>
        <v>1259714.2857142857</v>
      </c>
      <c r="H195" s="1225">
        <f>+H191+H193</f>
        <v>1556117.6470588236</v>
      </c>
      <c r="I195" s="1225">
        <f>+I191+I193</f>
        <v>23097333.333333332</v>
      </c>
      <c r="J195" s="1225"/>
      <c r="K195" s="1225"/>
      <c r="L195" s="1225"/>
      <c r="M195" s="1225"/>
      <c r="N195" s="1225"/>
      <c r="O195" s="1225"/>
      <c r="P195" s="1225"/>
      <c r="Q195" s="1225"/>
      <c r="R195" s="1225"/>
      <c r="S195" s="1073"/>
      <c r="T195" s="1225">
        <f t="shared" si="24"/>
        <v>1259714.2857142857</v>
      </c>
      <c r="U195" s="1225">
        <f t="shared" si="25"/>
        <v>1556117.6470588236</v>
      </c>
      <c r="V195" s="1225">
        <f t="shared" si="26"/>
        <v>23097333.333333332</v>
      </c>
      <c r="W195" s="1225"/>
      <c r="X195" s="1225"/>
      <c r="Y195" s="1225"/>
      <c r="Z195" s="1225"/>
      <c r="AA195" s="1225"/>
      <c r="AB195" s="1225"/>
      <c r="AC195" s="1225"/>
      <c r="AD195" s="1225"/>
      <c r="AE195" s="1222"/>
      <c r="AF195" s="1076"/>
      <c r="AG195" s="1224"/>
      <c r="AH195" s="1076"/>
      <c r="AI195" s="1076"/>
      <c r="AJ195" s="1076"/>
      <c r="AK195" s="1076"/>
      <c r="AL195" s="1076"/>
      <c r="AM195" s="1076"/>
      <c r="AN195" s="1294"/>
      <c r="AO195" s="1076"/>
      <c r="AP195" s="1076"/>
      <c r="AQ195" s="1076"/>
      <c r="AR195" s="1076"/>
      <c r="AS195" s="1076"/>
      <c r="AT195" s="1076"/>
      <c r="AU195" s="1076"/>
      <c r="AV195" s="1076"/>
      <c r="AW195" s="1076"/>
      <c r="AX195" s="1294"/>
      <c r="AY195" s="1183"/>
    </row>
    <row r="196" spans="1:51" ht="21" customHeight="1" x14ac:dyDescent="0.25">
      <c r="A196" s="1189"/>
      <c r="B196" s="1018"/>
      <c r="C196" s="1217" t="s">
        <v>532</v>
      </c>
      <c r="D196" s="161" t="s">
        <v>340</v>
      </c>
      <c r="E196" s="1225"/>
      <c r="F196" s="1225"/>
      <c r="G196" s="1225">
        <v>1</v>
      </c>
      <c r="H196" s="1225">
        <v>1</v>
      </c>
      <c r="I196" s="1225">
        <v>1</v>
      </c>
      <c r="J196" s="1225"/>
      <c r="K196" s="1306"/>
      <c r="L196" s="1225"/>
      <c r="M196" s="1225"/>
      <c r="N196" s="1023"/>
      <c r="O196" s="1225"/>
      <c r="P196" s="1225"/>
      <c r="Q196" s="1225"/>
      <c r="R196" s="1225"/>
      <c r="S196" s="1073"/>
      <c r="T196" s="1225">
        <f t="shared" si="24"/>
        <v>1</v>
      </c>
      <c r="U196" s="1225">
        <f t="shared" si="25"/>
        <v>1</v>
      </c>
      <c r="V196" s="1225">
        <f t="shared" si="26"/>
        <v>1</v>
      </c>
      <c r="W196" s="1225"/>
      <c r="X196" s="1225"/>
      <c r="Y196" s="1225"/>
      <c r="Z196" s="1225"/>
      <c r="AA196" s="1023"/>
      <c r="AB196" s="1225"/>
      <c r="AC196" s="1225"/>
      <c r="AD196" s="1225"/>
      <c r="AE196" s="1222"/>
      <c r="AF196" s="1304" t="s">
        <v>1427</v>
      </c>
      <c r="AG196" s="1275" t="s">
        <v>490</v>
      </c>
      <c r="AH196" s="1275" t="s">
        <v>533</v>
      </c>
      <c r="AI196" s="1275" t="s">
        <v>534</v>
      </c>
      <c r="AJ196" s="1308" t="s">
        <v>1478</v>
      </c>
      <c r="AK196" s="1275" t="s">
        <v>457</v>
      </c>
      <c r="AL196" s="1275" t="s">
        <v>535</v>
      </c>
      <c r="AM196" s="1275" t="s">
        <v>458</v>
      </c>
      <c r="AN196" s="1282">
        <v>819441</v>
      </c>
      <c r="AO196" s="1282">
        <v>388871</v>
      </c>
      <c r="AP196" s="1282">
        <v>430570</v>
      </c>
      <c r="AQ196" s="1120" t="s">
        <v>459</v>
      </c>
      <c r="AR196" s="1120" t="s">
        <v>459</v>
      </c>
      <c r="AS196" s="1120" t="s">
        <v>459</v>
      </c>
      <c r="AT196" s="1120" t="s">
        <v>459</v>
      </c>
      <c r="AU196" s="1278" t="s">
        <v>459</v>
      </c>
      <c r="AV196" s="1278" t="s">
        <v>459</v>
      </c>
      <c r="AW196" s="1278" t="s">
        <v>459</v>
      </c>
      <c r="AX196" s="1282">
        <v>819441</v>
      </c>
      <c r="AY196" s="1183"/>
    </row>
    <row r="197" spans="1:51" ht="21" customHeight="1" x14ac:dyDescent="0.25">
      <c r="A197" s="1189"/>
      <c r="B197" s="1018"/>
      <c r="C197" s="1018"/>
      <c r="D197" s="164" t="s">
        <v>343</v>
      </c>
      <c r="E197" s="1225"/>
      <c r="F197" s="1225"/>
      <c r="G197" s="1225">
        <f>+G196*$T$143/$T$142</f>
        <v>1259714.2857142857</v>
      </c>
      <c r="H197" s="1225">
        <f>+H196*$U$143/$U$142</f>
        <v>518705.8823529412</v>
      </c>
      <c r="I197" s="1225">
        <f>+I196*$V$143/$V$142</f>
        <v>3849555.5555555555</v>
      </c>
      <c r="J197" s="1225"/>
      <c r="K197" s="1225"/>
      <c r="L197" s="1225"/>
      <c r="M197" s="1225"/>
      <c r="N197" s="1225"/>
      <c r="O197" s="1225"/>
      <c r="P197" s="1225"/>
      <c r="Q197" s="1225"/>
      <c r="R197" s="1225"/>
      <c r="S197" s="1073"/>
      <c r="T197" s="1225">
        <f t="shared" si="24"/>
        <v>1259714.2857142857</v>
      </c>
      <c r="U197" s="1225">
        <f t="shared" si="25"/>
        <v>518705.8823529412</v>
      </c>
      <c r="V197" s="1225">
        <f t="shared" si="26"/>
        <v>3849555.5555555555</v>
      </c>
      <c r="W197" s="1225"/>
      <c r="X197" s="1225"/>
      <c r="Y197" s="1225"/>
      <c r="Z197" s="1225"/>
      <c r="AA197" s="1225"/>
      <c r="AB197" s="1225"/>
      <c r="AC197" s="1225"/>
      <c r="AD197" s="1225"/>
      <c r="AE197" s="1222"/>
      <c r="AF197" s="1073"/>
      <c r="AG197" s="1073"/>
      <c r="AH197" s="1073"/>
      <c r="AI197" s="1073"/>
      <c r="AJ197" s="1073"/>
      <c r="AK197" s="1073"/>
      <c r="AL197" s="1073"/>
      <c r="AM197" s="1073"/>
      <c r="AN197" s="1073"/>
      <c r="AO197" s="1073"/>
      <c r="AP197" s="1073"/>
      <c r="AQ197" s="1073"/>
      <c r="AR197" s="1073"/>
      <c r="AS197" s="1073"/>
      <c r="AT197" s="1073"/>
      <c r="AU197" s="1073"/>
      <c r="AV197" s="1073"/>
      <c r="AW197" s="1073"/>
      <c r="AX197" s="1073"/>
      <c r="AY197" s="1183"/>
    </row>
    <row r="198" spans="1:51" ht="21" customHeight="1" x14ac:dyDescent="0.25">
      <c r="A198" s="1189"/>
      <c r="B198" s="1018"/>
      <c r="C198" s="1018"/>
      <c r="D198" s="165" t="s">
        <v>345</v>
      </c>
      <c r="E198" s="1225"/>
      <c r="F198" s="1225"/>
      <c r="G198" s="1225"/>
      <c r="H198" s="1225"/>
      <c r="I198" s="1225"/>
      <c r="J198" s="1225"/>
      <c r="K198" s="1306"/>
      <c r="L198" s="1225"/>
      <c r="M198" s="1225"/>
      <c r="N198" s="1023"/>
      <c r="O198" s="1225"/>
      <c r="P198" s="1225"/>
      <c r="Q198" s="1225"/>
      <c r="R198" s="1225"/>
      <c r="S198" s="1073"/>
      <c r="T198" s="1225">
        <f t="shared" si="24"/>
        <v>0</v>
      </c>
      <c r="U198" s="1225">
        <f t="shared" si="25"/>
        <v>0</v>
      </c>
      <c r="V198" s="1225">
        <f t="shared" si="26"/>
        <v>0</v>
      </c>
      <c r="W198" s="1225"/>
      <c r="X198" s="1225"/>
      <c r="Y198" s="1225"/>
      <c r="Z198" s="1225"/>
      <c r="AA198" s="1023"/>
      <c r="AB198" s="1225"/>
      <c r="AC198" s="1225"/>
      <c r="AD198" s="1225"/>
      <c r="AE198" s="1222"/>
      <c r="AF198" s="1073"/>
      <c r="AG198" s="1073"/>
      <c r="AH198" s="1073"/>
      <c r="AI198" s="1073"/>
      <c r="AJ198" s="1073"/>
      <c r="AK198" s="1073"/>
      <c r="AL198" s="1073"/>
      <c r="AM198" s="1073"/>
      <c r="AN198" s="1073"/>
      <c r="AO198" s="1073"/>
      <c r="AP198" s="1073"/>
      <c r="AQ198" s="1073"/>
      <c r="AR198" s="1073"/>
      <c r="AS198" s="1073"/>
      <c r="AT198" s="1073"/>
      <c r="AU198" s="1073"/>
      <c r="AV198" s="1073"/>
      <c r="AW198" s="1073"/>
      <c r="AX198" s="1073"/>
      <c r="AY198" s="1183"/>
    </row>
    <row r="199" spans="1:51" ht="21" customHeight="1" x14ac:dyDescent="0.25">
      <c r="A199" s="1189"/>
      <c r="B199" s="1018"/>
      <c r="C199" s="1018"/>
      <c r="D199" s="164" t="s">
        <v>346</v>
      </c>
      <c r="E199" s="1225"/>
      <c r="F199" s="1225"/>
      <c r="G199" s="1225"/>
      <c r="H199" s="1225"/>
      <c r="I199" s="1225"/>
      <c r="J199" s="1225"/>
      <c r="K199" s="1306"/>
      <c r="L199" s="1225"/>
      <c r="M199" s="1225"/>
      <c r="N199" s="1225"/>
      <c r="O199" s="1225"/>
      <c r="P199" s="1225"/>
      <c r="Q199" s="1225"/>
      <c r="R199" s="1225"/>
      <c r="S199" s="1073"/>
      <c r="T199" s="1225">
        <f t="shared" si="24"/>
        <v>0</v>
      </c>
      <c r="U199" s="1225">
        <f t="shared" si="25"/>
        <v>0</v>
      </c>
      <c r="V199" s="1225">
        <f t="shared" si="26"/>
        <v>0</v>
      </c>
      <c r="W199" s="1225"/>
      <c r="X199" s="1225"/>
      <c r="Y199" s="1225"/>
      <c r="Z199" s="1225"/>
      <c r="AA199" s="1225"/>
      <c r="AB199" s="1225"/>
      <c r="AC199" s="1225"/>
      <c r="AD199" s="1225"/>
      <c r="AE199" s="1222"/>
      <c r="AF199" s="1073"/>
      <c r="AG199" s="1073"/>
      <c r="AH199" s="1073"/>
      <c r="AI199" s="1073"/>
      <c r="AJ199" s="1073"/>
      <c r="AK199" s="1073"/>
      <c r="AL199" s="1073"/>
      <c r="AM199" s="1073"/>
      <c r="AN199" s="1073"/>
      <c r="AO199" s="1073"/>
      <c r="AP199" s="1073"/>
      <c r="AQ199" s="1073"/>
      <c r="AR199" s="1073"/>
      <c r="AS199" s="1073"/>
      <c r="AT199" s="1073"/>
      <c r="AU199" s="1073"/>
      <c r="AV199" s="1073"/>
      <c r="AW199" s="1073"/>
      <c r="AX199" s="1073"/>
      <c r="AY199" s="1183"/>
    </row>
    <row r="200" spans="1:51" ht="21" customHeight="1" x14ac:dyDescent="0.25">
      <c r="A200" s="1189"/>
      <c r="B200" s="1018"/>
      <c r="C200" s="1018"/>
      <c r="D200" s="165" t="s">
        <v>347</v>
      </c>
      <c r="E200" s="1225"/>
      <c r="F200" s="1225"/>
      <c r="G200" s="1225">
        <f>+G196+G198</f>
        <v>1</v>
      </c>
      <c r="H200" s="1225">
        <f>+H196+H198</f>
        <v>1</v>
      </c>
      <c r="I200" s="1225">
        <v>1</v>
      </c>
      <c r="J200" s="1225"/>
      <c r="K200" s="1306"/>
      <c r="L200" s="1225"/>
      <c r="M200" s="1225"/>
      <c r="N200" s="1023"/>
      <c r="O200" s="1023"/>
      <c r="P200" s="1023"/>
      <c r="Q200" s="1023"/>
      <c r="R200" s="1023"/>
      <c r="S200" s="1073"/>
      <c r="T200" s="1225">
        <f t="shared" si="24"/>
        <v>1</v>
      </c>
      <c r="U200" s="1225">
        <f t="shared" si="25"/>
        <v>1</v>
      </c>
      <c r="V200" s="1225">
        <f t="shared" si="26"/>
        <v>1</v>
      </c>
      <c r="W200" s="1225"/>
      <c r="X200" s="1225"/>
      <c r="Y200" s="1225"/>
      <c r="Z200" s="1225"/>
      <c r="AA200" s="1023"/>
      <c r="AB200" s="1225"/>
      <c r="AC200" s="1225"/>
      <c r="AD200" s="1225"/>
      <c r="AE200" s="1222"/>
      <c r="AF200" s="1073"/>
      <c r="AG200" s="1073"/>
      <c r="AH200" s="1073"/>
      <c r="AI200" s="1073"/>
      <c r="AJ200" s="1073"/>
      <c r="AK200" s="1073"/>
      <c r="AL200" s="1073"/>
      <c r="AM200" s="1073"/>
      <c r="AN200" s="1073"/>
      <c r="AO200" s="1073"/>
      <c r="AP200" s="1073"/>
      <c r="AQ200" s="1073"/>
      <c r="AR200" s="1073"/>
      <c r="AS200" s="1073"/>
      <c r="AT200" s="1073"/>
      <c r="AU200" s="1073"/>
      <c r="AV200" s="1073"/>
      <c r="AW200" s="1073"/>
      <c r="AX200" s="1073"/>
      <c r="AY200" s="1183"/>
    </row>
    <row r="201" spans="1:51" ht="21" customHeight="1" x14ac:dyDescent="0.25">
      <c r="A201" s="1189"/>
      <c r="B201" s="1018"/>
      <c r="C201" s="1048"/>
      <c r="D201" s="164" t="s">
        <v>348</v>
      </c>
      <c r="E201" s="1225"/>
      <c r="F201" s="1225"/>
      <c r="G201" s="1225">
        <f>+G197+G199</f>
        <v>1259714.2857142857</v>
      </c>
      <c r="H201" s="1225">
        <f>+H197+H199</f>
        <v>518705.8823529412</v>
      </c>
      <c r="I201" s="1225">
        <f>+I197+I199</f>
        <v>3849555.5555555555</v>
      </c>
      <c r="J201" s="1225"/>
      <c r="K201" s="1225"/>
      <c r="L201" s="1225"/>
      <c r="M201" s="1225"/>
      <c r="N201" s="1225"/>
      <c r="O201" s="1225"/>
      <c r="P201" s="1225"/>
      <c r="Q201" s="1225"/>
      <c r="R201" s="1225"/>
      <c r="S201" s="1073"/>
      <c r="T201" s="1225">
        <f t="shared" si="24"/>
        <v>1259714.2857142857</v>
      </c>
      <c r="U201" s="1225">
        <f t="shared" si="25"/>
        <v>518705.8823529412</v>
      </c>
      <c r="V201" s="1225">
        <f t="shared" si="26"/>
        <v>3849555.5555555555</v>
      </c>
      <c r="W201" s="1225"/>
      <c r="X201" s="1225"/>
      <c r="Y201" s="1225"/>
      <c r="Z201" s="1225"/>
      <c r="AA201" s="1225"/>
      <c r="AB201" s="1225"/>
      <c r="AC201" s="1225"/>
      <c r="AD201" s="1225"/>
      <c r="AE201" s="1222"/>
      <c r="AF201" s="1076"/>
      <c r="AG201" s="1076"/>
      <c r="AH201" s="1076"/>
      <c r="AI201" s="1076"/>
      <c r="AJ201" s="1076"/>
      <c r="AK201" s="1076"/>
      <c r="AL201" s="1076"/>
      <c r="AM201" s="1076"/>
      <c r="AN201" s="1076"/>
      <c r="AO201" s="1076"/>
      <c r="AP201" s="1076"/>
      <c r="AQ201" s="1076"/>
      <c r="AR201" s="1076"/>
      <c r="AS201" s="1076"/>
      <c r="AT201" s="1076"/>
      <c r="AU201" s="1076"/>
      <c r="AV201" s="1076"/>
      <c r="AW201" s="1076"/>
      <c r="AX201" s="1076"/>
      <c r="AY201" s="1183"/>
    </row>
    <row r="202" spans="1:51" ht="21" customHeight="1" x14ac:dyDescent="0.25">
      <c r="A202" s="1189"/>
      <c r="B202" s="1018"/>
      <c r="C202" s="1217" t="s">
        <v>492</v>
      </c>
      <c r="D202" s="161" t="s">
        <v>340</v>
      </c>
      <c r="E202" s="1225"/>
      <c r="F202" s="1225"/>
      <c r="G202" s="1225">
        <v>3</v>
      </c>
      <c r="H202" s="1225">
        <v>3</v>
      </c>
      <c r="I202" s="1225">
        <v>7</v>
      </c>
      <c r="J202" s="1225"/>
      <c r="K202" s="1306"/>
      <c r="L202" s="1225"/>
      <c r="M202" s="1225"/>
      <c r="N202" s="1023"/>
      <c r="O202" s="1225"/>
      <c r="P202" s="1225"/>
      <c r="Q202" s="1225"/>
      <c r="R202" s="1225"/>
      <c r="S202" s="1073"/>
      <c r="T202" s="1225">
        <f t="shared" si="24"/>
        <v>3</v>
      </c>
      <c r="U202" s="1225">
        <f t="shared" si="25"/>
        <v>3</v>
      </c>
      <c r="V202" s="1225">
        <f t="shared" si="26"/>
        <v>7</v>
      </c>
      <c r="W202" s="1225"/>
      <c r="X202" s="1225"/>
      <c r="Y202" s="1225"/>
      <c r="Z202" s="1225"/>
      <c r="AA202" s="1023"/>
      <c r="AB202" s="1225"/>
      <c r="AC202" s="1225"/>
      <c r="AD202" s="1225"/>
      <c r="AE202" s="1222"/>
      <c r="AF202" s="1304" t="s">
        <v>1539</v>
      </c>
      <c r="AG202" s="1309" t="s">
        <v>492</v>
      </c>
      <c r="AH202" s="1275" t="s">
        <v>1643</v>
      </c>
      <c r="AI202" s="1275" t="s">
        <v>1644</v>
      </c>
      <c r="AJ202" s="1308" t="s">
        <v>1478</v>
      </c>
      <c r="AK202" s="1275" t="s">
        <v>457</v>
      </c>
      <c r="AL202" s="1275" t="s">
        <v>536</v>
      </c>
      <c r="AM202" s="1275" t="s">
        <v>458</v>
      </c>
      <c r="AN202" s="1282">
        <v>1309115</v>
      </c>
      <c r="AO202" s="1282">
        <v>617598</v>
      </c>
      <c r="AP202" s="1282">
        <v>691517</v>
      </c>
      <c r="AQ202" s="1120" t="s">
        <v>459</v>
      </c>
      <c r="AR202" s="1120" t="s">
        <v>459</v>
      </c>
      <c r="AS202" s="1120" t="s">
        <v>459</v>
      </c>
      <c r="AT202" s="1120" t="s">
        <v>459</v>
      </c>
      <c r="AU202" s="1278" t="s">
        <v>459</v>
      </c>
      <c r="AV202" s="1278" t="s">
        <v>459</v>
      </c>
      <c r="AW202" s="1278" t="s">
        <v>459</v>
      </c>
      <c r="AX202" s="1282">
        <v>1309115</v>
      </c>
      <c r="AY202" s="1183"/>
    </row>
    <row r="203" spans="1:51" ht="21" customHeight="1" x14ac:dyDescent="0.25">
      <c r="A203" s="1189"/>
      <c r="B203" s="1018"/>
      <c r="C203" s="1018"/>
      <c r="D203" s="164" t="s">
        <v>343</v>
      </c>
      <c r="E203" s="1225"/>
      <c r="F203" s="1225"/>
      <c r="G203" s="1225">
        <f>+G202*$T$143/$T$142</f>
        <v>3779142.8571428573</v>
      </c>
      <c r="H203" s="1225">
        <f>+H202*$U$143/$U$142</f>
        <v>1556117.6470588236</v>
      </c>
      <c r="I203" s="1225">
        <f>+I202*$V$143/$V$142</f>
        <v>26946888.888888888</v>
      </c>
      <c r="J203" s="1225"/>
      <c r="K203" s="1225"/>
      <c r="L203" s="1225"/>
      <c r="M203" s="1225"/>
      <c r="N203" s="1225"/>
      <c r="O203" s="1225"/>
      <c r="P203" s="1225"/>
      <c r="Q203" s="1225"/>
      <c r="R203" s="1225"/>
      <c r="S203" s="1073"/>
      <c r="T203" s="1225">
        <f t="shared" si="24"/>
        <v>3779142.8571428573</v>
      </c>
      <c r="U203" s="1225">
        <f t="shared" si="25"/>
        <v>1556117.6470588236</v>
      </c>
      <c r="V203" s="1225">
        <f t="shared" si="26"/>
        <v>26946888.888888888</v>
      </c>
      <c r="W203" s="1225"/>
      <c r="X203" s="1225"/>
      <c r="Y203" s="1225"/>
      <c r="Z203" s="1225"/>
      <c r="AA203" s="1225"/>
      <c r="AB203" s="1225"/>
      <c r="AC203" s="1225"/>
      <c r="AD203" s="1225"/>
      <c r="AE203" s="1222"/>
      <c r="AF203" s="1073"/>
      <c r="AG203" s="1223"/>
      <c r="AH203" s="1073"/>
      <c r="AI203" s="1073"/>
      <c r="AJ203" s="1073"/>
      <c r="AK203" s="1073"/>
      <c r="AL203" s="1073"/>
      <c r="AM203" s="1073"/>
      <c r="AN203" s="1073"/>
      <c r="AO203" s="1073"/>
      <c r="AP203" s="1073"/>
      <c r="AQ203" s="1073"/>
      <c r="AR203" s="1073"/>
      <c r="AS203" s="1073"/>
      <c r="AT203" s="1073"/>
      <c r="AU203" s="1073"/>
      <c r="AV203" s="1073"/>
      <c r="AW203" s="1073"/>
      <c r="AX203" s="1073"/>
      <c r="AY203" s="1183"/>
    </row>
    <row r="204" spans="1:51" ht="21" customHeight="1" x14ac:dyDescent="0.25">
      <c r="A204" s="1189"/>
      <c r="B204" s="1018"/>
      <c r="C204" s="1018"/>
      <c r="D204" s="165" t="s">
        <v>345</v>
      </c>
      <c r="E204" s="1225"/>
      <c r="F204" s="1225"/>
      <c r="G204" s="1225">
        <v>2</v>
      </c>
      <c r="H204" s="1225">
        <v>2</v>
      </c>
      <c r="I204" s="1225">
        <v>2</v>
      </c>
      <c r="J204" s="1225"/>
      <c r="K204" s="1306"/>
      <c r="L204" s="1225"/>
      <c r="M204" s="1225"/>
      <c r="N204" s="1023"/>
      <c r="O204" s="1225"/>
      <c r="P204" s="1225"/>
      <c r="Q204" s="1225"/>
      <c r="R204" s="1225"/>
      <c r="S204" s="1073"/>
      <c r="T204" s="1225">
        <f t="shared" si="24"/>
        <v>2</v>
      </c>
      <c r="U204" s="1225">
        <f t="shared" si="25"/>
        <v>2</v>
      </c>
      <c r="V204" s="1225">
        <f t="shared" si="26"/>
        <v>2</v>
      </c>
      <c r="W204" s="1225"/>
      <c r="X204" s="1225"/>
      <c r="Y204" s="1225"/>
      <c r="Z204" s="1225"/>
      <c r="AA204" s="1023"/>
      <c r="AB204" s="1225"/>
      <c r="AC204" s="1225"/>
      <c r="AD204" s="1225"/>
      <c r="AE204" s="1222"/>
      <c r="AF204" s="1073"/>
      <c r="AG204" s="1223"/>
      <c r="AH204" s="1073"/>
      <c r="AI204" s="1073"/>
      <c r="AJ204" s="1073"/>
      <c r="AK204" s="1073"/>
      <c r="AL204" s="1073"/>
      <c r="AM204" s="1073"/>
      <c r="AN204" s="1073"/>
      <c r="AO204" s="1073"/>
      <c r="AP204" s="1073"/>
      <c r="AQ204" s="1073"/>
      <c r="AR204" s="1073"/>
      <c r="AS204" s="1073"/>
      <c r="AT204" s="1073"/>
      <c r="AU204" s="1073"/>
      <c r="AV204" s="1073"/>
      <c r="AW204" s="1073"/>
      <c r="AX204" s="1073"/>
      <c r="AY204" s="1183"/>
    </row>
    <row r="205" spans="1:51" ht="21" customHeight="1" x14ac:dyDescent="0.25">
      <c r="A205" s="1189"/>
      <c r="B205" s="1018"/>
      <c r="C205" s="1018"/>
      <c r="D205" s="164" t="s">
        <v>346</v>
      </c>
      <c r="E205" s="1225"/>
      <c r="F205" s="1225"/>
      <c r="G205" s="1225">
        <f>+G204*$T$145/$T$144</f>
        <v>8818000</v>
      </c>
      <c r="H205" s="1225">
        <f>+H204*$U$145/$U$144</f>
        <v>16460266.666666666</v>
      </c>
      <c r="I205" s="1225">
        <f>+I204*$V$145/$V$144</f>
        <v>16460266.666666666</v>
      </c>
      <c r="J205" s="1225"/>
      <c r="K205" s="1306"/>
      <c r="L205" s="1225"/>
      <c r="M205" s="1225"/>
      <c r="N205" s="1225"/>
      <c r="O205" s="1225"/>
      <c r="P205" s="1225"/>
      <c r="Q205" s="1225"/>
      <c r="R205" s="1225"/>
      <c r="S205" s="1073"/>
      <c r="T205" s="1225">
        <f t="shared" si="24"/>
        <v>8818000</v>
      </c>
      <c r="U205" s="1225">
        <f t="shared" si="25"/>
        <v>16460266.666666666</v>
      </c>
      <c r="V205" s="1225">
        <f t="shared" si="26"/>
        <v>16460266.666666666</v>
      </c>
      <c r="W205" s="1225"/>
      <c r="X205" s="1225"/>
      <c r="Y205" s="1225"/>
      <c r="Z205" s="1225"/>
      <c r="AA205" s="1225"/>
      <c r="AB205" s="1225"/>
      <c r="AC205" s="1225"/>
      <c r="AD205" s="1225"/>
      <c r="AE205" s="1222"/>
      <c r="AF205" s="1073"/>
      <c r="AG205" s="1223"/>
      <c r="AH205" s="1073"/>
      <c r="AI205" s="1073"/>
      <c r="AJ205" s="1073"/>
      <c r="AK205" s="1073"/>
      <c r="AL205" s="1073"/>
      <c r="AM205" s="1073"/>
      <c r="AN205" s="1073"/>
      <c r="AO205" s="1073"/>
      <c r="AP205" s="1073"/>
      <c r="AQ205" s="1073"/>
      <c r="AR205" s="1073"/>
      <c r="AS205" s="1073"/>
      <c r="AT205" s="1073"/>
      <c r="AU205" s="1073"/>
      <c r="AV205" s="1073"/>
      <c r="AW205" s="1073"/>
      <c r="AX205" s="1073"/>
      <c r="AY205" s="1183"/>
    </row>
    <row r="206" spans="1:51" ht="21" customHeight="1" x14ac:dyDescent="0.25">
      <c r="A206" s="1189"/>
      <c r="B206" s="1018"/>
      <c r="C206" s="1018"/>
      <c r="D206" s="165" t="s">
        <v>347</v>
      </c>
      <c r="E206" s="1225"/>
      <c r="F206" s="1225"/>
      <c r="G206" s="1225">
        <f>+G202+G204</f>
        <v>5</v>
      </c>
      <c r="H206" s="1225">
        <f>+H202+H204</f>
        <v>5</v>
      </c>
      <c r="I206" s="1225">
        <v>9</v>
      </c>
      <c r="J206" s="1225"/>
      <c r="K206" s="1306"/>
      <c r="L206" s="1225"/>
      <c r="M206" s="1225"/>
      <c r="N206" s="1023"/>
      <c r="O206" s="1023"/>
      <c r="P206" s="1225"/>
      <c r="Q206" s="1225"/>
      <c r="R206" s="1225"/>
      <c r="S206" s="1073"/>
      <c r="T206" s="1225">
        <f t="shared" si="24"/>
        <v>5</v>
      </c>
      <c r="U206" s="1225">
        <f t="shared" si="25"/>
        <v>5</v>
      </c>
      <c r="V206" s="1225">
        <f t="shared" si="26"/>
        <v>9</v>
      </c>
      <c r="W206" s="1225"/>
      <c r="X206" s="1225"/>
      <c r="Y206" s="1225"/>
      <c r="Z206" s="1225"/>
      <c r="AA206" s="1023"/>
      <c r="AB206" s="1225"/>
      <c r="AC206" s="1225"/>
      <c r="AD206" s="1225"/>
      <c r="AE206" s="1222"/>
      <c r="AF206" s="1073"/>
      <c r="AG206" s="1223"/>
      <c r="AH206" s="1073"/>
      <c r="AI206" s="1073"/>
      <c r="AJ206" s="1073"/>
      <c r="AK206" s="1073"/>
      <c r="AL206" s="1073"/>
      <c r="AM206" s="1073"/>
      <c r="AN206" s="1073"/>
      <c r="AO206" s="1073"/>
      <c r="AP206" s="1073"/>
      <c r="AQ206" s="1073"/>
      <c r="AR206" s="1073"/>
      <c r="AS206" s="1073"/>
      <c r="AT206" s="1073"/>
      <c r="AU206" s="1073"/>
      <c r="AV206" s="1073"/>
      <c r="AW206" s="1073"/>
      <c r="AX206" s="1073"/>
      <c r="AY206" s="1183"/>
    </row>
    <row r="207" spans="1:51" ht="21" customHeight="1" x14ac:dyDescent="0.25">
      <c r="A207" s="1189"/>
      <c r="B207" s="1018"/>
      <c r="C207" s="1048"/>
      <c r="D207" s="164" t="s">
        <v>348</v>
      </c>
      <c r="E207" s="1225"/>
      <c r="F207" s="1225"/>
      <c r="G207" s="1225">
        <f>+G203+G205</f>
        <v>12597142.857142858</v>
      </c>
      <c r="H207" s="1225">
        <f>+H203+H205</f>
        <v>18016384.31372549</v>
      </c>
      <c r="I207" s="1225">
        <f>+I203+I205</f>
        <v>43407155.555555552</v>
      </c>
      <c r="J207" s="1225"/>
      <c r="K207" s="1225"/>
      <c r="L207" s="1225"/>
      <c r="M207" s="1225"/>
      <c r="N207" s="1225"/>
      <c r="O207" s="1225"/>
      <c r="P207" s="1225"/>
      <c r="Q207" s="1225"/>
      <c r="R207" s="1225"/>
      <c r="S207" s="1073"/>
      <c r="T207" s="1225">
        <f t="shared" si="24"/>
        <v>12597142.857142858</v>
      </c>
      <c r="U207" s="1225">
        <f t="shared" si="25"/>
        <v>18016384.31372549</v>
      </c>
      <c r="V207" s="1225">
        <f t="shared" si="26"/>
        <v>43407155.555555552</v>
      </c>
      <c r="W207" s="1225"/>
      <c r="X207" s="1225"/>
      <c r="Y207" s="1225"/>
      <c r="Z207" s="1225"/>
      <c r="AA207" s="1225"/>
      <c r="AB207" s="1225"/>
      <c r="AC207" s="1225"/>
      <c r="AD207" s="1225"/>
      <c r="AE207" s="1222"/>
      <c r="AF207" s="1076"/>
      <c r="AG207" s="1224"/>
      <c r="AH207" s="1076"/>
      <c r="AI207" s="1076"/>
      <c r="AJ207" s="1076"/>
      <c r="AK207" s="1076"/>
      <c r="AL207" s="1076"/>
      <c r="AM207" s="1076"/>
      <c r="AN207" s="1076"/>
      <c r="AO207" s="1076"/>
      <c r="AP207" s="1076"/>
      <c r="AQ207" s="1076"/>
      <c r="AR207" s="1076"/>
      <c r="AS207" s="1076"/>
      <c r="AT207" s="1076"/>
      <c r="AU207" s="1076"/>
      <c r="AV207" s="1076"/>
      <c r="AW207" s="1076"/>
      <c r="AX207" s="1076"/>
      <c r="AY207" s="1183"/>
    </row>
    <row r="208" spans="1:51" ht="21" customHeight="1" x14ac:dyDescent="0.25">
      <c r="A208" s="1189"/>
      <c r="B208" s="1018"/>
      <c r="C208" s="1217" t="s">
        <v>537</v>
      </c>
      <c r="D208" s="161" t="s">
        <v>340</v>
      </c>
      <c r="E208" s="1225"/>
      <c r="F208" s="1225"/>
      <c r="G208" s="1225"/>
      <c r="H208" s="1225"/>
      <c r="I208" s="1225"/>
      <c r="J208" s="1225"/>
      <c r="K208" s="1306"/>
      <c r="L208" s="1225"/>
      <c r="M208" s="1225"/>
      <c r="N208" s="1023"/>
      <c r="O208" s="1225"/>
      <c r="P208" s="1225"/>
      <c r="Q208" s="1225"/>
      <c r="R208" s="1225"/>
      <c r="S208" s="1073"/>
      <c r="T208" s="1225">
        <f t="shared" si="24"/>
        <v>0</v>
      </c>
      <c r="U208" s="1225">
        <f t="shared" si="25"/>
        <v>0</v>
      </c>
      <c r="V208" s="1225">
        <f t="shared" si="26"/>
        <v>0</v>
      </c>
      <c r="W208" s="1225"/>
      <c r="X208" s="1225"/>
      <c r="Y208" s="1225"/>
      <c r="Z208" s="1225"/>
      <c r="AA208" s="1023"/>
      <c r="AB208" s="1225"/>
      <c r="AC208" s="1225"/>
      <c r="AD208" s="1225"/>
      <c r="AE208" s="1222"/>
      <c r="AF208" s="1304"/>
      <c r="AG208" s="1275" t="s">
        <v>537</v>
      </c>
      <c r="AH208" s="1275" t="s">
        <v>538</v>
      </c>
      <c r="AI208" s="1275" t="s">
        <v>539</v>
      </c>
      <c r="AJ208" s="1308" t="s">
        <v>1478</v>
      </c>
      <c r="AK208" s="1275" t="s">
        <v>457</v>
      </c>
      <c r="AL208" s="1275" t="s">
        <v>178</v>
      </c>
      <c r="AM208" s="1275" t="s">
        <v>458</v>
      </c>
      <c r="AN208" s="1282">
        <v>153342</v>
      </c>
      <c r="AO208" s="1282">
        <v>75950</v>
      </c>
      <c r="AP208" s="1282">
        <v>77392</v>
      </c>
      <c r="AQ208" s="1120" t="s">
        <v>459</v>
      </c>
      <c r="AR208" s="1120" t="s">
        <v>459</v>
      </c>
      <c r="AS208" s="1120" t="s">
        <v>459</v>
      </c>
      <c r="AT208" s="1120" t="s">
        <v>459</v>
      </c>
      <c r="AU208" s="1278" t="s">
        <v>459</v>
      </c>
      <c r="AV208" s="1278" t="s">
        <v>459</v>
      </c>
      <c r="AW208" s="1278" t="s">
        <v>459</v>
      </c>
      <c r="AX208" s="1282">
        <v>153342</v>
      </c>
      <c r="AY208" s="1183"/>
    </row>
    <row r="209" spans="1:51" ht="21" customHeight="1" x14ac:dyDescent="0.25">
      <c r="A209" s="1189"/>
      <c r="B209" s="1018"/>
      <c r="C209" s="1018"/>
      <c r="D209" s="164" t="s">
        <v>343</v>
      </c>
      <c r="E209" s="1225"/>
      <c r="F209" s="1225"/>
      <c r="G209" s="1225"/>
      <c r="H209" s="1225"/>
      <c r="I209" s="1225"/>
      <c r="J209" s="1225"/>
      <c r="K209" s="1225"/>
      <c r="L209" s="1225"/>
      <c r="M209" s="1225"/>
      <c r="N209" s="1225"/>
      <c r="O209" s="1225"/>
      <c r="P209" s="1225"/>
      <c r="Q209" s="1225"/>
      <c r="R209" s="1225"/>
      <c r="S209" s="1073"/>
      <c r="T209" s="1225">
        <f t="shared" si="24"/>
        <v>0</v>
      </c>
      <c r="U209" s="1225">
        <f t="shared" si="25"/>
        <v>0</v>
      </c>
      <c r="V209" s="1225">
        <f t="shared" si="26"/>
        <v>0</v>
      </c>
      <c r="W209" s="1225"/>
      <c r="X209" s="1225"/>
      <c r="Y209" s="1225"/>
      <c r="Z209" s="1225"/>
      <c r="AA209" s="1225"/>
      <c r="AB209" s="1225"/>
      <c r="AC209" s="1225"/>
      <c r="AD209" s="1225"/>
      <c r="AE209" s="1222"/>
      <c r="AF209" s="1073"/>
      <c r="AG209" s="1073"/>
      <c r="AH209" s="1073"/>
      <c r="AI209" s="1073"/>
      <c r="AJ209" s="1073"/>
      <c r="AK209" s="1073"/>
      <c r="AL209" s="1073"/>
      <c r="AM209" s="1073"/>
      <c r="AN209" s="1073"/>
      <c r="AO209" s="1073"/>
      <c r="AP209" s="1073"/>
      <c r="AQ209" s="1073"/>
      <c r="AR209" s="1073"/>
      <c r="AS209" s="1073"/>
      <c r="AT209" s="1073"/>
      <c r="AU209" s="1073"/>
      <c r="AV209" s="1073"/>
      <c r="AW209" s="1073"/>
      <c r="AX209" s="1073"/>
      <c r="AY209" s="1183"/>
    </row>
    <row r="210" spans="1:51" ht="21" customHeight="1" x14ac:dyDescent="0.25">
      <c r="A210" s="1189"/>
      <c r="B210" s="1018"/>
      <c r="C210" s="1018"/>
      <c r="D210" s="165" t="s">
        <v>345</v>
      </c>
      <c r="E210" s="1225"/>
      <c r="F210" s="1225"/>
      <c r="G210" s="1225"/>
      <c r="H210" s="1225"/>
      <c r="I210" s="1225"/>
      <c r="J210" s="1225"/>
      <c r="K210" s="1306"/>
      <c r="L210" s="1225"/>
      <c r="M210" s="1225"/>
      <c r="N210" s="1023"/>
      <c r="O210" s="1225"/>
      <c r="P210" s="1225"/>
      <c r="Q210" s="1225"/>
      <c r="R210" s="1225"/>
      <c r="S210" s="1073"/>
      <c r="T210" s="1225">
        <f t="shared" si="24"/>
        <v>0</v>
      </c>
      <c r="U210" s="1225">
        <f t="shared" si="25"/>
        <v>0</v>
      </c>
      <c r="V210" s="1225">
        <f t="shared" si="26"/>
        <v>0</v>
      </c>
      <c r="W210" s="1225"/>
      <c r="X210" s="1225"/>
      <c r="Y210" s="1225"/>
      <c r="Z210" s="1225"/>
      <c r="AA210" s="1023"/>
      <c r="AB210" s="1225"/>
      <c r="AC210" s="1225"/>
      <c r="AD210" s="1225"/>
      <c r="AE210" s="1222"/>
      <c r="AF210" s="1073"/>
      <c r="AG210" s="1073"/>
      <c r="AH210" s="1073"/>
      <c r="AI210" s="1073"/>
      <c r="AJ210" s="1073"/>
      <c r="AK210" s="1073"/>
      <c r="AL210" s="1073"/>
      <c r="AM210" s="1073"/>
      <c r="AN210" s="1073"/>
      <c r="AO210" s="1073"/>
      <c r="AP210" s="1073"/>
      <c r="AQ210" s="1073"/>
      <c r="AR210" s="1073"/>
      <c r="AS210" s="1073"/>
      <c r="AT210" s="1073"/>
      <c r="AU210" s="1073"/>
      <c r="AV210" s="1073"/>
      <c r="AW210" s="1073"/>
      <c r="AX210" s="1073"/>
      <c r="AY210" s="1183"/>
    </row>
    <row r="211" spans="1:51" ht="21" customHeight="1" x14ac:dyDescent="0.25">
      <c r="A211" s="1189"/>
      <c r="B211" s="1018"/>
      <c r="C211" s="1018"/>
      <c r="D211" s="164" t="s">
        <v>346</v>
      </c>
      <c r="E211" s="1225"/>
      <c r="F211" s="1225"/>
      <c r="G211" s="1225"/>
      <c r="H211" s="1225"/>
      <c r="I211" s="1225"/>
      <c r="J211" s="1225"/>
      <c r="K211" s="1306"/>
      <c r="L211" s="1225"/>
      <c r="M211" s="1225"/>
      <c r="N211" s="1225"/>
      <c r="O211" s="1225"/>
      <c r="P211" s="1225"/>
      <c r="Q211" s="1225"/>
      <c r="R211" s="1225"/>
      <c r="S211" s="1073"/>
      <c r="T211" s="1225">
        <f t="shared" si="24"/>
        <v>0</v>
      </c>
      <c r="U211" s="1225">
        <f t="shared" si="25"/>
        <v>0</v>
      </c>
      <c r="V211" s="1225">
        <f t="shared" si="26"/>
        <v>0</v>
      </c>
      <c r="W211" s="1225"/>
      <c r="X211" s="1225"/>
      <c r="Y211" s="1225"/>
      <c r="Z211" s="1225"/>
      <c r="AA211" s="1225"/>
      <c r="AB211" s="1225"/>
      <c r="AC211" s="1225"/>
      <c r="AD211" s="1225"/>
      <c r="AE211" s="1222"/>
      <c r="AF211" s="1073"/>
      <c r="AG211" s="1073"/>
      <c r="AH211" s="1073"/>
      <c r="AI211" s="1073"/>
      <c r="AJ211" s="1073"/>
      <c r="AK211" s="1073"/>
      <c r="AL211" s="1073"/>
      <c r="AM211" s="1073"/>
      <c r="AN211" s="1073"/>
      <c r="AO211" s="1073"/>
      <c r="AP211" s="1073"/>
      <c r="AQ211" s="1073"/>
      <c r="AR211" s="1073"/>
      <c r="AS211" s="1073"/>
      <c r="AT211" s="1073"/>
      <c r="AU211" s="1073"/>
      <c r="AV211" s="1073"/>
      <c r="AW211" s="1073"/>
      <c r="AX211" s="1073"/>
      <c r="AY211" s="1183"/>
    </row>
    <row r="212" spans="1:51" ht="21" customHeight="1" x14ac:dyDescent="0.25">
      <c r="A212" s="1189"/>
      <c r="B212" s="1018"/>
      <c r="C212" s="1018"/>
      <c r="D212" s="165" t="s">
        <v>347</v>
      </c>
      <c r="E212" s="1225"/>
      <c r="F212" s="1225"/>
      <c r="G212" s="1225"/>
      <c r="H212" s="1225"/>
      <c r="I212" s="1225"/>
      <c r="J212" s="1225"/>
      <c r="K212" s="1306"/>
      <c r="L212" s="1225"/>
      <c r="M212" s="1225"/>
      <c r="N212" s="1023"/>
      <c r="O212" s="1023"/>
      <c r="P212" s="1023"/>
      <c r="Q212" s="1023"/>
      <c r="R212" s="1023"/>
      <c r="S212" s="1073"/>
      <c r="T212" s="1225">
        <f t="shared" si="24"/>
        <v>0</v>
      </c>
      <c r="U212" s="1225">
        <f t="shared" si="25"/>
        <v>0</v>
      </c>
      <c r="V212" s="1225">
        <f t="shared" si="26"/>
        <v>0</v>
      </c>
      <c r="W212" s="1225"/>
      <c r="X212" s="1225"/>
      <c r="Y212" s="1225"/>
      <c r="Z212" s="1225"/>
      <c r="AA212" s="1023"/>
      <c r="AB212" s="1225"/>
      <c r="AC212" s="1225"/>
      <c r="AD212" s="1225"/>
      <c r="AE212" s="1222"/>
      <c r="AF212" s="1073"/>
      <c r="AG212" s="1073"/>
      <c r="AH212" s="1073"/>
      <c r="AI212" s="1073"/>
      <c r="AJ212" s="1073"/>
      <c r="AK212" s="1073"/>
      <c r="AL212" s="1073"/>
      <c r="AM212" s="1073"/>
      <c r="AN212" s="1073"/>
      <c r="AO212" s="1073"/>
      <c r="AP212" s="1073"/>
      <c r="AQ212" s="1073"/>
      <c r="AR212" s="1073"/>
      <c r="AS212" s="1073"/>
      <c r="AT212" s="1073"/>
      <c r="AU212" s="1073"/>
      <c r="AV212" s="1073"/>
      <c r="AW212" s="1073"/>
      <c r="AX212" s="1073"/>
      <c r="AY212" s="1183"/>
    </row>
    <row r="213" spans="1:51" ht="21" customHeight="1" x14ac:dyDescent="0.25">
      <c r="A213" s="1189"/>
      <c r="B213" s="1018"/>
      <c r="C213" s="1048"/>
      <c r="D213" s="164" t="s">
        <v>348</v>
      </c>
      <c r="E213" s="1225"/>
      <c r="F213" s="1225"/>
      <c r="G213" s="1225"/>
      <c r="H213" s="1225"/>
      <c r="I213" s="1225"/>
      <c r="J213" s="1225"/>
      <c r="K213" s="1225"/>
      <c r="L213" s="1225"/>
      <c r="M213" s="1225"/>
      <c r="N213" s="1225"/>
      <c r="O213" s="1225"/>
      <c r="P213" s="1225"/>
      <c r="Q213" s="1225"/>
      <c r="R213" s="1225"/>
      <c r="S213" s="1073"/>
      <c r="T213" s="1225">
        <f t="shared" ref="T213:T237" si="27">+G213</f>
        <v>0</v>
      </c>
      <c r="U213" s="1225">
        <f t="shared" ref="U213:U237" si="28">+H213</f>
        <v>0</v>
      </c>
      <c r="V213" s="1225">
        <f t="shared" ref="V213:V237" si="29">+I213</f>
        <v>0</v>
      </c>
      <c r="W213" s="1225"/>
      <c r="X213" s="1225"/>
      <c r="Y213" s="1225"/>
      <c r="Z213" s="1225"/>
      <c r="AA213" s="1225"/>
      <c r="AB213" s="1225"/>
      <c r="AC213" s="1225"/>
      <c r="AD213" s="1225"/>
      <c r="AE213" s="1222"/>
      <c r="AF213" s="1076"/>
      <c r="AG213" s="1076"/>
      <c r="AH213" s="1076"/>
      <c r="AI213" s="1076"/>
      <c r="AJ213" s="1076"/>
      <c r="AK213" s="1076"/>
      <c r="AL213" s="1076"/>
      <c r="AM213" s="1076"/>
      <c r="AN213" s="1076"/>
      <c r="AO213" s="1076"/>
      <c r="AP213" s="1076"/>
      <c r="AQ213" s="1076"/>
      <c r="AR213" s="1076"/>
      <c r="AS213" s="1076"/>
      <c r="AT213" s="1076"/>
      <c r="AU213" s="1076"/>
      <c r="AV213" s="1076"/>
      <c r="AW213" s="1076"/>
      <c r="AX213" s="1076"/>
      <c r="AY213" s="1183"/>
    </row>
    <row r="214" spans="1:51" ht="21" customHeight="1" x14ac:dyDescent="0.25">
      <c r="A214" s="1189"/>
      <c r="B214" s="1018"/>
      <c r="C214" s="1217" t="s">
        <v>540</v>
      </c>
      <c r="D214" s="161" t="s">
        <v>340</v>
      </c>
      <c r="E214" s="1225"/>
      <c r="F214" s="1225"/>
      <c r="G214" s="1225"/>
      <c r="H214" s="1225"/>
      <c r="I214" s="1225"/>
      <c r="J214" s="1225"/>
      <c r="K214" s="1306"/>
      <c r="L214" s="1225"/>
      <c r="M214" s="1225"/>
      <c r="N214" s="1023"/>
      <c r="O214" s="1225"/>
      <c r="P214" s="1225"/>
      <c r="Q214" s="1225"/>
      <c r="R214" s="1225"/>
      <c r="S214" s="1073"/>
      <c r="T214" s="1225">
        <f t="shared" si="27"/>
        <v>0</v>
      </c>
      <c r="U214" s="1225">
        <f t="shared" si="28"/>
        <v>0</v>
      </c>
      <c r="V214" s="1225">
        <f t="shared" si="29"/>
        <v>0</v>
      </c>
      <c r="W214" s="1225"/>
      <c r="X214" s="1225"/>
      <c r="Y214" s="1225"/>
      <c r="Z214" s="1225"/>
      <c r="AA214" s="1023"/>
      <c r="AB214" s="1225"/>
      <c r="AC214" s="1225"/>
      <c r="AD214" s="1225"/>
      <c r="AE214" s="1222"/>
      <c r="AF214" s="1304"/>
      <c r="AG214" s="1275" t="s">
        <v>540</v>
      </c>
      <c r="AH214" s="1275" t="s">
        <v>541</v>
      </c>
      <c r="AI214" s="1275" t="s">
        <v>542</v>
      </c>
      <c r="AJ214" s="1308" t="s">
        <v>1478</v>
      </c>
      <c r="AK214" s="1275" t="s">
        <v>457</v>
      </c>
      <c r="AL214" s="1275" t="s">
        <v>178</v>
      </c>
      <c r="AM214" s="1275" t="s">
        <v>458</v>
      </c>
      <c r="AN214" s="1282">
        <v>166428</v>
      </c>
      <c r="AO214" s="1282">
        <v>69653</v>
      </c>
      <c r="AP214" s="1282">
        <v>96775</v>
      </c>
      <c r="AQ214" s="1120" t="s">
        <v>459</v>
      </c>
      <c r="AR214" s="1120" t="s">
        <v>459</v>
      </c>
      <c r="AS214" s="1120" t="s">
        <v>459</v>
      </c>
      <c r="AT214" s="1120" t="s">
        <v>459</v>
      </c>
      <c r="AU214" s="1278" t="s">
        <v>459</v>
      </c>
      <c r="AV214" s="1278" t="s">
        <v>459</v>
      </c>
      <c r="AW214" s="1278" t="s">
        <v>459</v>
      </c>
      <c r="AX214" s="1282">
        <v>166428</v>
      </c>
      <c r="AY214" s="1183"/>
    </row>
    <row r="215" spans="1:51" ht="21" customHeight="1" x14ac:dyDescent="0.25">
      <c r="A215" s="1189"/>
      <c r="B215" s="1018"/>
      <c r="C215" s="1018"/>
      <c r="D215" s="164" t="s">
        <v>343</v>
      </c>
      <c r="E215" s="1225"/>
      <c r="F215" s="1225"/>
      <c r="G215" s="1225"/>
      <c r="H215" s="1225"/>
      <c r="I215" s="1225"/>
      <c r="J215" s="1225"/>
      <c r="K215" s="1225"/>
      <c r="L215" s="1225"/>
      <c r="M215" s="1225"/>
      <c r="N215" s="1225"/>
      <c r="O215" s="1225"/>
      <c r="P215" s="1225"/>
      <c r="Q215" s="1225"/>
      <c r="R215" s="1225"/>
      <c r="S215" s="1073"/>
      <c r="T215" s="1225">
        <f t="shared" si="27"/>
        <v>0</v>
      </c>
      <c r="U215" s="1225">
        <f t="shared" si="28"/>
        <v>0</v>
      </c>
      <c r="V215" s="1225">
        <f t="shared" si="29"/>
        <v>0</v>
      </c>
      <c r="W215" s="1225"/>
      <c r="X215" s="1225"/>
      <c r="Y215" s="1225"/>
      <c r="Z215" s="1225"/>
      <c r="AA215" s="1225"/>
      <c r="AB215" s="1225"/>
      <c r="AC215" s="1225"/>
      <c r="AD215" s="1225"/>
      <c r="AE215" s="1222"/>
      <c r="AF215" s="1073"/>
      <c r="AG215" s="1073"/>
      <c r="AH215" s="1073"/>
      <c r="AI215" s="1073"/>
      <c r="AJ215" s="1073"/>
      <c r="AK215" s="1073"/>
      <c r="AL215" s="1073"/>
      <c r="AM215" s="1073"/>
      <c r="AN215" s="1073"/>
      <c r="AO215" s="1073"/>
      <c r="AP215" s="1073"/>
      <c r="AQ215" s="1073"/>
      <c r="AR215" s="1073"/>
      <c r="AS215" s="1073"/>
      <c r="AT215" s="1073"/>
      <c r="AU215" s="1073"/>
      <c r="AV215" s="1073"/>
      <c r="AW215" s="1073"/>
      <c r="AX215" s="1073"/>
      <c r="AY215" s="1183"/>
    </row>
    <row r="216" spans="1:51" ht="21" customHeight="1" x14ac:dyDescent="0.25">
      <c r="A216" s="1189"/>
      <c r="B216" s="1018"/>
      <c r="C216" s="1018"/>
      <c r="D216" s="165" t="s">
        <v>345</v>
      </c>
      <c r="E216" s="1225"/>
      <c r="F216" s="1225"/>
      <c r="G216" s="1225"/>
      <c r="H216" s="1225"/>
      <c r="I216" s="1225"/>
      <c r="J216" s="1225"/>
      <c r="K216" s="1306"/>
      <c r="L216" s="1225"/>
      <c r="M216" s="1225"/>
      <c r="N216" s="1023"/>
      <c r="O216" s="1225"/>
      <c r="P216" s="1225"/>
      <c r="Q216" s="1225"/>
      <c r="R216" s="1225"/>
      <c r="S216" s="1073"/>
      <c r="T216" s="1225">
        <f t="shared" si="27"/>
        <v>0</v>
      </c>
      <c r="U216" s="1225">
        <f t="shared" si="28"/>
        <v>0</v>
      </c>
      <c r="V216" s="1225">
        <f t="shared" si="29"/>
        <v>0</v>
      </c>
      <c r="W216" s="1225"/>
      <c r="X216" s="1225"/>
      <c r="Y216" s="1225"/>
      <c r="Z216" s="1225"/>
      <c r="AA216" s="1023"/>
      <c r="AB216" s="1225"/>
      <c r="AC216" s="1225"/>
      <c r="AD216" s="1225"/>
      <c r="AE216" s="1222"/>
      <c r="AF216" s="1073"/>
      <c r="AG216" s="1073"/>
      <c r="AH216" s="1073"/>
      <c r="AI216" s="1073"/>
      <c r="AJ216" s="1073"/>
      <c r="AK216" s="1073"/>
      <c r="AL216" s="1073"/>
      <c r="AM216" s="1073"/>
      <c r="AN216" s="1073"/>
      <c r="AO216" s="1073"/>
      <c r="AP216" s="1073"/>
      <c r="AQ216" s="1073"/>
      <c r="AR216" s="1073"/>
      <c r="AS216" s="1073"/>
      <c r="AT216" s="1073"/>
      <c r="AU216" s="1073"/>
      <c r="AV216" s="1073"/>
      <c r="AW216" s="1073"/>
      <c r="AX216" s="1073"/>
      <c r="AY216" s="1183"/>
    </row>
    <row r="217" spans="1:51" ht="21" customHeight="1" x14ac:dyDescent="0.25">
      <c r="A217" s="1189"/>
      <c r="B217" s="1018"/>
      <c r="C217" s="1018"/>
      <c r="D217" s="164" t="s">
        <v>346</v>
      </c>
      <c r="E217" s="1225"/>
      <c r="F217" s="1225"/>
      <c r="G217" s="1225"/>
      <c r="H217" s="1225"/>
      <c r="I217" s="1225"/>
      <c r="J217" s="1225"/>
      <c r="K217" s="1306"/>
      <c r="L217" s="1225"/>
      <c r="M217" s="1225"/>
      <c r="N217" s="1225"/>
      <c r="O217" s="1225"/>
      <c r="P217" s="1225"/>
      <c r="Q217" s="1225"/>
      <c r="R217" s="1225"/>
      <c r="S217" s="1073"/>
      <c r="T217" s="1225">
        <f t="shared" si="27"/>
        <v>0</v>
      </c>
      <c r="U217" s="1225">
        <f t="shared" si="28"/>
        <v>0</v>
      </c>
      <c r="V217" s="1225">
        <f t="shared" si="29"/>
        <v>0</v>
      </c>
      <c r="W217" s="1225"/>
      <c r="X217" s="1225"/>
      <c r="Y217" s="1225"/>
      <c r="Z217" s="1225"/>
      <c r="AA217" s="1225"/>
      <c r="AB217" s="1225"/>
      <c r="AC217" s="1225"/>
      <c r="AD217" s="1225"/>
      <c r="AE217" s="1222"/>
      <c r="AF217" s="1073"/>
      <c r="AG217" s="1073"/>
      <c r="AH217" s="1073"/>
      <c r="AI217" s="1073"/>
      <c r="AJ217" s="1073"/>
      <c r="AK217" s="1073"/>
      <c r="AL217" s="1073"/>
      <c r="AM217" s="1073"/>
      <c r="AN217" s="1073"/>
      <c r="AO217" s="1073"/>
      <c r="AP217" s="1073"/>
      <c r="AQ217" s="1073"/>
      <c r="AR217" s="1073"/>
      <c r="AS217" s="1073"/>
      <c r="AT217" s="1073"/>
      <c r="AU217" s="1073"/>
      <c r="AV217" s="1073"/>
      <c r="AW217" s="1073"/>
      <c r="AX217" s="1073"/>
      <c r="AY217" s="1183"/>
    </row>
    <row r="218" spans="1:51" ht="21" customHeight="1" x14ac:dyDescent="0.25">
      <c r="A218" s="1189"/>
      <c r="B218" s="1018"/>
      <c r="C218" s="1018"/>
      <c r="D218" s="165" t="s">
        <v>347</v>
      </c>
      <c r="E218" s="1225"/>
      <c r="F218" s="1225"/>
      <c r="G218" s="1225"/>
      <c r="H218" s="1225"/>
      <c r="I218" s="1225"/>
      <c r="J218" s="1225"/>
      <c r="K218" s="1306"/>
      <c r="L218" s="1225"/>
      <c r="M218" s="1225"/>
      <c r="N218" s="1225"/>
      <c r="O218" s="1225"/>
      <c r="P218" s="1225"/>
      <c r="Q218" s="1225"/>
      <c r="R218" s="1225"/>
      <c r="S218" s="1073"/>
      <c r="T218" s="1225">
        <f t="shared" si="27"/>
        <v>0</v>
      </c>
      <c r="U218" s="1225">
        <f t="shared" si="28"/>
        <v>0</v>
      </c>
      <c r="V218" s="1225">
        <f t="shared" si="29"/>
        <v>0</v>
      </c>
      <c r="W218" s="1225"/>
      <c r="X218" s="1225"/>
      <c r="Y218" s="1225"/>
      <c r="Z218" s="1225"/>
      <c r="AA218" s="1225"/>
      <c r="AB218" s="1225"/>
      <c r="AC218" s="1225"/>
      <c r="AD218" s="1225"/>
      <c r="AE218" s="1222"/>
      <c r="AF218" s="1073"/>
      <c r="AG218" s="1073"/>
      <c r="AH218" s="1073"/>
      <c r="AI218" s="1073"/>
      <c r="AJ218" s="1073"/>
      <c r="AK218" s="1073"/>
      <c r="AL218" s="1073"/>
      <c r="AM218" s="1073"/>
      <c r="AN218" s="1073"/>
      <c r="AO218" s="1073"/>
      <c r="AP218" s="1073"/>
      <c r="AQ218" s="1073"/>
      <c r="AR218" s="1073"/>
      <c r="AS218" s="1073"/>
      <c r="AT218" s="1073"/>
      <c r="AU218" s="1073"/>
      <c r="AV218" s="1073"/>
      <c r="AW218" s="1073"/>
      <c r="AX218" s="1073"/>
      <c r="AY218" s="1183"/>
    </row>
    <row r="219" spans="1:51" ht="21" customHeight="1" x14ac:dyDescent="0.25">
      <c r="A219" s="1189"/>
      <c r="B219" s="1018"/>
      <c r="C219" s="1048"/>
      <c r="D219" s="164" t="s">
        <v>348</v>
      </c>
      <c r="E219" s="1225"/>
      <c r="F219" s="1225"/>
      <c r="G219" s="1225"/>
      <c r="H219" s="1225"/>
      <c r="I219" s="1225"/>
      <c r="J219" s="1225"/>
      <c r="K219" s="1225"/>
      <c r="L219" s="1225"/>
      <c r="M219" s="1225"/>
      <c r="N219" s="1225"/>
      <c r="O219" s="1225"/>
      <c r="P219" s="1225"/>
      <c r="Q219" s="1225"/>
      <c r="R219" s="1225"/>
      <c r="S219" s="1073"/>
      <c r="T219" s="1225">
        <f t="shared" si="27"/>
        <v>0</v>
      </c>
      <c r="U219" s="1225">
        <f t="shared" si="28"/>
        <v>0</v>
      </c>
      <c r="V219" s="1225">
        <f t="shared" si="29"/>
        <v>0</v>
      </c>
      <c r="W219" s="1225"/>
      <c r="X219" s="1225"/>
      <c r="Y219" s="1225"/>
      <c r="Z219" s="1225"/>
      <c r="AA219" s="1225"/>
      <c r="AB219" s="1225"/>
      <c r="AC219" s="1225"/>
      <c r="AD219" s="1225"/>
      <c r="AE219" s="1222"/>
      <c r="AF219" s="1076"/>
      <c r="AG219" s="1076"/>
      <c r="AH219" s="1076"/>
      <c r="AI219" s="1076"/>
      <c r="AJ219" s="1076"/>
      <c r="AK219" s="1076"/>
      <c r="AL219" s="1076"/>
      <c r="AM219" s="1076"/>
      <c r="AN219" s="1076"/>
      <c r="AO219" s="1076"/>
      <c r="AP219" s="1076"/>
      <c r="AQ219" s="1076"/>
      <c r="AR219" s="1076"/>
      <c r="AS219" s="1076"/>
      <c r="AT219" s="1076"/>
      <c r="AU219" s="1076"/>
      <c r="AV219" s="1076"/>
      <c r="AW219" s="1076"/>
      <c r="AX219" s="1076"/>
      <c r="AY219" s="1183"/>
    </row>
    <row r="220" spans="1:51" ht="30.75" customHeight="1" x14ac:dyDescent="0.25">
      <c r="A220" s="1189"/>
      <c r="B220" s="1018"/>
      <c r="C220" s="1217" t="s">
        <v>543</v>
      </c>
      <c r="D220" s="161" t="s">
        <v>340</v>
      </c>
      <c r="E220" s="1225"/>
      <c r="F220" s="1225"/>
      <c r="G220" s="1225"/>
      <c r="H220" s="1225"/>
      <c r="I220" s="1225"/>
      <c r="J220" s="1225"/>
      <c r="K220" s="1306"/>
      <c r="L220" s="1225"/>
      <c r="M220" s="1225"/>
      <c r="N220" s="1023"/>
      <c r="O220" s="1225"/>
      <c r="P220" s="1225"/>
      <c r="Q220" s="1225"/>
      <c r="R220" s="1225"/>
      <c r="S220" s="1073"/>
      <c r="T220" s="1225">
        <f t="shared" si="27"/>
        <v>0</v>
      </c>
      <c r="U220" s="1225">
        <f t="shared" si="28"/>
        <v>0</v>
      </c>
      <c r="V220" s="1225">
        <f t="shared" si="29"/>
        <v>0</v>
      </c>
      <c r="W220" s="1225"/>
      <c r="X220" s="1225"/>
      <c r="Y220" s="1225"/>
      <c r="Z220" s="1225"/>
      <c r="AA220" s="1023"/>
      <c r="AB220" s="1225"/>
      <c r="AC220" s="1225"/>
      <c r="AD220" s="1225"/>
      <c r="AE220" s="1222"/>
      <c r="AF220" s="1304"/>
      <c r="AG220" s="1275" t="s">
        <v>544</v>
      </c>
      <c r="AH220" s="1275" t="s">
        <v>545</v>
      </c>
      <c r="AI220" s="1275" t="s">
        <v>546</v>
      </c>
      <c r="AJ220" s="1308" t="s">
        <v>1478</v>
      </c>
      <c r="AK220" s="1275" t="s">
        <v>457</v>
      </c>
      <c r="AL220" s="1275" t="s">
        <v>178</v>
      </c>
      <c r="AM220" s="1275" t="s">
        <v>458</v>
      </c>
      <c r="AN220" s="1277">
        <v>256731</v>
      </c>
      <c r="AO220" s="1277">
        <v>127095</v>
      </c>
      <c r="AP220" s="1282">
        <v>129636</v>
      </c>
      <c r="AQ220" s="1120" t="s">
        <v>459</v>
      </c>
      <c r="AR220" s="1120" t="s">
        <v>459</v>
      </c>
      <c r="AS220" s="1120" t="s">
        <v>459</v>
      </c>
      <c r="AT220" s="1120" t="s">
        <v>459</v>
      </c>
      <c r="AU220" s="1278" t="s">
        <v>459</v>
      </c>
      <c r="AV220" s="1278" t="s">
        <v>459</v>
      </c>
      <c r="AW220" s="1278" t="s">
        <v>459</v>
      </c>
      <c r="AX220" s="1277">
        <v>255123</v>
      </c>
      <c r="AY220" s="1183"/>
    </row>
    <row r="221" spans="1:51" ht="30.75" customHeight="1" x14ac:dyDescent="0.25">
      <c r="A221" s="1189"/>
      <c r="B221" s="1018"/>
      <c r="C221" s="1018"/>
      <c r="D221" s="164" t="s">
        <v>343</v>
      </c>
      <c r="E221" s="1225"/>
      <c r="F221" s="1225"/>
      <c r="G221" s="1225"/>
      <c r="H221" s="1225"/>
      <c r="I221" s="1225"/>
      <c r="J221" s="1225"/>
      <c r="K221" s="1225"/>
      <c r="L221" s="1225"/>
      <c r="M221" s="1225"/>
      <c r="N221" s="1225"/>
      <c r="O221" s="1225"/>
      <c r="P221" s="1225"/>
      <c r="Q221" s="1225"/>
      <c r="R221" s="1225"/>
      <c r="S221" s="1073"/>
      <c r="T221" s="1225">
        <f t="shared" si="27"/>
        <v>0</v>
      </c>
      <c r="U221" s="1225">
        <f t="shared" si="28"/>
        <v>0</v>
      </c>
      <c r="V221" s="1225">
        <f t="shared" si="29"/>
        <v>0</v>
      </c>
      <c r="W221" s="1225"/>
      <c r="X221" s="1225"/>
      <c r="Y221" s="1225"/>
      <c r="Z221" s="1225"/>
      <c r="AA221" s="1225"/>
      <c r="AB221" s="1225"/>
      <c r="AC221" s="1225"/>
      <c r="AD221" s="1225"/>
      <c r="AE221" s="1222"/>
      <c r="AF221" s="1073"/>
      <c r="AG221" s="1073"/>
      <c r="AH221" s="1073"/>
      <c r="AI221" s="1073"/>
      <c r="AJ221" s="1073"/>
      <c r="AK221" s="1073"/>
      <c r="AL221" s="1073"/>
      <c r="AM221" s="1073"/>
      <c r="AN221" s="1073"/>
      <c r="AO221" s="1073"/>
      <c r="AP221" s="1073"/>
      <c r="AQ221" s="1073"/>
      <c r="AR221" s="1073"/>
      <c r="AS221" s="1073"/>
      <c r="AT221" s="1073"/>
      <c r="AU221" s="1073"/>
      <c r="AV221" s="1073"/>
      <c r="AW221" s="1073"/>
      <c r="AX221" s="1073"/>
      <c r="AY221" s="1183"/>
    </row>
    <row r="222" spans="1:51" ht="21" customHeight="1" x14ac:dyDescent="0.25">
      <c r="A222" s="1189"/>
      <c r="B222" s="1018"/>
      <c r="C222" s="1018"/>
      <c r="D222" s="165" t="s">
        <v>345</v>
      </c>
      <c r="E222" s="1225"/>
      <c r="F222" s="1225"/>
      <c r="G222" s="1225"/>
      <c r="H222" s="1225"/>
      <c r="I222" s="1225"/>
      <c r="J222" s="1225"/>
      <c r="K222" s="1306"/>
      <c r="L222" s="1225"/>
      <c r="M222" s="1225"/>
      <c r="N222" s="1023"/>
      <c r="O222" s="1225"/>
      <c r="P222" s="1225"/>
      <c r="Q222" s="1225"/>
      <c r="R222" s="1225"/>
      <c r="S222" s="1073"/>
      <c r="T222" s="1225">
        <f t="shared" si="27"/>
        <v>0</v>
      </c>
      <c r="U222" s="1225">
        <f t="shared" si="28"/>
        <v>0</v>
      </c>
      <c r="V222" s="1225">
        <f t="shared" si="29"/>
        <v>0</v>
      </c>
      <c r="W222" s="1225"/>
      <c r="X222" s="1225"/>
      <c r="Y222" s="1225"/>
      <c r="Z222" s="1225"/>
      <c r="AA222" s="1023"/>
      <c r="AB222" s="1225"/>
      <c r="AC222" s="1225"/>
      <c r="AD222" s="1225"/>
      <c r="AE222" s="1222"/>
      <c r="AF222" s="1073"/>
      <c r="AG222" s="1073"/>
      <c r="AH222" s="1073"/>
      <c r="AI222" s="1073"/>
      <c r="AJ222" s="1073"/>
      <c r="AK222" s="1073"/>
      <c r="AL222" s="1073"/>
      <c r="AM222" s="1073"/>
      <c r="AN222" s="1073"/>
      <c r="AO222" s="1073"/>
      <c r="AP222" s="1073"/>
      <c r="AQ222" s="1073"/>
      <c r="AR222" s="1073"/>
      <c r="AS222" s="1073"/>
      <c r="AT222" s="1073"/>
      <c r="AU222" s="1073"/>
      <c r="AV222" s="1073"/>
      <c r="AW222" s="1073"/>
      <c r="AX222" s="1073"/>
      <c r="AY222" s="1183"/>
    </row>
    <row r="223" spans="1:51" ht="25.5" customHeight="1" x14ac:dyDescent="0.25">
      <c r="A223" s="1189"/>
      <c r="B223" s="1018"/>
      <c r="C223" s="1018"/>
      <c r="D223" s="164" t="s">
        <v>346</v>
      </c>
      <c r="E223" s="1225"/>
      <c r="F223" s="1225"/>
      <c r="G223" s="1225"/>
      <c r="H223" s="1225"/>
      <c r="I223" s="1225"/>
      <c r="J223" s="1225"/>
      <c r="K223" s="1306"/>
      <c r="L223" s="1225"/>
      <c r="M223" s="1225"/>
      <c r="N223" s="1225"/>
      <c r="O223" s="1225"/>
      <c r="P223" s="1225"/>
      <c r="Q223" s="1225"/>
      <c r="R223" s="1225"/>
      <c r="S223" s="1073"/>
      <c r="T223" s="1225">
        <f t="shared" si="27"/>
        <v>0</v>
      </c>
      <c r="U223" s="1225">
        <f t="shared" si="28"/>
        <v>0</v>
      </c>
      <c r="V223" s="1225">
        <f t="shared" si="29"/>
        <v>0</v>
      </c>
      <c r="W223" s="1225"/>
      <c r="X223" s="1225"/>
      <c r="Y223" s="1225"/>
      <c r="Z223" s="1225"/>
      <c r="AA223" s="1225"/>
      <c r="AB223" s="1225"/>
      <c r="AC223" s="1225"/>
      <c r="AD223" s="1225"/>
      <c r="AE223" s="1222"/>
      <c r="AF223" s="1073"/>
      <c r="AG223" s="1073"/>
      <c r="AH223" s="1073"/>
      <c r="AI223" s="1073"/>
      <c r="AJ223" s="1073"/>
      <c r="AK223" s="1073"/>
      <c r="AL223" s="1073"/>
      <c r="AM223" s="1073"/>
      <c r="AN223" s="1073"/>
      <c r="AO223" s="1073"/>
      <c r="AP223" s="1073"/>
      <c r="AQ223" s="1073"/>
      <c r="AR223" s="1073"/>
      <c r="AS223" s="1073"/>
      <c r="AT223" s="1073"/>
      <c r="AU223" s="1073"/>
      <c r="AV223" s="1073"/>
      <c r="AW223" s="1073"/>
      <c r="AX223" s="1073"/>
      <c r="AY223" s="1183"/>
    </row>
    <row r="224" spans="1:51" ht="25.5" customHeight="1" x14ac:dyDescent="0.25">
      <c r="A224" s="1189"/>
      <c r="B224" s="1018"/>
      <c r="C224" s="1018"/>
      <c r="D224" s="165" t="s">
        <v>347</v>
      </c>
      <c r="E224" s="1225"/>
      <c r="F224" s="1225"/>
      <c r="G224" s="1225"/>
      <c r="H224" s="1225"/>
      <c r="I224" s="1225"/>
      <c r="J224" s="1225"/>
      <c r="K224" s="1306"/>
      <c r="L224" s="1225"/>
      <c r="M224" s="1225"/>
      <c r="N224" s="1023"/>
      <c r="O224" s="1023"/>
      <c r="P224" s="1023"/>
      <c r="Q224" s="1023"/>
      <c r="R224" s="1023"/>
      <c r="S224" s="1073"/>
      <c r="T224" s="1225">
        <f t="shared" si="27"/>
        <v>0</v>
      </c>
      <c r="U224" s="1225">
        <f t="shared" si="28"/>
        <v>0</v>
      </c>
      <c r="V224" s="1225">
        <f t="shared" si="29"/>
        <v>0</v>
      </c>
      <c r="W224" s="1225"/>
      <c r="X224" s="1225"/>
      <c r="Y224" s="1225"/>
      <c r="Z224" s="1225"/>
      <c r="AA224" s="1023"/>
      <c r="AB224" s="1225"/>
      <c r="AC224" s="1225"/>
      <c r="AD224" s="1225"/>
      <c r="AE224" s="1222"/>
      <c r="AF224" s="1073"/>
      <c r="AG224" s="1073"/>
      <c r="AH224" s="1073"/>
      <c r="AI224" s="1073"/>
      <c r="AJ224" s="1073"/>
      <c r="AK224" s="1073"/>
      <c r="AL224" s="1073"/>
      <c r="AM224" s="1073"/>
      <c r="AN224" s="1073"/>
      <c r="AO224" s="1073"/>
      <c r="AP224" s="1073"/>
      <c r="AQ224" s="1073"/>
      <c r="AR224" s="1073"/>
      <c r="AS224" s="1073"/>
      <c r="AT224" s="1073"/>
      <c r="AU224" s="1073"/>
      <c r="AV224" s="1073"/>
      <c r="AW224" s="1073"/>
      <c r="AX224" s="1073"/>
      <c r="AY224" s="1183"/>
    </row>
    <row r="225" spans="1:51" ht="25.5" customHeight="1" x14ac:dyDescent="0.25">
      <c r="A225" s="1189"/>
      <c r="B225" s="1018"/>
      <c r="C225" s="1048"/>
      <c r="D225" s="164" t="s">
        <v>348</v>
      </c>
      <c r="E225" s="1225"/>
      <c r="F225" s="1225"/>
      <c r="G225" s="1225"/>
      <c r="H225" s="1225"/>
      <c r="I225" s="1225"/>
      <c r="J225" s="1225"/>
      <c r="K225" s="1225"/>
      <c r="L225" s="1225"/>
      <c r="M225" s="1225"/>
      <c r="N225" s="1225"/>
      <c r="O225" s="1225"/>
      <c r="P225" s="1225"/>
      <c r="Q225" s="1225"/>
      <c r="R225" s="1225"/>
      <c r="S225" s="1073"/>
      <c r="T225" s="1225">
        <f t="shared" si="27"/>
        <v>0</v>
      </c>
      <c r="U225" s="1225">
        <f t="shared" si="28"/>
        <v>0</v>
      </c>
      <c r="V225" s="1225">
        <f t="shared" si="29"/>
        <v>0</v>
      </c>
      <c r="W225" s="1225"/>
      <c r="X225" s="1225"/>
      <c r="Y225" s="1225"/>
      <c r="Z225" s="1225"/>
      <c r="AA225" s="1225"/>
      <c r="AB225" s="1225"/>
      <c r="AC225" s="1225"/>
      <c r="AD225" s="1225"/>
      <c r="AE225" s="1222"/>
      <c r="AF225" s="1076"/>
      <c r="AG225" s="1076"/>
      <c r="AH225" s="1076"/>
      <c r="AI225" s="1076"/>
      <c r="AJ225" s="1076"/>
      <c r="AK225" s="1076"/>
      <c r="AL225" s="1076"/>
      <c r="AM225" s="1076"/>
      <c r="AN225" s="1076"/>
      <c r="AO225" s="1076"/>
      <c r="AP225" s="1076"/>
      <c r="AQ225" s="1076"/>
      <c r="AR225" s="1076"/>
      <c r="AS225" s="1076"/>
      <c r="AT225" s="1076"/>
      <c r="AU225" s="1076"/>
      <c r="AV225" s="1076"/>
      <c r="AW225" s="1076"/>
      <c r="AX225" s="1076"/>
      <c r="AY225" s="1183"/>
    </row>
    <row r="226" spans="1:51" ht="21" customHeight="1" x14ac:dyDescent="0.25">
      <c r="A226" s="1189"/>
      <c r="B226" s="1018"/>
      <c r="C226" s="1217" t="s">
        <v>506</v>
      </c>
      <c r="D226" s="161" t="s">
        <v>340</v>
      </c>
      <c r="E226" s="1225"/>
      <c r="F226" s="1225"/>
      <c r="G226" s="1225"/>
      <c r="H226" s="1225"/>
      <c r="I226" s="1225">
        <v>1</v>
      </c>
      <c r="J226" s="1225"/>
      <c r="K226" s="1306"/>
      <c r="L226" s="1225"/>
      <c r="M226" s="1225"/>
      <c r="N226" s="1023"/>
      <c r="O226" s="1225"/>
      <c r="P226" s="1225"/>
      <c r="Q226" s="1225"/>
      <c r="R226" s="1225"/>
      <c r="S226" s="1073"/>
      <c r="T226" s="1225">
        <f t="shared" si="27"/>
        <v>0</v>
      </c>
      <c r="U226" s="1225">
        <f t="shared" si="28"/>
        <v>0</v>
      </c>
      <c r="V226" s="1225">
        <f t="shared" si="29"/>
        <v>1</v>
      </c>
      <c r="W226" s="1225"/>
      <c r="X226" s="1225"/>
      <c r="Y226" s="1225"/>
      <c r="Z226" s="1225"/>
      <c r="AA226" s="1023"/>
      <c r="AB226" s="1225"/>
      <c r="AC226" s="1225"/>
      <c r="AD226" s="1225"/>
      <c r="AE226" s="1222"/>
      <c r="AF226" s="1305" t="s">
        <v>1540</v>
      </c>
      <c r="AG226" s="1309" t="s">
        <v>506</v>
      </c>
      <c r="AH226" s="1275" t="s">
        <v>1645</v>
      </c>
      <c r="AI226" s="1275" t="s">
        <v>1646</v>
      </c>
      <c r="AJ226" s="1308" t="s">
        <v>1478</v>
      </c>
      <c r="AK226" s="1275" t="s">
        <v>457</v>
      </c>
      <c r="AL226" s="1275" t="s">
        <v>547</v>
      </c>
      <c r="AM226" s="1275" t="s">
        <v>458</v>
      </c>
      <c r="AN226" s="1282">
        <v>391588</v>
      </c>
      <c r="AO226" s="1282">
        <v>192276</v>
      </c>
      <c r="AP226" s="1282">
        <v>199312</v>
      </c>
      <c r="AQ226" s="1120" t="s">
        <v>459</v>
      </c>
      <c r="AR226" s="1120" t="s">
        <v>459</v>
      </c>
      <c r="AS226" s="1120" t="s">
        <v>459</v>
      </c>
      <c r="AT226" s="1120" t="s">
        <v>459</v>
      </c>
      <c r="AU226" s="1278" t="s">
        <v>459</v>
      </c>
      <c r="AV226" s="1278" t="s">
        <v>459</v>
      </c>
      <c r="AW226" s="1278" t="s">
        <v>459</v>
      </c>
      <c r="AX226" s="1282">
        <v>391588</v>
      </c>
      <c r="AY226" s="1183"/>
    </row>
    <row r="227" spans="1:51" ht="21" customHeight="1" x14ac:dyDescent="0.25">
      <c r="A227" s="1189"/>
      <c r="B227" s="1018"/>
      <c r="C227" s="1018"/>
      <c r="D227" s="164" t="s">
        <v>343</v>
      </c>
      <c r="E227" s="1225"/>
      <c r="F227" s="1225"/>
      <c r="G227" s="1225"/>
      <c r="H227" s="1225"/>
      <c r="I227" s="1225">
        <f>+I226*$V$143/$V$142</f>
        <v>3849555.5555555555</v>
      </c>
      <c r="J227" s="1225"/>
      <c r="K227" s="1306"/>
      <c r="L227" s="1225"/>
      <c r="M227" s="1225"/>
      <c r="N227" s="1225"/>
      <c r="O227" s="1225"/>
      <c r="P227" s="1225"/>
      <c r="Q227" s="1225"/>
      <c r="R227" s="1225"/>
      <c r="S227" s="1073"/>
      <c r="T227" s="1225">
        <f t="shared" si="27"/>
        <v>0</v>
      </c>
      <c r="U227" s="1225">
        <f t="shared" si="28"/>
        <v>0</v>
      </c>
      <c r="V227" s="1225">
        <f t="shared" si="29"/>
        <v>3849555.5555555555</v>
      </c>
      <c r="W227" s="1225"/>
      <c r="X227" s="1225"/>
      <c r="Y227" s="1225"/>
      <c r="Z227" s="1225"/>
      <c r="AA227" s="1225"/>
      <c r="AB227" s="1225"/>
      <c r="AC227" s="1225"/>
      <c r="AD227" s="1225"/>
      <c r="AE227" s="1222"/>
      <c r="AF227" s="1203"/>
      <c r="AG227" s="1223"/>
      <c r="AH227" s="1073"/>
      <c r="AI227" s="1073"/>
      <c r="AJ227" s="1073"/>
      <c r="AK227" s="1073"/>
      <c r="AL227" s="1073"/>
      <c r="AM227" s="1073"/>
      <c r="AN227" s="1214"/>
      <c r="AO227" s="1214"/>
      <c r="AP227" s="1214"/>
      <c r="AQ227" s="1073"/>
      <c r="AR227" s="1073"/>
      <c r="AS227" s="1073"/>
      <c r="AT227" s="1073"/>
      <c r="AU227" s="1073"/>
      <c r="AV227" s="1073"/>
      <c r="AW227" s="1073"/>
      <c r="AX227" s="1214"/>
      <c r="AY227" s="1183"/>
    </row>
    <row r="228" spans="1:51" ht="21" customHeight="1" x14ac:dyDescent="0.25">
      <c r="A228" s="1189"/>
      <c r="B228" s="1018"/>
      <c r="C228" s="1018"/>
      <c r="D228" s="165" t="s">
        <v>345</v>
      </c>
      <c r="E228" s="1225"/>
      <c r="F228" s="1225"/>
      <c r="G228" s="1225"/>
      <c r="H228" s="1225"/>
      <c r="I228" s="1225"/>
      <c r="J228" s="1225"/>
      <c r="K228" s="1306"/>
      <c r="L228" s="1225"/>
      <c r="M228" s="1225"/>
      <c r="N228" s="1023"/>
      <c r="O228" s="1225"/>
      <c r="P228" s="1225"/>
      <c r="Q228" s="1225"/>
      <c r="R228" s="1225"/>
      <c r="S228" s="1073"/>
      <c r="T228" s="1225">
        <f t="shared" si="27"/>
        <v>0</v>
      </c>
      <c r="U228" s="1225">
        <f t="shared" si="28"/>
        <v>0</v>
      </c>
      <c r="V228" s="1225">
        <f t="shared" si="29"/>
        <v>0</v>
      </c>
      <c r="W228" s="1225"/>
      <c r="X228" s="1225"/>
      <c r="Y228" s="1225"/>
      <c r="Z228" s="1225"/>
      <c r="AA228" s="1023"/>
      <c r="AB228" s="1225"/>
      <c r="AC228" s="1225"/>
      <c r="AD228" s="1225"/>
      <c r="AE228" s="1222"/>
      <c r="AF228" s="1203"/>
      <c r="AG228" s="1223"/>
      <c r="AH228" s="1073"/>
      <c r="AI228" s="1073"/>
      <c r="AJ228" s="1073"/>
      <c r="AK228" s="1073"/>
      <c r="AL228" s="1073"/>
      <c r="AM228" s="1073"/>
      <c r="AN228" s="1214"/>
      <c r="AO228" s="1214"/>
      <c r="AP228" s="1214"/>
      <c r="AQ228" s="1073"/>
      <c r="AR228" s="1073"/>
      <c r="AS228" s="1073"/>
      <c r="AT228" s="1073"/>
      <c r="AU228" s="1073"/>
      <c r="AV228" s="1073"/>
      <c r="AW228" s="1073"/>
      <c r="AX228" s="1214"/>
      <c r="AY228" s="1183"/>
    </row>
    <row r="229" spans="1:51" ht="21" customHeight="1" x14ac:dyDescent="0.25">
      <c r="A229" s="1189"/>
      <c r="B229" s="1018"/>
      <c r="C229" s="1018"/>
      <c r="D229" s="164" t="s">
        <v>346</v>
      </c>
      <c r="E229" s="1225"/>
      <c r="F229" s="1225"/>
      <c r="G229" s="1225"/>
      <c r="H229" s="1225"/>
      <c r="I229" s="1225"/>
      <c r="J229" s="1225"/>
      <c r="K229" s="1306"/>
      <c r="L229" s="1225"/>
      <c r="M229" s="1225"/>
      <c r="N229" s="1225"/>
      <c r="O229" s="1225"/>
      <c r="P229" s="1225"/>
      <c r="Q229" s="1225"/>
      <c r="R229" s="1225"/>
      <c r="S229" s="1073"/>
      <c r="T229" s="1225">
        <f t="shared" si="27"/>
        <v>0</v>
      </c>
      <c r="U229" s="1225">
        <f t="shared" si="28"/>
        <v>0</v>
      </c>
      <c r="V229" s="1225">
        <f t="shared" si="29"/>
        <v>0</v>
      </c>
      <c r="W229" s="1225"/>
      <c r="X229" s="1225"/>
      <c r="Y229" s="1225"/>
      <c r="Z229" s="1225"/>
      <c r="AA229" s="1225"/>
      <c r="AB229" s="1225"/>
      <c r="AC229" s="1225"/>
      <c r="AD229" s="1225"/>
      <c r="AE229" s="1222"/>
      <c r="AF229" s="1203"/>
      <c r="AG229" s="1223"/>
      <c r="AH229" s="1073"/>
      <c r="AI229" s="1073"/>
      <c r="AJ229" s="1073"/>
      <c r="AK229" s="1073"/>
      <c r="AL229" s="1073"/>
      <c r="AM229" s="1073"/>
      <c r="AN229" s="1214"/>
      <c r="AO229" s="1214"/>
      <c r="AP229" s="1214"/>
      <c r="AQ229" s="1073"/>
      <c r="AR229" s="1073"/>
      <c r="AS229" s="1073"/>
      <c r="AT229" s="1073"/>
      <c r="AU229" s="1073"/>
      <c r="AV229" s="1073"/>
      <c r="AW229" s="1073"/>
      <c r="AX229" s="1214"/>
      <c r="AY229" s="1183"/>
    </row>
    <row r="230" spans="1:51" ht="21" customHeight="1" x14ac:dyDescent="0.25">
      <c r="A230" s="1189"/>
      <c r="B230" s="1018"/>
      <c r="C230" s="1018"/>
      <c r="D230" s="165" t="s">
        <v>347</v>
      </c>
      <c r="E230" s="1225"/>
      <c r="F230" s="1225"/>
      <c r="G230" s="1225"/>
      <c r="H230" s="1225"/>
      <c r="I230" s="1225">
        <v>1</v>
      </c>
      <c r="J230" s="1225"/>
      <c r="K230" s="1306"/>
      <c r="L230" s="1225"/>
      <c r="M230" s="1225"/>
      <c r="N230" s="1023"/>
      <c r="O230" s="1023"/>
      <c r="P230" s="1023"/>
      <c r="Q230" s="1023"/>
      <c r="R230" s="1023"/>
      <c r="S230" s="1073"/>
      <c r="T230" s="1225">
        <f t="shared" si="27"/>
        <v>0</v>
      </c>
      <c r="U230" s="1225">
        <f t="shared" si="28"/>
        <v>0</v>
      </c>
      <c r="V230" s="1225">
        <f t="shared" si="29"/>
        <v>1</v>
      </c>
      <c r="W230" s="1225"/>
      <c r="X230" s="1225"/>
      <c r="Y230" s="1225"/>
      <c r="Z230" s="1225"/>
      <c r="AA230" s="1023"/>
      <c r="AB230" s="1225"/>
      <c r="AC230" s="1225"/>
      <c r="AD230" s="1225"/>
      <c r="AE230" s="1222"/>
      <c r="AF230" s="1203"/>
      <c r="AG230" s="1223"/>
      <c r="AH230" s="1073"/>
      <c r="AI230" s="1073"/>
      <c r="AJ230" s="1073"/>
      <c r="AK230" s="1073"/>
      <c r="AL230" s="1073"/>
      <c r="AM230" s="1073"/>
      <c r="AN230" s="1214"/>
      <c r="AO230" s="1214"/>
      <c r="AP230" s="1214"/>
      <c r="AQ230" s="1073"/>
      <c r="AR230" s="1073"/>
      <c r="AS230" s="1073"/>
      <c r="AT230" s="1073"/>
      <c r="AU230" s="1073"/>
      <c r="AV230" s="1073"/>
      <c r="AW230" s="1073"/>
      <c r="AX230" s="1214"/>
      <c r="AY230" s="1183"/>
    </row>
    <row r="231" spans="1:51" ht="21" customHeight="1" x14ac:dyDescent="0.25">
      <c r="A231" s="1189"/>
      <c r="B231" s="1018"/>
      <c r="C231" s="1048"/>
      <c r="D231" s="164" t="s">
        <v>348</v>
      </c>
      <c r="E231" s="1225"/>
      <c r="F231" s="1225"/>
      <c r="G231" s="1225"/>
      <c r="H231" s="1225"/>
      <c r="I231" s="1225">
        <f>+I227+I229</f>
        <v>3849555.5555555555</v>
      </c>
      <c r="J231" s="1225"/>
      <c r="K231" s="1306"/>
      <c r="L231" s="1225"/>
      <c r="M231" s="1225"/>
      <c r="N231" s="1225"/>
      <c r="O231" s="1225"/>
      <c r="P231" s="1225"/>
      <c r="Q231" s="1225"/>
      <c r="R231" s="1225"/>
      <c r="S231" s="1073"/>
      <c r="T231" s="1225">
        <f t="shared" si="27"/>
        <v>0</v>
      </c>
      <c r="U231" s="1225">
        <f t="shared" si="28"/>
        <v>0</v>
      </c>
      <c r="V231" s="1225">
        <f t="shared" si="29"/>
        <v>3849555.5555555555</v>
      </c>
      <c r="W231" s="1225"/>
      <c r="X231" s="1225"/>
      <c r="Y231" s="1225"/>
      <c r="Z231" s="1225"/>
      <c r="AA231" s="1225"/>
      <c r="AB231" s="1225"/>
      <c r="AC231" s="1225"/>
      <c r="AD231" s="1225"/>
      <c r="AE231" s="1222"/>
      <c r="AF231" s="1203"/>
      <c r="AG231" s="1224"/>
      <c r="AH231" s="1076"/>
      <c r="AI231" s="1076"/>
      <c r="AJ231" s="1076"/>
      <c r="AK231" s="1076"/>
      <c r="AL231" s="1076"/>
      <c r="AM231" s="1076"/>
      <c r="AN231" s="1215"/>
      <c r="AO231" s="1215"/>
      <c r="AP231" s="1215"/>
      <c r="AQ231" s="1076"/>
      <c r="AR231" s="1076"/>
      <c r="AS231" s="1076"/>
      <c r="AT231" s="1076"/>
      <c r="AU231" s="1076"/>
      <c r="AV231" s="1076"/>
      <c r="AW231" s="1076"/>
      <c r="AX231" s="1215"/>
      <c r="AY231" s="1183"/>
    </row>
    <row r="232" spans="1:51" ht="21" customHeight="1" x14ac:dyDescent="0.25">
      <c r="A232" s="1189"/>
      <c r="B232" s="1018"/>
      <c r="C232" s="1217" t="s">
        <v>510</v>
      </c>
      <c r="D232" s="161" t="s">
        <v>340</v>
      </c>
      <c r="E232" s="1225"/>
      <c r="F232" s="1225"/>
      <c r="G232" s="1225"/>
      <c r="H232" s="1225">
        <v>4</v>
      </c>
      <c r="I232" s="1225">
        <v>4</v>
      </c>
      <c r="J232" s="1225"/>
      <c r="K232" s="1306"/>
      <c r="L232" s="1225"/>
      <c r="M232" s="1225"/>
      <c r="N232" s="1023"/>
      <c r="O232" s="1225"/>
      <c r="P232" s="1225"/>
      <c r="Q232" s="1225"/>
      <c r="R232" s="1225"/>
      <c r="S232" s="1073"/>
      <c r="T232" s="1225">
        <f t="shared" si="27"/>
        <v>0</v>
      </c>
      <c r="U232" s="1225">
        <f t="shared" si="28"/>
        <v>4</v>
      </c>
      <c r="V232" s="1225">
        <f t="shared" si="29"/>
        <v>4</v>
      </c>
      <c r="W232" s="1225"/>
      <c r="X232" s="1225"/>
      <c r="Y232" s="1225"/>
      <c r="Z232" s="1225"/>
      <c r="AA232" s="1023"/>
      <c r="AB232" s="1225"/>
      <c r="AC232" s="1225"/>
      <c r="AD232" s="1225"/>
      <c r="AE232" s="1222"/>
      <c r="AF232" s="1304" t="s">
        <v>1474</v>
      </c>
      <c r="AG232" s="1275" t="s">
        <v>548</v>
      </c>
      <c r="AH232" s="1275" t="s">
        <v>1534</v>
      </c>
      <c r="AI232" s="1275" t="s">
        <v>1535</v>
      </c>
      <c r="AJ232" s="1308" t="s">
        <v>1478</v>
      </c>
      <c r="AK232" s="1275" t="s">
        <v>457</v>
      </c>
      <c r="AL232" s="1275" t="s">
        <v>549</v>
      </c>
      <c r="AM232" s="1275" t="s">
        <v>458</v>
      </c>
      <c r="AN232" s="1282">
        <v>655881</v>
      </c>
      <c r="AO232" s="1282">
        <v>327558</v>
      </c>
      <c r="AP232" s="1282">
        <v>328323</v>
      </c>
      <c r="AQ232" s="1120" t="s">
        <v>459</v>
      </c>
      <c r="AR232" s="1120" t="s">
        <v>459</v>
      </c>
      <c r="AS232" s="1120" t="s">
        <v>459</v>
      </c>
      <c r="AT232" s="1120" t="s">
        <v>459</v>
      </c>
      <c r="AU232" s="1278" t="s">
        <v>459</v>
      </c>
      <c r="AV232" s="1278" t="s">
        <v>459</v>
      </c>
      <c r="AW232" s="1278" t="s">
        <v>459</v>
      </c>
      <c r="AX232" s="1282">
        <v>655881</v>
      </c>
      <c r="AY232" s="1183"/>
    </row>
    <row r="233" spans="1:51" ht="21" customHeight="1" x14ac:dyDescent="0.25">
      <c r="A233" s="1189"/>
      <c r="B233" s="1018"/>
      <c r="C233" s="1018"/>
      <c r="D233" s="164" t="s">
        <v>343</v>
      </c>
      <c r="E233" s="1225"/>
      <c r="F233" s="1225"/>
      <c r="G233" s="1225"/>
      <c r="H233" s="1225">
        <f>+H232*$U$143/$U$142</f>
        <v>2074823.5294117648</v>
      </c>
      <c r="I233" s="1225">
        <f>+I232*$V$143/$V$142</f>
        <v>15398222.222222222</v>
      </c>
      <c r="J233" s="1225"/>
      <c r="K233" s="1225"/>
      <c r="L233" s="1225"/>
      <c r="M233" s="1225"/>
      <c r="N233" s="1225"/>
      <c r="O233" s="1225"/>
      <c r="P233" s="1225"/>
      <c r="Q233" s="1225"/>
      <c r="R233" s="1225"/>
      <c r="S233" s="1073"/>
      <c r="T233" s="1225">
        <f t="shared" si="27"/>
        <v>0</v>
      </c>
      <c r="U233" s="1225">
        <f t="shared" si="28"/>
        <v>2074823.5294117648</v>
      </c>
      <c r="V233" s="1225">
        <f t="shared" si="29"/>
        <v>15398222.222222222</v>
      </c>
      <c r="W233" s="1225"/>
      <c r="X233" s="1225"/>
      <c r="Y233" s="1225"/>
      <c r="Z233" s="1225"/>
      <c r="AA233" s="1225"/>
      <c r="AB233" s="1225"/>
      <c r="AC233" s="1225"/>
      <c r="AD233" s="1225"/>
      <c r="AE233" s="1222"/>
      <c r="AF233" s="1073"/>
      <c r="AG233" s="1073"/>
      <c r="AH233" s="1073"/>
      <c r="AI233" s="1073"/>
      <c r="AJ233" s="1073"/>
      <c r="AK233" s="1073"/>
      <c r="AL233" s="1073"/>
      <c r="AM233" s="1073"/>
      <c r="AN233" s="1073"/>
      <c r="AO233" s="1073"/>
      <c r="AP233" s="1073"/>
      <c r="AQ233" s="1073"/>
      <c r="AR233" s="1073"/>
      <c r="AS233" s="1073"/>
      <c r="AT233" s="1073"/>
      <c r="AU233" s="1073"/>
      <c r="AV233" s="1073"/>
      <c r="AW233" s="1073"/>
      <c r="AX233" s="1073"/>
      <c r="AY233" s="1183"/>
    </row>
    <row r="234" spans="1:51" ht="21" customHeight="1" x14ac:dyDescent="0.25">
      <c r="A234" s="1189"/>
      <c r="B234" s="1018"/>
      <c r="C234" s="1018"/>
      <c r="D234" s="165" t="s">
        <v>345</v>
      </c>
      <c r="E234" s="1225"/>
      <c r="F234" s="1225"/>
      <c r="G234" s="1225"/>
      <c r="H234" s="1225"/>
      <c r="I234" s="1225"/>
      <c r="J234" s="1225"/>
      <c r="K234" s="1306"/>
      <c r="L234" s="1225"/>
      <c r="M234" s="1225"/>
      <c r="N234" s="1023"/>
      <c r="O234" s="1225"/>
      <c r="P234" s="1225"/>
      <c r="Q234" s="1225"/>
      <c r="R234" s="1225"/>
      <c r="S234" s="1073"/>
      <c r="T234" s="1225">
        <f t="shared" si="27"/>
        <v>0</v>
      </c>
      <c r="U234" s="1225">
        <f t="shared" si="28"/>
        <v>0</v>
      </c>
      <c r="V234" s="1225">
        <f t="shared" si="29"/>
        <v>0</v>
      </c>
      <c r="W234" s="1225"/>
      <c r="X234" s="1225"/>
      <c r="Y234" s="1225"/>
      <c r="Z234" s="1225"/>
      <c r="AA234" s="1023"/>
      <c r="AB234" s="1225"/>
      <c r="AC234" s="1225"/>
      <c r="AD234" s="1225"/>
      <c r="AE234" s="1222"/>
      <c r="AF234" s="1073"/>
      <c r="AG234" s="1073"/>
      <c r="AH234" s="1073"/>
      <c r="AI234" s="1073"/>
      <c r="AJ234" s="1073"/>
      <c r="AK234" s="1073"/>
      <c r="AL234" s="1073"/>
      <c r="AM234" s="1073"/>
      <c r="AN234" s="1073"/>
      <c r="AO234" s="1073"/>
      <c r="AP234" s="1073"/>
      <c r="AQ234" s="1073"/>
      <c r="AR234" s="1073"/>
      <c r="AS234" s="1073"/>
      <c r="AT234" s="1073"/>
      <c r="AU234" s="1073"/>
      <c r="AV234" s="1073"/>
      <c r="AW234" s="1073"/>
      <c r="AX234" s="1073"/>
      <c r="AY234" s="1183"/>
    </row>
    <row r="235" spans="1:51" ht="21" customHeight="1" x14ac:dyDescent="0.25">
      <c r="A235" s="1189"/>
      <c r="B235" s="1018"/>
      <c r="C235" s="1018"/>
      <c r="D235" s="164" t="s">
        <v>346</v>
      </c>
      <c r="E235" s="1225"/>
      <c r="F235" s="1225"/>
      <c r="G235" s="1225"/>
      <c r="H235" s="1225"/>
      <c r="I235" s="1225"/>
      <c r="J235" s="1225"/>
      <c r="K235" s="1306"/>
      <c r="L235" s="1225"/>
      <c r="M235" s="1225"/>
      <c r="N235" s="1225"/>
      <c r="O235" s="1225"/>
      <c r="P235" s="1225"/>
      <c r="Q235" s="1225"/>
      <c r="R235" s="1225"/>
      <c r="S235" s="1073"/>
      <c r="T235" s="1225">
        <f t="shared" si="27"/>
        <v>0</v>
      </c>
      <c r="U235" s="1225">
        <f t="shared" si="28"/>
        <v>0</v>
      </c>
      <c r="V235" s="1225">
        <f t="shared" si="29"/>
        <v>0</v>
      </c>
      <c r="W235" s="1225"/>
      <c r="X235" s="1225"/>
      <c r="Y235" s="1225"/>
      <c r="Z235" s="1225"/>
      <c r="AA235" s="1225"/>
      <c r="AB235" s="1225"/>
      <c r="AC235" s="1225"/>
      <c r="AD235" s="1225"/>
      <c r="AE235" s="1222"/>
      <c r="AF235" s="1073"/>
      <c r="AG235" s="1073"/>
      <c r="AH235" s="1073"/>
      <c r="AI235" s="1073"/>
      <c r="AJ235" s="1073"/>
      <c r="AK235" s="1073"/>
      <c r="AL235" s="1073"/>
      <c r="AM235" s="1073"/>
      <c r="AN235" s="1073"/>
      <c r="AO235" s="1073"/>
      <c r="AP235" s="1073"/>
      <c r="AQ235" s="1073"/>
      <c r="AR235" s="1073"/>
      <c r="AS235" s="1073"/>
      <c r="AT235" s="1073"/>
      <c r="AU235" s="1073"/>
      <c r="AV235" s="1073"/>
      <c r="AW235" s="1073"/>
      <c r="AX235" s="1073"/>
      <c r="AY235" s="1183"/>
    </row>
    <row r="236" spans="1:51" ht="21" customHeight="1" x14ac:dyDescent="0.25">
      <c r="A236" s="1189"/>
      <c r="B236" s="1018"/>
      <c r="C236" s="1018"/>
      <c r="D236" s="165" t="s">
        <v>347</v>
      </c>
      <c r="E236" s="1225"/>
      <c r="F236" s="1225"/>
      <c r="G236" s="1225"/>
      <c r="H236" s="1225">
        <f>+H232+H234</f>
        <v>4</v>
      </c>
      <c r="I236" s="1225">
        <v>4</v>
      </c>
      <c r="J236" s="1225"/>
      <c r="K236" s="1306"/>
      <c r="L236" s="1225"/>
      <c r="M236" s="1225"/>
      <c r="N236" s="1023"/>
      <c r="O236" s="1023"/>
      <c r="P236" s="1023"/>
      <c r="Q236" s="1023"/>
      <c r="R236" s="1023"/>
      <c r="S236" s="1073"/>
      <c r="T236" s="1225">
        <f t="shared" si="27"/>
        <v>0</v>
      </c>
      <c r="U236" s="1225">
        <f t="shared" si="28"/>
        <v>4</v>
      </c>
      <c r="V236" s="1225">
        <f t="shared" si="29"/>
        <v>4</v>
      </c>
      <c r="W236" s="1225"/>
      <c r="X236" s="1225"/>
      <c r="Y236" s="1225"/>
      <c r="Z236" s="1225"/>
      <c r="AA236" s="1023"/>
      <c r="AB236" s="1225"/>
      <c r="AC236" s="1225"/>
      <c r="AD236" s="1225"/>
      <c r="AE236" s="1222"/>
      <c r="AF236" s="1073"/>
      <c r="AG236" s="1073"/>
      <c r="AH236" s="1073"/>
      <c r="AI236" s="1073"/>
      <c r="AJ236" s="1073"/>
      <c r="AK236" s="1073"/>
      <c r="AL236" s="1073"/>
      <c r="AM236" s="1073"/>
      <c r="AN236" s="1073"/>
      <c r="AO236" s="1073"/>
      <c r="AP236" s="1073"/>
      <c r="AQ236" s="1073"/>
      <c r="AR236" s="1073"/>
      <c r="AS236" s="1073"/>
      <c r="AT236" s="1073"/>
      <c r="AU236" s="1073"/>
      <c r="AV236" s="1073"/>
      <c r="AW236" s="1073"/>
      <c r="AX236" s="1073"/>
      <c r="AY236" s="1183"/>
    </row>
    <row r="237" spans="1:51" ht="21" customHeight="1" x14ac:dyDescent="0.25">
      <c r="A237" s="1189"/>
      <c r="B237" s="1018"/>
      <c r="C237" s="1048"/>
      <c r="D237" s="164" t="s">
        <v>348</v>
      </c>
      <c r="E237" s="1225"/>
      <c r="F237" s="1225"/>
      <c r="G237" s="1225"/>
      <c r="H237" s="1225">
        <f>+H233+H235</f>
        <v>2074823.5294117648</v>
      </c>
      <c r="I237" s="1225">
        <f>+I233+I235</f>
        <v>15398222.222222222</v>
      </c>
      <c r="J237" s="1225"/>
      <c r="K237" s="1225"/>
      <c r="L237" s="1225"/>
      <c r="M237" s="1225"/>
      <c r="N237" s="1225"/>
      <c r="O237" s="1225"/>
      <c r="P237" s="1225"/>
      <c r="Q237" s="1225"/>
      <c r="R237" s="1225"/>
      <c r="S237" s="1073"/>
      <c r="T237" s="1225">
        <f t="shared" si="27"/>
        <v>0</v>
      </c>
      <c r="U237" s="1225">
        <f t="shared" si="28"/>
        <v>2074823.5294117648</v>
      </c>
      <c r="V237" s="1225">
        <f t="shared" si="29"/>
        <v>15398222.222222222</v>
      </c>
      <c r="W237" s="1225"/>
      <c r="X237" s="1225"/>
      <c r="Y237" s="1225"/>
      <c r="Z237" s="1225"/>
      <c r="AA237" s="1225"/>
      <c r="AB237" s="1225"/>
      <c r="AC237" s="1225"/>
      <c r="AD237" s="1225"/>
      <c r="AE237" s="1222"/>
      <c r="AF237" s="1076"/>
      <c r="AG237" s="1076"/>
      <c r="AH237" s="1076"/>
      <c r="AI237" s="1076"/>
      <c r="AJ237" s="1076"/>
      <c r="AK237" s="1076"/>
      <c r="AL237" s="1076"/>
      <c r="AM237" s="1076"/>
      <c r="AN237" s="1076"/>
      <c r="AO237" s="1076"/>
      <c r="AP237" s="1076"/>
      <c r="AQ237" s="1076"/>
      <c r="AR237" s="1076"/>
      <c r="AS237" s="1076"/>
      <c r="AT237" s="1076"/>
      <c r="AU237" s="1076"/>
      <c r="AV237" s="1076"/>
      <c r="AW237" s="1076"/>
      <c r="AX237" s="1076"/>
      <c r="AY237" s="1183"/>
    </row>
    <row r="238" spans="1:51" ht="21" customHeight="1" x14ac:dyDescent="0.25">
      <c r="A238" s="1189"/>
      <c r="B238" s="1018"/>
      <c r="C238" s="1217" t="s">
        <v>511</v>
      </c>
      <c r="D238" s="161" t="s">
        <v>340</v>
      </c>
      <c r="E238" s="1225"/>
      <c r="F238" s="1225"/>
      <c r="G238" s="1225">
        <v>46</v>
      </c>
      <c r="H238" s="1225">
        <v>36</v>
      </c>
      <c r="I238" s="1225">
        <v>26</v>
      </c>
      <c r="J238" s="1225"/>
      <c r="K238" s="1306"/>
      <c r="L238" s="1225"/>
      <c r="M238" s="1225"/>
      <c r="N238" s="1225"/>
      <c r="O238" s="1225"/>
      <c r="P238" s="1225"/>
      <c r="Q238" s="1225"/>
      <c r="R238" s="1225"/>
      <c r="S238" s="1073"/>
      <c r="T238" s="1023"/>
      <c r="U238" s="1023"/>
      <c r="V238" s="1023"/>
      <c r="W238" s="1023"/>
      <c r="X238" s="1023"/>
      <c r="Y238" s="1023"/>
      <c r="Z238" s="1023"/>
      <c r="AA238" s="1023"/>
      <c r="AB238" s="1225"/>
      <c r="AC238" s="1225"/>
      <c r="AD238" s="1059"/>
      <c r="AE238" s="1225"/>
      <c r="AF238" s="1310"/>
      <c r="AG238" s="1298"/>
      <c r="AH238" s="1299"/>
      <c r="AI238" s="1299"/>
      <c r="AJ238" s="1300"/>
      <c r="AK238" s="1311"/>
      <c r="AL238" s="1299" t="s">
        <v>178</v>
      </c>
      <c r="AM238" s="1299" t="s">
        <v>458</v>
      </c>
      <c r="AN238" s="1301">
        <v>7936532</v>
      </c>
      <c r="AO238" s="1301">
        <v>3799681</v>
      </c>
      <c r="AP238" s="1301">
        <v>4136851</v>
      </c>
      <c r="AQ238" s="1302" t="s">
        <v>459</v>
      </c>
      <c r="AR238" s="1302" t="s">
        <v>459</v>
      </c>
      <c r="AS238" s="1302" t="s">
        <v>459</v>
      </c>
      <c r="AT238" s="1302" t="s">
        <v>459</v>
      </c>
      <c r="AU238" s="1302" t="s">
        <v>459</v>
      </c>
      <c r="AV238" s="1302" t="s">
        <v>459</v>
      </c>
      <c r="AW238" s="1302" t="s">
        <v>459</v>
      </c>
      <c r="AX238" s="1301">
        <v>7936532</v>
      </c>
      <c r="AY238" s="1183"/>
    </row>
    <row r="239" spans="1:51" ht="21" customHeight="1" x14ac:dyDescent="0.25">
      <c r="A239" s="1189"/>
      <c r="B239" s="1018"/>
      <c r="C239" s="1018"/>
      <c r="D239" s="164" t="s">
        <v>343</v>
      </c>
      <c r="E239" s="1225"/>
      <c r="F239" s="1225"/>
      <c r="G239" s="1225">
        <f>+G143-T143</f>
        <v>378182000</v>
      </c>
      <c r="H239" s="1225">
        <f>+H143-U143</f>
        <v>378182000</v>
      </c>
      <c r="I239" s="1225">
        <f>+I143-V143</f>
        <v>283062000</v>
      </c>
      <c r="J239" s="1225"/>
      <c r="K239" s="1225"/>
      <c r="L239" s="1225"/>
      <c r="M239" s="1225"/>
      <c r="N239" s="1225"/>
      <c r="O239" s="1225"/>
      <c r="P239" s="1225"/>
      <c r="Q239" s="1225"/>
      <c r="R239" s="1225"/>
      <c r="S239" s="1073"/>
      <c r="T239" s="1023"/>
      <c r="U239" s="1023"/>
      <c r="V239" s="1023"/>
      <c r="W239" s="1023"/>
      <c r="X239" s="1023"/>
      <c r="Y239" s="1023"/>
      <c r="Z239" s="1023"/>
      <c r="AA239" s="1023"/>
      <c r="AB239" s="1023"/>
      <c r="AC239" s="1225"/>
      <c r="AD239" s="1059"/>
      <c r="AE239" s="1225"/>
      <c r="AF239" s="1310"/>
      <c r="AG239" s="1218"/>
      <c r="AH239" s="1219"/>
      <c r="AI239" s="1219"/>
      <c r="AJ239" s="1219"/>
      <c r="AK239" s="1218"/>
      <c r="AL239" s="1219"/>
      <c r="AM239" s="1219"/>
      <c r="AN239" s="1219"/>
      <c r="AO239" s="1219"/>
      <c r="AP239" s="1219"/>
      <c r="AQ239" s="1219"/>
      <c r="AR239" s="1219"/>
      <c r="AS239" s="1219"/>
      <c r="AT239" s="1219"/>
      <c r="AU239" s="1219"/>
      <c r="AV239" s="1219"/>
      <c r="AW239" s="1219"/>
      <c r="AX239" s="1219"/>
      <c r="AY239" s="1183"/>
    </row>
    <row r="240" spans="1:51" ht="21" customHeight="1" x14ac:dyDescent="0.25">
      <c r="A240" s="1189"/>
      <c r="B240" s="1018"/>
      <c r="C240" s="1018"/>
      <c r="D240" s="165" t="s">
        <v>345</v>
      </c>
      <c r="E240" s="1225"/>
      <c r="F240" s="1225"/>
      <c r="G240" s="1225">
        <v>0</v>
      </c>
      <c r="H240" s="1225">
        <v>0</v>
      </c>
      <c r="I240" s="1225"/>
      <c r="J240" s="1225"/>
      <c r="K240" s="1306"/>
      <c r="L240" s="1225"/>
      <c r="M240" s="1225"/>
      <c r="N240" s="1023"/>
      <c r="O240" s="1225"/>
      <c r="P240" s="1225"/>
      <c r="Q240" s="1225"/>
      <c r="R240" s="1225"/>
      <c r="S240" s="1073"/>
      <c r="T240" s="1023"/>
      <c r="U240" s="1023"/>
      <c r="V240" s="1023"/>
      <c r="W240" s="1023"/>
      <c r="X240" s="1023"/>
      <c r="Y240" s="1023"/>
      <c r="Z240" s="1023"/>
      <c r="AA240" s="1023"/>
      <c r="AB240" s="1023"/>
      <c r="AC240" s="1225"/>
      <c r="AD240" s="1059"/>
      <c r="AE240" s="1225"/>
      <c r="AF240" s="1310"/>
      <c r="AG240" s="1218"/>
      <c r="AH240" s="1219"/>
      <c r="AI240" s="1219"/>
      <c r="AJ240" s="1219"/>
      <c r="AK240" s="1218"/>
      <c r="AL240" s="1219"/>
      <c r="AM240" s="1219"/>
      <c r="AN240" s="1219"/>
      <c r="AO240" s="1219"/>
      <c r="AP240" s="1219"/>
      <c r="AQ240" s="1219"/>
      <c r="AR240" s="1219"/>
      <c r="AS240" s="1219"/>
      <c r="AT240" s="1219"/>
      <c r="AU240" s="1219"/>
      <c r="AV240" s="1219"/>
      <c r="AW240" s="1219"/>
      <c r="AX240" s="1219"/>
      <c r="AY240" s="1183"/>
    </row>
    <row r="241" spans="1:51" ht="21" customHeight="1" x14ac:dyDescent="0.25">
      <c r="A241" s="1189"/>
      <c r="B241" s="1018"/>
      <c r="C241" s="1018"/>
      <c r="D241" s="164" t="s">
        <v>346</v>
      </c>
      <c r="E241" s="1225"/>
      <c r="F241" s="1225"/>
      <c r="G241" s="1225">
        <f>+G145-T145</f>
        <v>29463400</v>
      </c>
      <c r="H241" s="1225">
        <f>+H145-U145</f>
        <v>18000000</v>
      </c>
      <c r="I241" s="1225">
        <f>+I145-V145</f>
        <v>18000000</v>
      </c>
      <c r="J241" s="1225"/>
      <c r="K241" s="1225"/>
      <c r="L241" s="1225"/>
      <c r="M241" s="1225"/>
      <c r="N241" s="1225"/>
      <c r="O241" s="1225"/>
      <c r="P241" s="1225"/>
      <c r="Q241" s="1225"/>
      <c r="R241" s="1225"/>
      <c r="S241" s="1073"/>
      <c r="T241" s="1023"/>
      <c r="U241" s="1023"/>
      <c r="V241" s="1023"/>
      <c r="W241" s="1023"/>
      <c r="X241" s="1023"/>
      <c r="Y241" s="1023"/>
      <c r="Z241" s="1023"/>
      <c r="AA241" s="1023"/>
      <c r="AB241" s="1023"/>
      <c r="AC241" s="1225"/>
      <c r="AD241" s="1059"/>
      <c r="AE241" s="1225"/>
      <c r="AF241" s="1310"/>
      <c r="AG241" s="1218"/>
      <c r="AH241" s="1219"/>
      <c r="AI241" s="1219"/>
      <c r="AJ241" s="1219"/>
      <c r="AK241" s="1218"/>
      <c r="AL241" s="1219"/>
      <c r="AM241" s="1219"/>
      <c r="AN241" s="1219"/>
      <c r="AO241" s="1219"/>
      <c r="AP241" s="1219"/>
      <c r="AQ241" s="1219"/>
      <c r="AR241" s="1219"/>
      <c r="AS241" s="1219"/>
      <c r="AT241" s="1219"/>
      <c r="AU241" s="1219"/>
      <c r="AV241" s="1219"/>
      <c r="AW241" s="1219"/>
      <c r="AX241" s="1219"/>
      <c r="AY241" s="1183"/>
    </row>
    <row r="242" spans="1:51" ht="21" customHeight="1" x14ac:dyDescent="0.25">
      <c r="A242" s="1189"/>
      <c r="B242" s="1018"/>
      <c r="C242" s="1018"/>
      <c r="D242" s="165" t="s">
        <v>347</v>
      </c>
      <c r="E242" s="1225"/>
      <c r="F242" s="1225"/>
      <c r="G242" s="1225">
        <f>+G238+G240</f>
        <v>46</v>
      </c>
      <c r="H242" s="1225">
        <v>36</v>
      </c>
      <c r="I242" s="1225">
        <v>26</v>
      </c>
      <c r="J242" s="1225"/>
      <c r="K242" s="1306"/>
      <c r="L242" s="1225"/>
      <c r="M242" s="1225"/>
      <c r="N242" s="1023"/>
      <c r="O242" s="1225"/>
      <c r="P242" s="1225"/>
      <c r="Q242" s="1225"/>
      <c r="R242" s="1225"/>
      <c r="S242" s="1073"/>
      <c r="T242" s="1023"/>
      <c r="U242" s="1023"/>
      <c r="V242" s="1023"/>
      <c r="W242" s="1023"/>
      <c r="X242" s="1023"/>
      <c r="Y242" s="1023"/>
      <c r="Z242" s="1225"/>
      <c r="AA242" s="1023"/>
      <c r="AB242" s="1023"/>
      <c r="AC242" s="1225"/>
      <c r="AD242" s="1059"/>
      <c r="AE242" s="1225"/>
      <c r="AF242" s="1310"/>
      <c r="AG242" s="1218"/>
      <c r="AH242" s="1219"/>
      <c r="AI242" s="1219"/>
      <c r="AJ242" s="1219"/>
      <c r="AK242" s="1218"/>
      <c r="AL242" s="1219"/>
      <c r="AM242" s="1219"/>
      <c r="AN242" s="1219"/>
      <c r="AO242" s="1219"/>
      <c r="AP242" s="1219"/>
      <c r="AQ242" s="1219"/>
      <c r="AR242" s="1219"/>
      <c r="AS242" s="1219"/>
      <c r="AT242" s="1219"/>
      <c r="AU242" s="1219"/>
      <c r="AV242" s="1219"/>
      <c r="AW242" s="1219"/>
      <c r="AX242" s="1219"/>
      <c r="AY242" s="1183"/>
    </row>
    <row r="243" spans="1:51" ht="21" customHeight="1" x14ac:dyDescent="0.25">
      <c r="A243" s="1189"/>
      <c r="B243" s="1018"/>
      <c r="C243" s="1048"/>
      <c r="D243" s="164" t="s">
        <v>348</v>
      </c>
      <c r="E243" s="1225"/>
      <c r="F243" s="1225"/>
      <c r="G243" s="1225">
        <f>+G239+G241</f>
        <v>407645400</v>
      </c>
      <c r="H243" s="1225">
        <f>+H239+H241</f>
        <v>396182000</v>
      </c>
      <c r="I243" s="1225">
        <f>+I239+I241</f>
        <v>301062000</v>
      </c>
      <c r="J243" s="1225"/>
      <c r="K243" s="1225"/>
      <c r="L243" s="1225"/>
      <c r="M243" s="1225"/>
      <c r="N243" s="1225"/>
      <c r="O243" s="1225"/>
      <c r="P243" s="1225"/>
      <c r="Q243" s="1225"/>
      <c r="R243" s="1225"/>
      <c r="S243" s="1073"/>
      <c r="T243" s="1023"/>
      <c r="U243" s="1023"/>
      <c r="V243" s="1023"/>
      <c r="W243" s="1023"/>
      <c r="X243" s="1023"/>
      <c r="Y243" s="1023"/>
      <c r="Z243" s="1023"/>
      <c r="AA243" s="1023"/>
      <c r="AB243" s="1023"/>
      <c r="AC243" s="1225"/>
      <c r="AD243" s="1059"/>
      <c r="AE243" s="1225"/>
      <c r="AF243" s="1310"/>
      <c r="AG243" s="1220"/>
      <c r="AH243" s="1221"/>
      <c r="AI243" s="1221"/>
      <c r="AJ243" s="1221"/>
      <c r="AK243" s="1220"/>
      <c r="AL243" s="1221"/>
      <c r="AM243" s="1221"/>
      <c r="AN243" s="1221"/>
      <c r="AO243" s="1221"/>
      <c r="AP243" s="1221"/>
      <c r="AQ243" s="1221"/>
      <c r="AR243" s="1221"/>
      <c r="AS243" s="1221"/>
      <c r="AT243" s="1221"/>
      <c r="AU243" s="1221"/>
      <c r="AV243" s="1221"/>
      <c r="AW243" s="1221"/>
      <c r="AX243" s="1221"/>
      <c r="AY243" s="1183"/>
    </row>
    <row r="244" spans="1:51" ht="21" customHeight="1" x14ac:dyDescent="0.25">
      <c r="A244" s="1189"/>
      <c r="B244" s="1018"/>
      <c r="C244" s="1217" t="s">
        <v>512</v>
      </c>
      <c r="D244" s="161" t="s">
        <v>340</v>
      </c>
      <c r="E244" s="1225">
        <f t="shared" ref="E244:F249" si="30">+E142</f>
        <v>53</v>
      </c>
      <c r="F244" s="1225">
        <f t="shared" si="30"/>
        <v>53</v>
      </c>
      <c r="G244" s="1225">
        <f t="shared" ref="G244:L244" si="31">+G148+G154+G160+G166+G172+G178+G184+G190+G196+G202+G208+G214+G220+G226+G232+G238</f>
        <v>53</v>
      </c>
      <c r="H244" s="1225">
        <f t="shared" si="31"/>
        <v>53</v>
      </c>
      <c r="I244" s="1225">
        <f>+I148+I154+I160+I166+I172+I178+I184+I190+I196+I202+I208+I214+I220+I226+I232+I238</f>
        <v>53</v>
      </c>
      <c r="J244" s="1225"/>
      <c r="K244" s="1225"/>
      <c r="L244" s="1225"/>
      <c r="M244" s="1225"/>
      <c r="N244" s="1225"/>
      <c r="O244" s="1225"/>
      <c r="P244" s="1225"/>
      <c r="Q244" s="1225"/>
      <c r="R244" s="1225"/>
      <c r="S244" s="1073"/>
      <c r="T244" s="1225">
        <f t="shared" ref="T244:Y244" si="32">+T148+T154+T160+T166+T172+T178+T184+T190+T196+T202+T208+T214+T220+T226+T232+T238</f>
        <v>7</v>
      </c>
      <c r="U244" s="1225">
        <f t="shared" si="32"/>
        <v>17</v>
      </c>
      <c r="V244" s="1225">
        <f t="shared" si="32"/>
        <v>27</v>
      </c>
      <c r="W244" s="1225"/>
      <c r="X244" s="1225">
        <f t="shared" si="32"/>
        <v>0</v>
      </c>
      <c r="Y244" s="1225">
        <f t="shared" si="32"/>
        <v>0</v>
      </c>
      <c r="Z244" s="1225">
        <f t="shared" ref="Z244:AE244" si="33">+Z148+Z154+Z160+Z166+Z172+Z178+Z184+Z190+Z196+Z202+Z208+Z214+Z220+Z226+Z232+Z238</f>
        <v>0</v>
      </c>
      <c r="AA244" s="1225">
        <f t="shared" si="33"/>
        <v>0</v>
      </c>
      <c r="AB244" s="1225">
        <f t="shared" si="33"/>
        <v>0</v>
      </c>
      <c r="AC244" s="1225">
        <f t="shared" si="33"/>
        <v>0</v>
      </c>
      <c r="AD244" s="1225">
        <f t="shared" si="33"/>
        <v>0</v>
      </c>
      <c r="AE244" s="1225">
        <f t="shared" si="33"/>
        <v>0</v>
      </c>
      <c r="AF244" s="1312"/>
      <c r="AG244" s="1298" t="s">
        <v>456</v>
      </c>
      <c r="AH244" s="1299" t="s">
        <v>178</v>
      </c>
      <c r="AI244" s="1299" t="s">
        <v>178</v>
      </c>
      <c r="AJ244" s="1299" t="s">
        <v>178</v>
      </c>
      <c r="AK244" s="1299" t="s">
        <v>457</v>
      </c>
      <c r="AL244" s="1299" t="s">
        <v>178</v>
      </c>
      <c r="AM244" s="1299" t="s">
        <v>458</v>
      </c>
      <c r="AN244" s="1301">
        <v>7936532</v>
      </c>
      <c r="AO244" s="1301">
        <v>3799681</v>
      </c>
      <c r="AP244" s="1301">
        <v>4136851</v>
      </c>
      <c r="AQ244" s="1302" t="s">
        <v>459</v>
      </c>
      <c r="AR244" s="1302" t="s">
        <v>459</v>
      </c>
      <c r="AS244" s="1302" t="s">
        <v>459</v>
      </c>
      <c r="AT244" s="1302" t="s">
        <v>459</v>
      </c>
      <c r="AU244" s="1302" t="s">
        <v>459</v>
      </c>
      <c r="AV244" s="1302" t="s">
        <v>459</v>
      </c>
      <c r="AW244" s="1302" t="s">
        <v>459</v>
      </c>
      <c r="AX244" s="1301">
        <v>7936532</v>
      </c>
      <c r="AY244" s="1183"/>
    </row>
    <row r="245" spans="1:51" ht="21" customHeight="1" x14ac:dyDescent="0.25">
      <c r="A245" s="1189"/>
      <c r="B245" s="1018"/>
      <c r="C245" s="1018"/>
      <c r="D245" s="164" t="s">
        <v>343</v>
      </c>
      <c r="E245" s="1225">
        <f t="shared" si="30"/>
        <v>387000000</v>
      </c>
      <c r="F245" s="1225">
        <f t="shared" si="30"/>
        <v>387000000</v>
      </c>
      <c r="G245" s="1225">
        <f t="shared" ref="G245:L245" si="34">+G149+G155+G161+G167+G173+G179+G185+G191+G197+G203+G209+G215+G221+G227+G233+G239</f>
        <v>387000000</v>
      </c>
      <c r="H245" s="1225">
        <f t="shared" si="34"/>
        <v>387000000</v>
      </c>
      <c r="I245" s="1225">
        <f t="shared" si="34"/>
        <v>387000000</v>
      </c>
      <c r="J245" s="1225"/>
      <c r="K245" s="1225"/>
      <c r="L245" s="1225"/>
      <c r="M245" s="1225"/>
      <c r="N245" s="1225"/>
      <c r="O245" s="1225"/>
      <c r="P245" s="1225"/>
      <c r="Q245" s="1225"/>
      <c r="R245" s="1225"/>
      <c r="S245" s="1073"/>
      <c r="T245" s="1225">
        <f t="shared" ref="T245:Y245" si="35">+T149+T155+T161+T167+T173+T179+T185+T191+T197+T203+T209+T215+T221+T227+T233+T239</f>
        <v>8818000</v>
      </c>
      <c r="U245" s="1225">
        <f t="shared" si="35"/>
        <v>8818000</v>
      </c>
      <c r="V245" s="1225">
        <f t="shared" si="35"/>
        <v>103937999.99999999</v>
      </c>
      <c r="W245" s="1225"/>
      <c r="X245" s="1225">
        <f t="shared" si="35"/>
        <v>0</v>
      </c>
      <c r="Y245" s="1225">
        <f t="shared" si="35"/>
        <v>0</v>
      </c>
      <c r="Z245" s="1225">
        <f t="shared" ref="Z245:AE245" si="36">+Z149+Z155+Z161+Z167+Z173+Z179+Z185+Z191+Z197+Z203+Z209+Z215+Z221+Z227+Z233+Z239</f>
        <v>0</v>
      </c>
      <c r="AA245" s="1225">
        <f t="shared" si="36"/>
        <v>0</v>
      </c>
      <c r="AB245" s="1225">
        <f t="shared" si="36"/>
        <v>0</v>
      </c>
      <c r="AC245" s="1225">
        <f t="shared" si="36"/>
        <v>0</v>
      </c>
      <c r="AD245" s="1225">
        <f t="shared" si="36"/>
        <v>0</v>
      </c>
      <c r="AE245" s="1225">
        <f t="shared" si="36"/>
        <v>0</v>
      </c>
      <c r="AF245" s="1312"/>
      <c r="AG245" s="1218"/>
      <c r="AH245" s="1219"/>
      <c r="AI245" s="1219"/>
      <c r="AJ245" s="1219"/>
      <c r="AK245" s="1219"/>
      <c r="AL245" s="1219"/>
      <c r="AM245" s="1219"/>
      <c r="AN245" s="1219"/>
      <c r="AO245" s="1219"/>
      <c r="AP245" s="1219"/>
      <c r="AQ245" s="1219"/>
      <c r="AR245" s="1219"/>
      <c r="AS245" s="1219"/>
      <c r="AT245" s="1219"/>
      <c r="AU245" s="1219"/>
      <c r="AV245" s="1219"/>
      <c r="AW245" s="1219"/>
      <c r="AX245" s="1219"/>
      <c r="AY245" s="1183"/>
    </row>
    <row r="246" spans="1:51" ht="21" customHeight="1" x14ac:dyDescent="0.25">
      <c r="A246" s="1189"/>
      <c r="B246" s="1018"/>
      <c r="C246" s="1018"/>
      <c r="D246" s="165" t="s">
        <v>345</v>
      </c>
      <c r="E246" s="1225">
        <f t="shared" si="30"/>
        <v>3</v>
      </c>
      <c r="F246" s="1225">
        <f t="shared" si="30"/>
        <v>3</v>
      </c>
      <c r="G246" s="1225">
        <f t="shared" ref="G246:L246" si="37">+G150+G156+G162+G168+G174+G180+G186+G192+G198+G204+G210+G216+G222+G228+G234+G240</f>
        <v>3</v>
      </c>
      <c r="H246" s="1225">
        <f t="shared" si="37"/>
        <v>3</v>
      </c>
      <c r="I246" s="1225">
        <f t="shared" si="37"/>
        <v>3</v>
      </c>
      <c r="J246" s="1225"/>
      <c r="K246" s="1225"/>
      <c r="L246" s="1225"/>
      <c r="M246" s="1225"/>
      <c r="N246" s="1225"/>
      <c r="O246" s="1225"/>
      <c r="P246" s="1225"/>
      <c r="Q246" s="1225"/>
      <c r="R246" s="1225"/>
      <c r="S246" s="1073"/>
      <c r="T246" s="1225">
        <f t="shared" ref="T246:Y246" si="38">+T150+T156+T162+T168+T174+T180+T186+T192+T198+T204+T210+T216+T222+T228+T234+T240</f>
        <v>3</v>
      </c>
      <c r="U246" s="1225">
        <f t="shared" si="38"/>
        <v>3</v>
      </c>
      <c r="V246" s="1225">
        <f>+V150+V156+V162+V168+V174+V180+V186+V192+V198+V204+V210+V216+V222+V228+V234+V240</f>
        <v>3</v>
      </c>
      <c r="W246" s="1225"/>
      <c r="X246" s="1225">
        <f t="shared" si="38"/>
        <v>0</v>
      </c>
      <c r="Y246" s="1225">
        <f t="shared" si="38"/>
        <v>0</v>
      </c>
      <c r="Z246" s="1225">
        <f t="shared" ref="Z246:AE246" si="39">+Z150+Z156+Z162+Z168+Z174+Z180+Z186+Z192+Z198+Z204+Z210+Z216+Z222+Z228+Z234+Z240</f>
        <v>0</v>
      </c>
      <c r="AA246" s="1225">
        <f t="shared" si="39"/>
        <v>0</v>
      </c>
      <c r="AB246" s="1225">
        <f t="shared" si="39"/>
        <v>0</v>
      </c>
      <c r="AC246" s="1225">
        <f t="shared" si="39"/>
        <v>0</v>
      </c>
      <c r="AD246" s="1225">
        <f t="shared" si="39"/>
        <v>0</v>
      </c>
      <c r="AE246" s="1225">
        <f t="shared" si="39"/>
        <v>0</v>
      </c>
      <c r="AF246" s="1312"/>
      <c r="AG246" s="1218"/>
      <c r="AH246" s="1219"/>
      <c r="AI246" s="1219"/>
      <c r="AJ246" s="1219"/>
      <c r="AK246" s="1219"/>
      <c r="AL246" s="1219"/>
      <c r="AM246" s="1219"/>
      <c r="AN246" s="1219"/>
      <c r="AO246" s="1219"/>
      <c r="AP246" s="1219"/>
      <c r="AQ246" s="1219"/>
      <c r="AR246" s="1219"/>
      <c r="AS246" s="1219"/>
      <c r="AT246" s="1219"/>
      <c r="AU246" s="1219"/>
      <c r="AV246" s="1219"/>
      <c r="AW246" s="1219"/>
      <c r="AX246" s="1219"/>
      <c r="AY246" s="1183"/>
    </row>
    <row r="247" spans="1:51" ht="21" customHeight="1" x14ac:dyDescent="0.25">
      <c r="A247" s="1189"/>
      <c r="B247" s="1018"/>
      <c r="C247" s="1018"/>
      <c r="D247" s="164" t="s">
        <v>346</v>
      </c>
      <c r="E247" s="1225">
        <f t="shared" si="30"/>
        <v>42690400</v>
      </c>
      <c r="F247" s="1225">
        <f t="shared" si="30"/>
        <v>42690400</v>
      </c>
      <c r="G247" s="1225">
        <f t="shared" ref="G247:L247" si="40">+G151+G157+G163+G169+G175+G181+G187+G193+G199+G205+G211+G217+G223+G229+G235+G241</f>
        <v>42690400</v>
      </c>
      <c r="H247" s="1225">
        <f t="shared" si="40"/>
        <v>42690400</v>
      </c>
      <c r="I247" s="1225">
        <f>+I151+I157+I163+I169+I175+I181+I187+I193+I199+I205+I211+I217+I223+I229+I235+I241</f>
        <v>42690400</v>
      </c>
      <c r="J247" s="1225"/>
      <c r="K247" s="1225"/>
      <c r="L247" s="1225"/>
      <c r="M247" s="1225"/>
      <c r="N247" s="1225"/>
      <c r="O247" s="1225"/>
      <c r="P247" s="1225"/>
      <c r="Q247" s="1225"/>
      <c r="R247" s="1225"/>
      <c r="S247" s="1073"/>
      <c r="T247" s="1225">
        <f t="shared" ref="T247:Y247" si="41">+T151+T157+T163+T169+T175+T181+T187+T193+T199+T205+T211+T217+T223+T229+T235+T241</f>
        <v>13227000</v>
      </c>
      <c r="U247" s="1225">
        <f t="shared" si="41"/>
        <v>24690400</v>
      </c>
      <c r="V247" s="1225">
        <f>+V151+V157+V163+V169+V175+V181+V187+V193+V199+V205+V211+V217+V223+V229+V235+V241</f>
        <v>24690400</v>
      </c>
      <c r="W247" s="1225"/>
      <c r="X247" s="1225">
        <f t="shared" si="41"/>
        <v>0</v>
      </c>
      <c r="Y247" s="1225">
        <f t="shared" si="41"/>
        <v>0</v>
      </c>
      <c r="Z247" s="1225">
        <f t="shared" ref="Z247:AE247" si="42">+Z151+Z157+Z163+Z169+Z175+Z181+Z187+Z193+Z199+Z205+Z211+Z217+Z223+Z229+Z235+Z241</f>
        <v>0</v>
      </c>
      <c r="AA247" s="1225">
        <f t="shared" si="42"/>
        <v>0</v>
      </c>
      <c r="AB247" s="1225">
        <f t="shared" si="42"/>
        <v>0</v>
      </c>
      <c r="AC247" s="1225">
        <f t="shared" si="42"/>
        <v>0</v>
      </c>
      <c r="AD247" s="1225">
        <f t="shared" si="42"/>
        <v>0</v>
      </c>
      <c r="AE247" s="1225">
        <f t="shared" si="42"/>
        <v>0</v>
      </c>
      <c r="AF247" s="1312"/>
      <c r="AG247" s="1218"/>
      <c r="AH247" s="1219"/>
      <c r="AI247" s="1219"/>
      <c r="AJ247" s="1219"/>
      <c r="AK247" s="1219"/>
      <c r="AL247" s="1219"/>
      <c r="AM247" s="1219"/>
      <c r="AN247" s="1219"/>
      <c r="AO247" s="1219"/>
      <c r="AP247" s="1219"/>
      <c r="AQ247" s="1219"/>
      <c r="AR247" s="1219"/>
      <c r="AS247" s="1219"/>
      <c r="AT247" s="1219"/>
      <c r="AU247" s="1219"/>
      <c r="AV247" s="1219"/>
      <c r="AW247" s="1219"/>
      <c r="AX247" s="1219"/>
      <c r="AY247" s="1183"/>
    </row>
    <row r="248" spans="1:51" ht="21" customHeight="1" x14ac:dyDescent="0.25">
      <c r="A248" s="1189"/>
      <c r="B248" s="1018"/>
      <c r="C248" s="1018"/>
      <c r="D248" s="165" t="s">
        <v>347</v>
      </c>
      <c r="E248" s="1225">
        <f t="shared" si="30"/>
        <v>56</v>
      </c>
      <c r="F248" s="1225">
        <f t="shared" si="30"/>
        <v>53</v>
      </c>
      <c r="G248" s="1225">
        <f t="shared" ref="G248:L248" si="43">+G152+G158+G164+G170+G176+G182+G188+G194+G200+G206+G212+G218+G224+G230+G236+G242</f>
        <v>56</v>
      </c>
      <c r="H248" s="1225">
        <f t="shared" si="43"/>
        <v>56</v>
      </c>
      <c r="I248" s="1225">
        <f>+I152+I158+I164+I170+I176+I182+I188+I194+I200+I206+I212+I218+I224+I230+I236+I242</f>
        <v>56</v>
      </c>
      <c r="J248" s="1225"/>
      <c r="K248" s="1225"/>
      <c r="L248" s="1225"/>
      <c r="M248" s="1225"/>
      <c r="N248" s="1225"/>
      <c r="O248" s="1225"/>
      <c r="P248" s="1225"/>
      <c r="Q248" s="1225"/>
      <c r="R248" s="1225"/>
      <c r="S248" s="1073"/>
      <c r="T248" s="1225">
        <f t="shared" ref="T248:Y248" si="44">+T152+T158+T164+T170+T176+T182+T188+T194+T200+T206+T212+T218+T224+T230+T236+T242</f>
        <v>10</v>
      </c>
      <c r="U248" s="1225">
        <f t="shared" si="44"/>
        <v>20</v>
      </c>
      <c r="V248" s="1225">
        <f>+V152+V158+V164+V170+V176+V182+V188+V194+V200+V206+V212+V218+V224+V230+V236+V242</f>
        <v>30</v>
      </c>
      <c r="W248" s="1225"/>
      <c r="X248" s="1225">
        <f t="shared" si="44"/>
        <v>0</v>
      </c>
      <c r="Y248" s="1225">
        <f t="shared" si="44"/>
        <v>0</v>
      </c>
      <c r="Z248" s="1225">
        <f t="shared" ref="Z248:AE248" si="45">+Z152+Z158+Z164+Z170+Z176+Z182+Z188+Z194+Z200+Z206+Z212+Z218+Z224+Z230+Z236+Z242</f>
        <v>0</v>
      </c>
      <c r="AA248" s="1225">
        <f t="shared" si="45"/>
        <v>0</v>
      </c>
      <c r="AB248" s="1225">
        <f t="shared" si="45"/>
        <v>0</v>
      </c>
      <c r="AC248" s="1225">
        <f t="shared" si="45"/>
        <v>0</v>
      </c>
      <c r="AD248" s="1225">
        <f t="shared" si="45"/>
        <v>0</v>
      </c>
      <c r="AE248" s="1225">
        <f t="shared" si="45"/>
        <v>0</v>
      </c>
      <c r="AF248" s="1312"/>
      <c r="AG248" s="1218"/>
      <c r="AH248" s="1219"/>
      <c r="AI248" s="1219"/>
      <c r="AJ248" s="1219"/>
      <c r="AK248" s="1219"/>
      <c r="AL248" s="1219"/>
      <c r="AM248" s="1219"/>
      <c r="AN248" s="1219"/>
      <c r="AO248" s="1219"/>
      <c r="AP248" s="1219"/>
      <c r="AQ248" s="1219"/>
      <c r="AR248" s="1219"/>
      <c r="AS248" s="1219"/>
      <c r="AT248" s="1219"/>
      <c r="AU248" s="1219"/>
      <c r="AV248" s="1219"/>
      <c r="AW248" s="1219"/>
      <c r="AX248" s="1219"/>
      <c r="AY248" s="1183"/>
    </row>
    <row r="249" spans="1:51" ht="21" customHeight="1" thickBot="1" x14ac:dyDescent="0.3">
      <c r="A249" s="1190"/>
      <c r="B249" s="1376"/>
      <c r="C249" s="1048"/>
      <c r="D249" s="164" t="s">
        <v>348</v>
      </c>
      <c r="E249" s="1225">
        <f t="shared" si="30"/>
        <v>429690400</v>
      </c>
      <c r="F249" s="1225">
        <f t="shared" si="30"/>
        <v>400227000</v>
      </c>
      <c r="G249" s="1225">
        <f t="shared" ref="G249:L249" si="46">+G153+G159+G165+G171+G177+G183+G189+G195+G201+G207+G213+G219+G225+G231+G237+G243</f>
        <v>429690400</v>
      </c>
      <c r="H249" s="1225">
        <f t="shared" si="46"/>
        <v>429690400</v>
      </c>
      <c r="I249" s="1225">
        <f t="shared" si="46"/>
        <v>429690400</v>
      </c>
      <c r="J249" s="1225"/>
      <c r="K249" s="1225"/>
      <c r="L249" s="1225"/>
      <c r="M249" s="1225"/>
      <c r="N249" s="1225"/>
      <c r="O249" s="1225"/>
      <c r="P249" s="1225"/>
      <c r="Q249" s="1225"/>
      <c r="R249" s="1225"/>
      <c r="S249" s="1076"/>
      <c r="T249" s="1225">
        <f t="shared" ref="T249:Y249" si="47">+T153+T159+T165+T171+T177+T183+T189+T195+T201+T207+T213+T219+T225+T231+T237+T243</f>
        <v>22045000</v>
      </c>
      <c r="U249" s="1225">
        <f t="shared" si="47"/>
        <v>33508400</v>
      </c>
      <c r="V249" s="1225">
        <f t="shared" si="47"/>
        <v>128628399.99999999</v>
      </c>
      <c r="W249" s="1225"/>
      <c r="X249" s="1225">
        <f t="shared" si="47"/>
        <v>0</v>
      </c>
      <c r="Y249" s="1225">
        <f t="shared" si="47"/>
        <v>0</v>
      </c>
      <c r="Z249" s="1225">
        <f t="shared" ref="Z249:AE249" si="48">+Z153+Z159+Z165+Z171+Z177+Z183+Z189+Z195+Z201+Z207+Z213+Z219+Z225+Z231+Z237+Z243</f>
        <v>0</v>
      </c>
      <c r="AA249" s="1225">
        <f t="shared" si="48"/>
        <v>0</v>
      </c>
      <c r="AB249" s="1225">
        <f t="shared" si="48"/>
        <v>0</v>
      </c>
      <c r="AC249" s="1225">
        <f t="shared" si="48"/>
        <v>0</v>
      </c>
      <c r="AD249" s="1225">
        <f t="shared" si="48"/>
        <v>0</v>
      </c>
      <c r="AE249" s="1225">
        <f t="shared" si="48"/>
        <v>0</v>
      </c>
      <c r="AF249" s="1312"/>
      <c r="AG249" s="1220"/>
      <c r="AH249" s="1221"/>
      <c r="AI249" s="1221"/>
      <c r="AJ249" s="1221"/>
      <c r="AK249" s="1221"/>
      <c r="AL249" s="1221"/>
      <c r="AM249" s="1221"/>
      <c r="AN249" s="1221"/>
      <c r="AO249" s="1221"/>
      <c r="AP249" s="1221"/>
      <c r="AQ249" s="1221"/>
      <c r="AR249" s="1221"/>
      <c r="AS249" s="1221"/>
      <c r="AT249" s="1221"/>
      <c r="AU249" s="1221"/>
      <c r="AV249" s="1221"/>
      <c r="AW249" s="1221"/>
      <c r="AX249" s="1221"/>
      <c r="AY249" s="1183"/>
    </row>
    <row r="250" spans="1:51" ht="21" customHeight="1" x14ac:dyDescent="0.25">
      <c r="A250" s="1216">
        <v>3</v>
      </c>
      <c r="B250" s="1374" t="s">
        <v>351</v>
      </c>
      <c r="C250" s="1217" t="s">
        <v>550</v>
      </c>
      <c r="D250" s="161" t="s">
        <v>340</v>
      </c>
      <c r="E250" s="1059">
        <f>+INVERSIÓN!DN24</f>
        <v>2898</v>
      </c>
      <c r="F250" s="1059">
        <v>2898</v>
      </c>
      <c r="G250" s="1059">
        <v>2898</v>
      </c>
      <c r="H250" s="1059">
        <v>2898</v>
      </c>
      <c r="I250" s="1059">
        <v>2898</v>
      </c>
      <c r="J250" s="1059"/>
      <c r="K250" s="1059"/>
      <c r="L250" s="1059"/>
      <c r="M250" s="1059"/>
      <c r="N250" s="1020"/>
      <c r="O250" s="1059"/>
      <c r="P250" s="1059"/>
      <c r="Q250" s="1059"/>
      <c r="R250" s="1059"/>
      <c r="S250" s="1313"/>
      <c r="T250" s="1020">
        <v>522</v>
      </c>
      <c r="U250" s="1020">
        <v>1022</v>
      </c>
      <c r="V250" s="1020">
        <v>1534</v>
      </c>
      <c r="W250" s="1020"/>
      <c r="X250" s="1020"/>
      <c r="Y250" s="1020"/>
      <c r="Z250" s="1020"/>
      <c r="AA250" s="1020"/>
      <c r="AB250" s="1059"/>
      <c r="AC250" s="1059"/>
      <c r="AD250" s="1006"/>
      <c r="AE250" s="1059"/>
      <c r="AF250" s="1314" t="s">
        <v>1513</v>
      </c>
      <c r="AG250" s="1275" t="s">
        <v>456</v>
      </c>
      <c r="AH250" s="1275" t="s">
        <v>178</v>
      </c>
      <c r="AI250" s="1275" t="s">
        <v>178</v>
      </c>
      <c r="AJ250" s="1275" t="s">
        <v>178</v>
      </c>
      <c r="AK250" s="1275" t="s">
        <v>457</v>
      </c>
      <c r="AL250" s="1275" t="s">
        <v>178</v>
      </c>
      <c r="AM250" s="1275" t="s">
        <v>551</v>
      </c>
      <c r="AN250" s="1277">
        <v>8371164</v>
      </c>
      <c r="AO250" s="1277">
        <v>4014958</v>
      </c>
      <c r="AP250" s="1277">
        <v>4356206</v>
      </c>
      <c r="AQ250" s="1278" t="s">
        <v>459</v>
      </c>
      <c r="AR250" s="1278" t="s">
        <v>459</v>
      </c>
      <c r="AS250" s="1278" t="s">
        <v>459</v>
      </c>
      <c r="AT250" s="1278" t="s">
        <v>459</v>
      </c>
      <c r="AU250" s="1278" t="s">
        <v>459</v>
      </c>
      <c r="AV250" s="1278" t="s">
        <v>459</v>
      </c>
      <c r="AW250" s="1278" t="s">
        <v>459</v>
      </c>
      <c r="AX250" s="1277">
        <v>8371164</v>
      </c>
      <c r="AY250" s="1226" t="s">
        <v>552</v>
      </c>
    </row>
    <row r="251" spans="1:51" ht="21" customHeight="1" x14ac:dyDescent="0.25">
      <c r="A251" s="1189"/>
      <c r="B251" s="1018"/>
      <c r="C251" s="1018"/>
      <c r="D251" s="164" t="s">
        <v>343</v>
      </c>
      <c r="E251" s="1059">
        <f>+INVERSIÓN!DN25</f>
        <v>71143000</v>
      </c>
      <c r="F251" s="1059">
        <v>71143000</v>
      </c>
      <c r="G251" s="1059">
        <v>71143000</v>
      </c>
      <c r="H251" s="1059">
        <v>71143000</v>
      </c>
      <c r="I251" s="1059">
        <v>71143000</v>
      </c>
      <c r="J251" s="1059"/>
      <c r="K251" s="1059"/>
      <c r="L251" s="1059"/>
      <c r="M251" s="1059"/>
      <c r="N251" s="1059"/>
      <c r="O251" s="1020"/>
      <c r="P251" s="1020"/>
      <c r="Q251" s="1020"/>
      <c r="R251" s="1059"/>
      <c r="S251" s="1219"/>
      <c r="T251" s="1020">
        <v>0</v>
      </c>
      <c r="U251" s="1020">
        <f>+INVERSIÓN!EO25</f>
        <v>17252000</v>
      </c>
      <c r="V251" s="1020">
        <v>17252000</v>
      </c>
      <c r="W251" s="1020"/>
      <c r="X251" s="1020"/>
      <c r="Y251" s="1020"/>
      <c r="Z251" s="1020"/>
      <c r="AA251" s="1020"/>
      <c r="AB251" s="1059"/>
      <c r="AC251" s="1059"/>
      <c r="AD251" s="1059"/>
      <c r="AE251" s="1059"/>
      <c r="AF251" s="1073"/>
      <c r="AG251" s="1073"/>
      <c r="AH251" s="1073"/>
      <c r="AI251" s="1073"/>
      <c r="AJ251" s="1073"/>
      <c r="AK251" s="1073"/>
      <c r="AL251" s="1073"/>
      <c r="AM251" s="1073"/>
      <c r="AN251" s="1073"/>
      <c r="AO251" s="1073"/>
      <c r="AP251" s="1073"/>
      <c r="AQ251" s="1073"/>
      <c r="AR251" s="1073"/>
      <c r="AS251" s="1073"/>
      <c r="AT251" s="1073"/>
      <c r="AU251" s="1073"/>
      <c r="AV251" s="1073"/>
      <c r="AW251" s="1073"/>
      <c r="AX251" s="1073"/>
      <c r="AY251" s="1227"/>
    </row>
    <row r="252" spans="1:51" ht="21" customHeight="1" x14ac:dyDescent="0.25">
      <c r="A252" s="1189"/>
      <c r="B252" s="1018"/>
      <c r="C252" s="1018"/>
      <c r="D252" s="165" t="s">
        <v>345</v>
      </c>
      <c r="E252" s="1059">
        <f>+INVERSIÓN!DN27</f>
        <v>78</v>
      </c>
      <c r="F252" s="1059">
        <v>78</v>
      </c>
      <c r="G252" s="1059">
        <v>78</v>
      </c>
      <c r="H252" s="1059">
        <v>78</v>
      </c>
      <c r="I252" s="1059">
        <v>78</v>
      </c>
      <c r="J252" s="1059"/>
      <c r="K252" s="1225"/>
      <c r="L252" s="1225"/>
      <c r="M252" s="1059"/>
      <c r="N252" s="1059"/>
      <c r="O252" s="1059"/>
      <c r="P252" s="1059"/>
      <c r="Q252" s="1059"/>
      <c r="R252" s="1059"/>
      <c r="S252" s="1219"/>
      <c r="T252" s="1020">
        <v>78</v>
      </c>
      <c r="U252" s="1020">
        <f>+INVERSIÓN!EO27</f>
        <v>78</v>
      </c>
      <c r="V252" s="1020">
        <v>78</v>
      </c>
      <c r="W252" s="1020"/>
      <c r="X252" s="1023"/>
      <c r="Y252" s="1020"/>
      <c r="Z252" s="1020"/>
      <c r="AA252" s="1020"/>
      <c r="AB252" s="1059"/>
      <c r="AC252" s="1059"/>
      <c r="AD252" s="1059"/>
      <c r="AE252" s="1059"/>
      <c r="AF252" s="1073"/>
      <c r="AG252" s="1073"/>
      <c r="AH252" s="1073"/>
      <c r="AI252" s="1073"/>
      <c r="AJ252" s="1073"/>
      <c r="AK252" s="1073"/>
      <c r="AL252" s="1073"/>
      <c r="AM252" s="1073"/>
      <c r="AN252" s="1073"/>
      <c r="AO252" s="1073"/>
      <c r="AP252" s="1073"/>
      <c r="AQ252" s="1073"/>
      <c r="AR252" s="1073"/>
      <c r="AS252" s="1073"/>
      <c r="AT252" s="1073"/>
      <c r="AU252" s="1073"/>
      <c r="AV252" s="1073"/>
      <c r="AW252" s="1073"/>
      <c r="AX252" s="1073"/>
      <c r="AY252" s="1227"/>
    </row>
    <row r="253" spans="1:51" ht="21" customHeight="1" x14ac:dyDescent="0.25">
      <c r="A253" s="1189"/>
      <c r="B253" s="1018"/>
      <c r="C253" s="1018"/>
      <c r="D253" s="164" t="s">
        <v>346</v>
      </c>
      <c r="E253" s="1059">
        <f>+INVERSIÓN!DN28</f>
        <v>6220667</v>
      </c>
      <c r="F253" s="1059">
        <f>+INVERSIÓN!DO28</f>
        <v>3010000</v>
      </c>
      <c r="G253" s="1059">
        <v>6220667</v>
      </c>
      <c r="H253" s="1059">
        <v>6220667</v>
      </c>
      <c r="I253" s="1059">
        <v>6220667</v>
      </c>
      <c r="J253" s="1059"/>
      <c r="K253" s="1225"/>
      <c r="L253" s="1225"/>
      <c r="M253" s="1225"/>
      <c r="N253" s="1225"/>
      <c r="O253" s="1225"/>
      <c r="P253" s="1225"/>
      <c r="Q253" s="1225"/>
      <c r="R253" s="1059"/>
      <c r="S253" s="1219"/>
      <c r="T253" s="1059">
        <v>3010000</v>
      </c>
      <c r="U253" s="1020">
        <v>6220667</v>
      </c>
      <c r="V253" s="1020">
        <v>6220667</v>
      </c>
      <c r="W253" s="1020"/>
      <c r="X253" s="1020"/>
      <c r="Y253" s="1020"/>
      <c r="Z253" s="1020"/>
      <c r="AA253" s="1020"/>
      <c r="AB253" s="1020"/>
      <c r="AC253" s="1059"/>
      <c r="AD253" s="1059"/>
      <c r="AE253" s="1059"/>
      <c r="AF253" s="1073"/>
      <c r="AG253" s="1073"/>
      <c r="AH253" s="1073"/>
      <c r="AI253" s="1073"/>
      <c r="AJ253" s="1073"/>
      <c r="AK253" s="1073"/>
      <c r="AL253" s="1073"/>
      <c r="AM253" s="1073"/>
      <c r="AN253" s="1073"/>
      <c r="AO253" s="1073"/>
      <c r="AP253" s="1073"/>
      <c r="AQ253" s="1073"/>
      <c r="AR253" s="1073"/>
      <c r="AS253" s="1073"/>
      <c r="AT253" s="1073"/>
      <c r="AU253" s="1073"/>
      <c r="AV253" s="1073"/>
      <c r="AW253" s="1073"/>
      <c r="AX253" s="1073"/>
      <c r="AY253" s="1227"/>
    </row>
    <row r="254" spans="1:51" ht="21" customHeight="1" x14ac:dyDescent="0.25">
      <c r="A254" s="1189"/>
      <c r="B254" s="1018"/>
      <c r="C254" s="1018"/>
      <c r="D254" s="165" t="s">
        <v>347</v>
      </c>
      <c r="E254" s="1059">
        <f>+INVERSIÓN!DN29</f>
        <v>2976</v>
      </c>
      <c r="F254" s="1059">
        <v>2976</v>
      </c>
      <c r="G254" s="1059">
        <v>2976</v>
      </c>
      <c r="H254" s="1059">
        <v>2976</v>
      </c>
      <c r="I254" s="1059">
        <v>2976</v>
      </c>
      <c r="J254" s="1059"/>
      <c r="K254" s="1225"/>
      <c r="L254" s="1225"/>
      <c r="M254" s="1059"/>
      <c r="N254" s="1059"/>
      <c r="O254" s="1059"/>
      <c r="P254" s="1059"/>
      <c r="Q254" s="1059"/>
      <c r="R254" s="1059"/>
      <c r="S254" s="1219"/>
      <c r="T254" s="1020">
        <v>600</v>
      </c>
      <c r="U254" s="1020">
        <f>+U250+U252</f>
        <v>1100</v>
      </c>
      <c r="V254" s="1020">
        <f>+V250+V252</f>
        <v>1612</v>
      </c>
      <c r="W254" s="1020"/>
      <c r="X254" s="1020"/>
      <c r="Y254" s="1020"/>
      <c r="Z254" s="1020"/>
      <c r="AA254" s="1020"/>
      <c r="AB254" s="1020"/>
      <c r="AC254" s="1059"/>
      <c r="AD254" s="1059"/>
      <c r="AE254" s="1059"/>
      <c r="AF254" s="1073"/>
      <c r="AG254" s="1073"/>
      <c r="AH254" s="1073"/>
      <c r="AI254" s="1073"/>
      <c r="AJ254" s="1073"/>
      <c r="AK254" s="1073"/>
      <c r="AL254" s="1073"/>
      <c r="AM254" s="1073"/>
      <c r="AN254" s="1073"/>
      <c r="AO254" s="1073"/>
      <c r="AP254" s="1073"/>
      <c r="AQ254" s="1073"/>
      <c r="AR254" s="1073"/>
      <c r="AS254" s="1073"/>
      <c r="AT254" s="1073"/>
      <c r="AU254" s="1073"/>
      <c r="AV254" s="1073"/>
      <c r="AW254" s="1073"/>
      <c r="AX254" s="1073"/>
      <c r="AY254" s="1227"/>
    </row>
    <row r="255" spans="1:51" ht="21" customHeight="1" x14ac:dyDescent="0.25">
      <c r="A255" s="1189"/>
      <c r="B255" s="1018"/>
      <c r="C255" s="1048"/>
      <c r="D255" s="164" t="s">
        <v>348</v>
      </c>
      <c r="E255" s="1059">
        <f>+INVERSIÓN!DN30</f>
        <v>77363667</v>
      </c>
      <c r="F255" s="1059">
        <v>74153000</v>
      </c>
      <c r="G255" s="1059">
        <v>74153000</v>
      </c>
      <c r="H255" s="1059">
        <v>74153000</v>
      </c>
      <c r="I255" s="1059">
        <v>74153000</v>
      </c>
      <c r="J255" s="1059"/>
      <c r="K255" s="1225"/>
      <c r="L255" s="1225"/>
      <c r="M255" s="1225"/>
      <c r="N255" s="1225"/>
      <c r="O255" s="1225"/>
      <c r="P255" s="1225"/>
      <c r="Q255" s="1225"/>
      <c r="R255" s="1225"/>
      <c r="S255" s="1221"/>
      <c r="T255" s="1020">
        <v>3010000</v>
      </c>
      <c r="U255" s="1059">
        <f>+U251+U253</f>
        <v>23472667</v>
      </c>
      <c r="V255" s="1059">
        <f>+V251+V253</f>
        <v>23472667</v>
      </c>
      <c r="W255" s="1059"/>
      <c r="X255" s="1059"/>
      <c r="Y255" s="1059"/>
      <c r="Z255" s="1225"/>
      <c r="AA255" s="1225"/>
      <c r="AB255" s="1225"/>
      <c r="AC255" s="1225"/>
      <c r="AD255" s="1225"/>
      <c r="AE255" s="1225"/>
      <c r="AF255" s="1076"/>
      <c r="AG255" s="1076"/>
      <c r="AH255" s="1076"/>
      <c r="AI255" s="1076"/>
      <c r="AJ255" s="1076"/>
      <c r="AK255" s="1076"/>
      <c r="AL255" s="1076"/>
      <c r="AM255" s="1076"/>
      <c r="AN255" s="1076"/>
      <c r="AO255" s="1076"/>
      <c r="AP255" s="1076"/>
      <c r="AQ255" s="1076"/>
      <c r="AR255" s="1076"/>
      <c r="AS255" s="1076"/>
      <c r="AT255" s="1076"/>
      <c r="AU255" s="1076"/>
      <c r="AV255" s="1076"/>
      <c r="AW255" s="1076"/>
      <c r="AX255" s="1076"/>
      <c r="AY255" s="1227"/>
    </row>
    <row r="256" spans="1:51" ht="21" customHeight="1" x14ac:dyDescent="0.25">
      <c r="A256" s="1204"/>
      <c r="B256" s="1073"/>
      <c r="C256" s="1239" t="s">
        <v>1541</v>
      </c>
      <c r="D256" s="161" t="s">
        <v>340</v>
      </c>
      <c r="E256" s="1225"/>
      <c r="F256" s="1225"/>
      <c r="G256" s="1225"/>
      <c r="H256" s="1225"/>
      <c r="I256" s="1225">
        <v>60</v>
      </c>
      <c r="J256" s="1225"/>
      <c r="K256" s="1225"/>
      <c r="L256" s="1225"/>
      <c r="M256" s="1225"/>
      <c r="N256" s="1023"/>
      <c r="O256" s="1059"/>
      <c r="P256" s="1225"/>
      <c r="Q256" s="1225"/>
      <c r="R256" s="1225"/>
      <c r="S256" s="1023"/>
      <c r="T256" s="1225"/>
      <c r="U256" s="1225"/>
      <c r="V256" s="1225">
        <f>+I256</f>
        <v>60</v>
      </c>
      <c r="W256" s="1225"/>
      <c r="X256" s="1225"/>
      <c r="Y256" s="1225"/>
      <c r="Z256" s="1225"/>
      <c r="AA256" s="1023"/>
      <c r="AB256" s="1059"/>
      <c r="AC256" s="1225"/>
      <c r="AD256" s="1225"/>
      <c r="AE256" s="1225"/>
      <c r="AF256" s="1314" t="s">
        <v>1542</v>
      </c>
      <c r="AG256" s="1309" t="s">
        <v>472</v>
      </c>
      <c r="AH256" s="1275" t="s">
        <v>1543</v>
      </c>
      <c r="AI256" s="1275" t="s">
        <v>1544</v>
      </c>
      <c r="AJ256" s="1308" t="s">
        <v>1477</v>
      </c>
      <c r="AK256" s="1275" t="s">
        <v>457</v>
      </c>
      <c r="AL256" s="1275" t="s">
        <v>178</v>
      </c>
      <c r="AM256" s="1275" t="s">
        <v>458</v>
      </c>
      <c r="AN256" s="1282">
        <v>180974</v>
      </c>
      <c r="AO256" s="1277">
        <v>86932</v>
      </c>
      <c r="AP256" s="1277">
        <v>94042</v>
      </c>
      <c r="AQ256" s="1120" t="s">
        <v>459</v>
      </c>
      <c r="AR256" s="1120" t="s">
        <v>459</v>
      </c>
      <c r="AS256" s="1120" t="s">
        <v>459</v>
      </c>
      <c r="AT256" s="1120" t="s">
        <v>459</v>
      </c>
      <c r="AU256" s="1278" t="s">
        <v>459</v>
      </c>
      <c r="AV256" s="1278" t="s">
        <v>459</v>
      </c>
      <c r="AW256" s="1278" t="s">
        <v>459</v>
      </c>
      <c r="AX256" s="1282">
        <v>180974</v>
      </c>
      <c r="AY256" s="1228"/>
    </row>
    <row r="257" spans="1:51" ht="21" customHeight="1" x14ac:dyDescent="0.25">
      <c r="A257" s="1204"/>
      <c r="B257" s="1073"/>
      <c r="C257" s="1073"/>
      <c r="D257" s="164" t="s">
        <v>343</v>
      </c>
      <c r="E257" s="1225"/>
      <c r="F257" s="1225"/>
      <c r="G257" s="1059"/>
      <c r="H257" s="1225"/>
      <c r="I257" s="1225">
        <f>+I256*$V$251/$V$250</f>
        <v>674784.87614080834</v>
      </c>
      <c r="J257" s="1225"/>
      <c r="K257" s="1225"/>
      <c r="L257" s="1225"/>
      <c r="M257" s="1225"/>
      <c r="N257" s="1225"/>
      <c r="O257" s="1225"/>
      <c r="P257" s="1225"/>
      <c r="Q257" s="1225"/>
      <c r="R257" s="1225"/>
      <c r="S257" s="1023"/>
      <c r="T257" s="1059"/>
      <c r="U257" s="1225"/>
      <c r="V257" s="1225">
        <f t="shared" ref="V257:V320" si="49">+I257</f>
        <v>674784.87614080834</v>
      </c>
      <c r="W257" s="1225"/>
      <c r="X257" s="1225"/>
      <c r="Y257" s="1225"/>
      <c r="Z257" s="1225"/>
      <c r="AA257" s="1225"/>
      <c r="AB257" s="1059"/>
      <c r="AC257" s="1225"/>
      <c r="AD257" s="1225"/>
      <c r="AE257" s="1225"/>
      <c r="AF257" s="1073"/>
      <c r="AG257" s="1223"/>
      <c r="AH257" s="1073"/>
      <c r="AI257" s="1073"/>
      <c r="AJ257" s="1073"/>
      <c r="AK257" s="1073"/>
      <c r="AL257" s="1073"/>
      <c r="AM257" s="1073"/>
      <c r="AN257" s="1073"/>
      <c r="AO257" s="1289"/>
      <c r="AP257" s="1289"/>
      <c r="AQ257" s="1073"/>
      <c r="AR257" s="1073"/>
      <c r="AS257" s="1073"/>
      <c r="AT257" s="1073"/>
      <c r="AU257" s="1073"/>
      <c r="AV257" s="1073"/>
      <c r="AW257" s="1073"/>
      <c r="AX257" s="1073"/>
      <c r="AY257" s="1228"/>
    </row>
    <row r="258" spans="1:51" ht="21" customHeight="1" x14ac:dyDescent="0.25">
      <c r="A258" s="1204"/>
      <c r="B258" s="1073"/>
      <c r="C258" s="1073"/>
      <c r="D258" s="165" t="s">
        <v>345</v>
      </c>
      <c r="E258" s="1225"/>
      <c r="F258" s="1225"/>
      <c r="G258" s="1225"/>
      <c r="H258" s="1225"/>
      <c r="I258" s="1225"/>
      <c r="J258" s="1225"/>
      <c r="K258" s="1225"/>
      <c r="L258" s="1225"/>
      <c r="M258" s="1225"/>
      <c r="N258" s="1023"/>
      <c r="O258" s="1225"/>
      <c r="P258" s="1225"/>
      <c r="Q258" s="1225"/>
      <c r="R258" s="1225"/>
      <c r="S258" s="1023"/>
      <c r="T258" s="1023"/>
      <c r="U258" s="1225"/>
      <c r="V258" s="1225">
        <f t="shared" si="49"/>
        <v>0</v>
      </c>
      <c r="W258" s="1225"/>
      <c r="X258" s="1225"/>
      <c r="Y258" s="1225"/>
      <c r="Z258" s="1225"/>
      <c r="AA258" s="1023"/>
      <c r="AB258" s="1059"/>
      <c r="AC258" s="1225"/>
      <c r="AD258" s="1225"/>
      <c r="AE258" s="1225"/>
      <c r="AF258" s="1073"/>
      <c r="AG258" s="1223"/>
      <c r="AH258" s="1073"/>
      <c r="AI258" s="1073"/>
      <c r="AJ258" s="1073"/>
      <c r="AK258" s="1073"/>
      <c r="AL258" s="1073"/>
      <c r="AM258" s="1073"/>
      <c r="AN258" s="1073"/>
      <c r="AO258" s="1289"/>
      <c r="AP258" s="1289"/>
      <c r="AQ258" s="1073"/>
      <c r="AR258" s="1073"/>
      <c r="AS258" s="1073"/>
      <c r="AT258" s="1073"/>
      <c r="AU258" s="1073"/>
      <c r="AV258" s="1073"/>
      <c r="AW258" s="1073"/>
      <c r="AX258" s="1073"/>
      <c r="AY258" s="1228"/>
    </row>
    <row r="259" spans="1:51" ht="21" customHeight="1" x14ac:dyDescent="0.25">
      <c r="A259" s="1204"/>
      <c r="B259" s="1073"/>
      <c r="C259" s="1073"/>
      <c r="D259" s="164" t="s">
        <v>346</v>
      </c>
      <c r="E259" s="1225"/>
      <c r="F259" s="1225"/>
      <c r="G259" s="1225"/>
      <c r="H259" s="1225"/>
      <c r="I259" s="1059"/>
      <c r="J259" s="1059"/>
      <c r="K259" s="1059"/>
      <c r="L259" s="1059"/>
      <c r="M259" s="1059"/>
      <c r="N259" s="1059"/>
      <c r="O259" s="1059"/>
      <c r="P259" s="1059"/>
      <c r="Q259" s="1225"/>
      <c r="R259" s="1225"/>
      <c r="S259" s="1023"/>
      <c r="T259" s="1225"/>
      <c r="U259" s="1225"/>
      <c r="V259" s="1225">
        <f t="shared" si="49"/>
        <v>0</v>
      </c>
      <c r="W259" s="1225"/>
      <c r="X259" s="1225"/>
      <c r="Y259" s="1225"/>
      <c r="Z259" s="1225"/>
      <c r="AA259" s="1059"/>
      <c r="AB259" s="1059"/>
      <c r="AC259" s="1225"/>
      <c r="AD259" s="1225"/>
      <c r="AE259" s="1225"/>
      <c r="AF259" s="1073"/>
      <c r="AG259" s="1223"/>
      <c r="AH259" s="1073"/>
      <c r="AI259" s="1073"/>
      <c r="AJ259" s="1073"/>
      <c r="AK259" s="1073"/>
      <c r="AL259" s="1073"/>
      <c r="AM259" s="1073"/>
      <c r="AN259" s="1073"/>
      <c r="AO259" s="1289"/>
      <c r="AP259" s="1289"/>
      <c r="AQ259" s="1073"/>
      <c r="AR259" s="1073"/>
      <c r="AS259" s="1073"/>
      <c r="AT259" s="1073"/>
      <c r="AU259" s="1073"/>
      <c r="AV259" s="1073"/>
      <c r="AW259" s="1073"/>
      <c r="AX259" s="1073"/>
      <c r="AY259" s="1228"/>
    </row>
    <row r="260" spans="1:51" ht="21" customHeight="1" x14ac:dyDescent="0.25">
      <c r="A260" s="1204"/>
      <c r="B260" s="1073"/>
      <c r="C260" s="1073"/>
      <c r="D260" s="165" t="s">
        <v>347</v>
      </c>
      <c r="E260" s="1225"/>
      <c r="F260" s="1225"/>
      <c r="G260" s="1225"/>
      <c r="H260" s="1225"/>
      <c r="I260" s="1225">
        <v>60</v>
      </c>
      <c r="J260" s="1225"/>
      <c r="K260" s="1225"/>
      <c r="L260" s="1225"/>
      <c r="M260" s="1225"/>
      <c r="N260" s="1225"/>
      <c r="O260" s="1059"/>
      <c r="P260" s="1059"/>
      <c r="Q260" s="1059"/>
      <c r="R260" s="1059"/>
      <c r="S260" s="1023"/>
      <c r="T260" s="1023"/>
      <c r="U260" s="1225"/>
      <c r="V260" s="1225">
        <f t="shared" si="49"/>
        <v>60</v>
      </c>
      <c r="W260" s="1225"/>
      <c r="X260" s="1225"/>
      <c r="Y260" s="1225"/>
      <c r="Z260" s="1225"/>
      <c r="AA260" s="1225"/>
      <c r="AB260" s="1059"/>
      <c r="AC260" s="1225"/>
      <c r="AD260" s="1225"/>
      <c r="AE260" s="1225"/>
      <c r="AF260" s="1073"/>
      <c r="AG260" s="1223"/>
      <c r="AH260" s="1073"/>
      <c r="AI260" s="1073"/>
      <c r="AJ260" s="1073"/>
      <c r="AK260" s="1073"/>
      <c r="AL260" s="1073"/>
      <c r="AM260" s="1073"/>
      <c r="AN260" s="1073"/>
      <c r="AO260" s="1289"/>
      <c r="AP260" s="1289"/>
      <c r="AQ260" s="1073"/>
      <c r="AR260" s="1073"/>
      <c r="AS260" s="1073"/>
      <c r="AT260" s="1073"/>
      <c r="AU260" s="1073"/>
      <c r="AV260" s="1073"/>
      <c r="AW260" s="1073"/>
      <c r="AX260" s="1073"/>
      <c r="AY260" s="1228"/>
    </row>
    <row r="261" spans="1:51" ht="21" customHeight="1" x14ac:dyDescent="0.25">
      <c r="A261" s="1204"/>
      <c r="B261" s="1073"/>
      <c r="C261" s="1076"/>
      <c r="D261" s="164" t="s">
        <v>348</v>
      </c>
      <c r="E261" s="1225"/>
      <c r="F261" s="1225"/>
      <c r="G261" s="1059"/>
      <c r="H261" s="1225"/>
      <c r="I261" s="1225">
        <f>+I257+I259</f>
        <v>674784.87614080834</v>
      </c>
      <c r="J261" s="1225"/>
      <c r="K261" s="1225"/>
      <c r="L261" s="1225"/>
      <c r="M261" s="1225"/>
      <c r="N261" s="1225"/>
      <c r="O261" s="1225"/>
      <c r="P261" s="1225"/>
      <c r="Q261" s="1225"/>
      <c r="R261" s="1225"/>
      <c r="S261" s="1023"/>
      <c r="T261" s="1059"/>
      <c r="U261" s="1225"/>
      <c r="V261" s="1225">
        <f t="shared" si="49"/>
        <v>674784.87614080834</v>
      </c>
      <c r="W261" s="1225"/>
      <c r="X261" s="1225"/>
      <c r="Y261" s="1225"/>
      <c r="Z261" s="1225"/>
      <c r="AA261" s="1225"/>
      <c r="AB261" s="1059"/>
      <c r="AC261" s="1225"/>
      <c r="AD261" s="1225"/>
      <c r="AE261" s="1225"/>
      <c r="AF261" s="1076"/>
      <c r="AG261" s="1224"/>
      <c r="AH261" s="1076"/>
      <c r="AI261" s="1076"/>
      <c r="AJ261" s="1076"/>
      <c r="AK261" s="1076"/>
      <c r="AL261" s="1076"/>
      <c r="AM261" s="1076"/>
      <c r="AN261" s="1076"/>
      <c r="AO261" s="1290"/>
      <c r="AP261" s="1290"/>
      <c r="AQ261" s="1076"/>
      <c r="AR261" s="1076"/>
      <c r="AS261" s="1076"/>
      <c r="AT261" s="1076"/>
      <c r="AU261" s="1076"/>
      <c r="AV261" s="1076"/>
      <c r="AW261" s="1076"/>
      <c r="AX261" s="1076"/>
      <c r="AY261" s="1228"/>
    </row>
    <row r="262" spans="1:51" ht="21" customHeight="1" x14ac:dyDescent="0.25">
      <c r="A262" s="1204"/>
      <c r="B262" s="1073"/>
      <c r="C262" s="1239" t="s">
        <v>1545</v>
      </c>
      <c r="D262" s="161" t="s">
        <v>340</v>
      </c>
      <c r="E262" s="1225"/>
      <c r="F262" s="1225"/>
      <c r="G262" s="1225"/>
      <c r="H262" s="1225"/>
      <c r="I262" s="1225">
        <v>52</v>
      </c>
      <c r="J262" s="1225"/>
      <c r="K262" s="1306"/>
      <c r="L262" s="1225"/>
      <c r="M262" s="1225"/>
      <c r="N262" s="1023"/>
      <c r="O262" s="1225"/>
      <c r="P262" s="1225"/>
      <c r="Q262" s="1225"/>
      <c r="R262" s="1225"/>
      <c r="S262" s="1023"/>
      <c r="T262" s="1225"/>
      <c r="U262" s="1225"/>
      <c r="V262" s="1225">
        <f t="shared" si="49"/>
        <v>52</v>
      </c>
      <c r="W262" s="1225"/>
      <c r="X262" s="1225"/>
      <c r="Y262" s="1225"/>
      <c r="Z262" s="1225"/>
      <c r="AA262" s="1023"/>
      <c r="AB262" s="1225"/>
      <c r="AC262" s="1225"/>
      <c r="AD262" s="1225"/>
      <c r="AE262" s="1222"/>
      <c r="AF262" s="1304" t="s">
        <v>1546</v>
      </c>
      <c r="AG262" s="1309" t="s">
        <v>530</v>
      </c>
      <c r="AH262" s="1275" t="s">
        <v>1547</v>
      </c>
      <c r="AI262" s="1275" t="s">
        <v>1548</v>
      </c>
      <c r="AJ262" s="1308" t="s">
        <v>1478</v>
      </c>
      <c r="AK262" s="1275" t="s">
        <v>457</v>
      </c>
      <c r="AL262" s="1275" t="s">
        <v>531</v>
      </c>
      <c r="AM262" s="1275" t="s">
        <v>458</v>
      </c>
      <c r="AN262" s="1282">
        <v>408155</v>
      </c>
      <c r="AO262" s="1282">
        <v>189984</v>
      </c>
      <c r="AP262" s="1282">
        <v>218171</v>
      </c>
      <c r="AQ262" s="1120" t="s">
        <v>459</v>
      </c>
      <c r="AR262" s="1120" t="s">
        <v>459</v>
      </c>
      <c r="AS262" s="1120" t="s">
        <v>459</v>
      </c>
      <c r="AT262" s="1120" t="s">
        <v>459</v>
      </c>
      <c r="AU262" s="1278" t="s">
        <v>459</v>
      </c>
      <c r="AV262" s="1278" t="s">
        <v>459</v>
      </c>
      <c r="AW262" s="1278" t="s">
        <v>459</v>
      </c>
      <c r="AX262" s="1282">
        <v>408155</v>
      </c>
      <c r="AY262" s="1228"/>
    </row>
    <row r="263" spans="1:51" ht="21" customHeight="1" x14ac:dyDescent="0.25">
      <c r="A263" s="1204"/>
      <c r="B263" s="1073"/>
      <c r="C263" s="1073"/>
      <c r="D263" s="164" t="s">
        <v>343</v>
      </c>
      <c r="E263" s="1225"/>
      <c r="F263" s="1225"/>
      <c r="G263" s="1225"/>
      <c r="H263" s="1225"/>
      <c r="I263" s="1225">
        <f>+I262*$V$251/$V$250</f>
        <v>584813.55932203389</v>
      </c>
      <c r="J263" s="1225"/>
      <c r="K263" s="1225"/>
      <c r="L263" s="1225"/>
      <c r="M263" s="1225"/>
      <c r="N263" s="1225"/>
      <c r="O263" s="1225"/>
      <c r="P263" s="1225"/>
      <c r="Q263" s="1225"/>
      <c r="R263" s="1225"/>
      <c r="S263" s="1023"/>
      <c r="T263" s="1225"/>
      <c r="U263" s="1225"/>
      <c r="V263" s="1225">
        <f t="shared" si="49"/>
        <v>584813.55932203389</v>
      </c>
      <c r="W263" s="1225"/>
      <c r="X263" s="1225"/>
      <c r="Y263" s="1225"/>
      <c r="Z263" s="1225"/>
      <c r="AA263" s="1225"/>
      <c r="AB263" s="1225"/>
      <c r="AC263" s="1225"/>
      <c r="AD263" s="1225"/>
      <c r="AE263" s="1222"/>
      <c r="AF263" s="1073"/>
      <c r="AG263" s="1223"/>
      <c r="AH263" s="1073"/>
      <c r="AI263" s="1073"/>
      <c r="AJ263" s="1073"/>
      <c r="AK263" s="1073"/>
      <c r="AL263" s="1073"/>
      <c r="AM263" s="1073"/>
      <c r="AN263" s="1293"/>
      <c r="AO263" s="1073"/>
      <c r="AP263" s="1073"/>
      <c r="AQ263" s="1073"/>
      <c r="AR263" s="1073"/>
      <c r="AS263" s="1073"/>
      <c r="AT263" s="1073"/>
      <c r="AU263" s="1073"/>
      <c r="AV263" s="1073"/>
      <c r="AW263" s="1073"/>
      <c r="AX263" s="1293"/>
      <c r="AY263" s="1228"/>
    </row>
    <row r="264" spans="1:51" ht="21" customHeight="1" x14ac:dyDescent="0.25">
      <c r="A264" s="1204"/>
      <c r="B264" s="1073"/>
      <c r="C264" s="1073"/>
      <c r="D264" s="165" t="s">
        <v>345</v>
      </c>
      <c r="E264" s="1225"/>
      <c r="F264" s="1225"/>
      <c r="G264" s="1225"/>
      <c r="H264" s="1225"/>
      <c r="I264" s="1225"/>
      <c r="J264" s="1225"/>
      <c r="K264" s="1306"/>
      <c r="L264" s="1225"/>
      <c r="M264" s="1225"/>
      <c r="N264" s="1023"/>
      <c r="O264" s="1225"/>
      <c r="P264" s="1225"/>
      <c r="Q264" s="1225"/>
      <c r="R264" s="1225"/>
      <c r="S264" s="1023"/>
      <c r="T264" s="1225"/>
      <c r="U264" s="1225"/>
      <c r="V264" s="1225">
        <f t="shared" si="49"/>
        <v>0</v>
      </c>
      <c r="W264" s="1225"/>
      <c r="X264" s="1225"/>
      <c r="Y264" s="1225"/>
      <c r="Z264" s="1225"/>
      <c r="AA264" s="1023"/>
      <c r="AB264" s="1225"/>
      <c r="AC264" s="1225"/>
      <c r="AD264" s="1225"/>
      <c r="AE264" s="1222"/>
      <c r="AF264" s="1073"/>
      <c r="AG264" s="1223"/>
      <c r="AH264" s="1073"/>
      <c r="AI264" s="1073"/>
      <c r="AJ264" s="1073"/>
      <c r="AK264" s="1073"/>
      <c r="AL264" s="1073"/>
      <c r="AM264" s="1073"/>
      <c r="AN264" s="1293"/>
      <c r="AO264" s="1073"/>
      <c r="AP264" s="1073"/>
      <c r="AQ264" s="1073"/>
      <c r="AR264" s="1073"/>
      <c r="AS264" s="1073"/>
      <c r="AT264" s="1073"/>
      <c r="AU264" s="1073"/>
      <c r="AV264" s="1073"/>
      <c r="AW264" s="1073"/>
      <c r="AX264" s="1293"/>
      <c r="AY264" s="1228"/>
    </row>
    <row r="265" spans="1:51" ht="21" customHeight="1" x14ac:dyDescent="0.25">
      <c r="A265" s="1204"/>
      <c r="B265" s="1073"/>
      <c r="C265" s="1073"/>
      <c r="D265" s="164" t="s">
        <v>346</v>
      </c>
      <c r="E265" s="1225"/>
      <c r="F265" s="1225"/>
      <c r="G265" s="1225"/>
      <c r="H265" s="1225"/>
      <c r="I265" s="1225"/>
      <c r="J265" s="1225"/>
      <c r="K265" s="1306"/>
      <c r="L265" s="1225"/>
      <c r="M265" s="1225"/>
      <c r="N265" s="1225"/>
      <c r="O265" s="1225"/>
      <c r="P265" s="1225"/>
      <c r="Q265" s="1225"/>
      <c r="R265" s="1225"/>
      <c r="S265" s="1023"/>
      <c r="T265" s="1225"/>
      <c r="U265" s="1225"/>
      <c r="V265" s="1225">
        <f t="shared" si="49"/>
        <v>0</v>
      </c>
      <c r="W265" s="1225"/>
      <c r="X265" s="1225"/>
      <c r="Y265" s="1225"/>
      <c r="Z265" s="1225"/>
      <c r="AA265" s="1225"/>
      <c r="AB265" s="1225"/>
      <c r="AC265" s="1225"/>
      <c r="AD265" s="1225"/>
      <c r="AE265" s="1222"/>
      <c r="AF265" s="1073"/>
      <c r="AG265" s="1223"/>
      <c r="AH265" s="1073"/>
      <c r="AI265" s="1073"/>
      <c r="AJ265" s="1073"/>
      <c r="AK265" s="1073"/>
      <c r="AL265" s="1073"/>
      <c r="AM265" s="1073"/>
      <c r="AN265" s="1293"/>
      <c r="AO265" s="1073"/>
      <c r="AP265" s="1073"/>
      <c r="AQ265" s="1073"/>
      <c r="AR265" s="1073"/>
      <c r="AS265" s="1073"/>
      <c r="AT265" s="1073"/>
      <c r="AU265" s="1073"/>
      <c r="AV265" s="1073"/>
      <c r="AW265" s="1073"/>
      <c r="AX265" s="1293"/>
      <c r="AY265" s="1228"/>
    </row>
    <row r="266" spans="1:51" ht="21" customHeight="1" x14ac:dyDescent="0.25">
      <c r="A266" s="1204"/>
      <c r="B266" s="1073"/>
      <c r="C266" s="1073"/>
      <c r="D266" s="165" t="s">
        <v>347</v>
      </c>
      <c r="E266" s="1225"/>
      <c r="F266" s="1225"/>
      <c r="G266" s="1225"/>
      <c r="H266" s="1225"/>
      <c r="I266" s="1225">
        <v>52</v>
      </c>
      <c r="J266" s="1225"/>
      <c r="K266" s="1306"/>
      <c r="L266" s="1225"/>
      <c r="M266" s="1225"/>
      <c r="N266" s="1023"/>
      <c r="O266" s="1023"/>
      <c r="P266" s="1225"/>
      <c r="Q266" s="1225"/>
      <c r="R266" s="1225"/>
      <c r="S266" s="1023"/>
      <c r="T266" s="1225"/>
      <c r="U266" s="1225"/>
      <c r="V266" s="1225">
        <f t="shared" si="49"/>
        <v>52</v>
      </c>
      <c r="W266" s="1225"/>
      <c r="X266" s="1225"/>
      <c r="Y266" s="1225"/>
      <c r="Z266" s="1225"/>
      <c r="AA266" s="1023"/>
      <c r="AB266" s="1225"/>
      <c r="AC266" s="1225"/>
      <c r="AD266" s="1225"/>
      <c r="AE266" s="1222"/>
      <c r="AF266" s="1073"/>
      <c r="AG266" s="1223"/>
      <c r="AH266" s="1073"/>
      <c r="AI266" s="1073"/>
      <c r="AJ266" s="1073"/>
      <c r="AK266" s="1073"/>
      <c r="AL266" s="1073"/>
      <c r="AM266" s="1073"/>
      <c r="AN266" s="1293"/>
      <c r="AO266" s="1073"/>
      <c r="AP266" s="1073"/>
      <c r="AQ266" s="1073"/>
      <c r="AR266" s="1073"/>
      <c r="AS266" s="1073"/>
      <c r="AT266" s="1073"/>
      <c r="AU266" s="1073"/>
      <c r="AV266" s="1073"/>
      <c r="AW266" s="1073"/>
      <c r="AX266" s="1293"/>
      <c r="AY266" s="1228"/>
    </row>
    <row r="267" spans="1:51" ht="21" customHeight="1" x14ac:dyDescent="0.25">
      <c r="A267" s="1204"/>
      <c r="B267" s="1073"/>
      <c r="C267" s="1076"/>
      <c r="D267" s="164" t="s">
        <v>348</v>
      </c>
      <c r="E267" s="1225"/>
      <c r="F267" s="1225"/>
      <c r="G267" s="1225"/>
      <c r="H267" s="1225"/>
      <c r="I267" s="1225">
        <f>+I263+I265</f>
        <v>584813.55932203389</v>
      </c>
      <c r="J267" s="1225"/>
      <c r="K267" s="1225"/>
      <c r="L267" s="1225"/>
      <c r="M267" s="1225"/>
      <c r="N267" s="1225"/>
      <c r="O267" s="1225"/>
      <c r="P267" s="1225"/>
      <c r="Q267" s="1225"/>
      <c r="R267" s="1225"/>
      <c r="S267" s="1023"/>
      <c r="T267" s="1225"/>
      <c r="U267" s="1225"/>
      <c r="V267" s="1225">
        <f t="shared" si="49"/>
        <v>584813.55932203389</v>
      </c>
      <c r="W267" s="1225"/>
      <c r="X267" s="1225"/>
      <c r="Y267" s="1225"/>
      <c r="Z267" s="1225"/>
      <c r="AA267" s="1225"/>
      <c r="AB267" s="1225"/>
      <c r="AC267" s="1225"/>
      <c r="AD267" s="1225"/>
      <c r="AE267" s="1222"/>
      <c r="AF267" s="1076"/>
      <c r="AG267" s="1224"/>
      <c r="AH267" s="1076"/>
      <c r="AI267" s="1076"/>
      <c r="AJ267" s="1076"/>
      <c r="AK267" s="1076"/>
      <c r="AL267" s="1076"/>
      <c r="AM267" s="1076"/>
      <c r="AN267" s="1294"/>
      <c r="AO267" s="1076"/>
      <c r="AP267" s="1076"/>
      <c r="AQ267" s="1076"/>
      <c r="AR267" s="1076"/>
      <c r="AS267" s="1076"/>
      <c r="AT267" s="1076"/>
      <c r="AU267" s="1076"/>
      <c r="AV267" s="1076"/>
      <c r="AW267" s="1076"/>
      <c r="AX267" s="1294"/>
      <c r="AY267" s="1228"/>
    </row>
    <row r="268" spans="1:51" ht="21" customHeight="1" x14ac:dyDescent="0.25">
      <c r="A268" s="1189"/>
      <c r="B268" s="1018"/>
      <c r="C268" s="1217" t="s">
        <v>553</v>
      </c>
      <c r="D268" s="161" t="s">
        <v>340</v>
      </c>
      <c r="E268" s="1225"/>
      <c r="F268" s="1225"/>
      <c r="G268" s="1225"/>
      <c r="H268" s="1225"/>
      <c r="I268" s="1225"/>
      <c r="J268" s="1225"/>
      <c r="K268" s="1225"/>
      <c r="L268" s="1225"/>
      <c r="M268" s="1225"/>
      <c r="N268" s="1023"/>
      <c r="O268" s="1059"/>
      <c r="P268" s="1225"/>
      <c r="Q268" s="1225"/>
      <c r="R268" s="1225"/>
      <c r="S268" s="1023"/>
      <c r="T268" s="1225"/>
      <c r="U268" s="1225"/>
      <c r="V268" s="1225">
        <f t="shared" si="49"/>
        <v>0</v>
      </c>
      <c r="W268" s="1225"/>
      <c r="X268" s="1225"/>
      <c r="Y268" s="1225"/>
      <c r="Z268" s="1225"/>
      <c r="AA268" s="1023"/>
      <c r="AB268" s="1059"/>
      <c r="AC268" s="1225"/>
      <c r="AD268" s="1225"/>
      <c r="AE268" s="1225"/>
      <c r="AF268" s="1314"/>
      <c r="AG268" s="1275" t="s">
        <v>472</v>
      </c>
      <c r="AH268" s="1275" t="s">
        <v>557</v>
      </c>
      <c r="AI268" s="1275" t="s">
        <v>558</v>
      </c>
      <c r="AJ268" s="1308" t="s">
        <v>1477</v>
      </c>
      <c r="AK268" s="1275" t="s">
        <v>457</v>
      </c>
      <c r="AL268" s="1275" t="s">
        <v>178</v>
      </c>
      <c r="AM268" s="1275" t="s">
        <v>458</v>
      </c>
      <c r="AN268" s="1277">
        <v>179406</v>
      </c>
      <c r="AO268" s="1277">
        <v>86201</v>
      </c>
      <c r="AP268" s="1277">
        <v>93205</v>
      </c>
      <c r="AQ268" s="1278" t="s">
        <v>459</v>
      </c>
      <c r="AR268" s="1278" t="s">
        <v>459</v>
      </c>
      <c r="AS268" s="1278" t="s">
        <v>459</v>
      </c>
      <c r="AT268" s="1278" t="s">
        <v>459</v>
      </c>
      <c r="AU268" s="1278" t="s">
        <v>459</v>
      </c>
      <c r="AV268" s="1278" t="s">
        <v>459</v>
      </c>
      <c r="AW268" s="1278" t="s">
        <v>459</v>
      </c>
      <c r="AX268" s="1277">
        <v>175418</v>
      </c>
      <c r="AY268" s="1227"/>
    </row>
    <row r="269" spans="1:51" ht="21" customHeight="1" x14ac:dyDescent="0.25">
      <c r="A269" s="1189"/>
      <c r="B269" s="1018"/>
      <c r="C269" s="1018"/>
      <c r="D269" s="164" t="s">
        <v>343</v>
      </c>
      <c r="E269" s="1225"/>
      <c r="F269" s="1225"/>
      <c r="G269" s="1059"/>
      <c r="H269" s="1225"/>
      <c r="I269" s="1225"/>
      <c r="J269" s="1225"/>
      <c r="K269" s="1225"/>
      <c r="L269" s="1225"/>
      <c r="M269" s="1225"/>
      <c r="N269" s="1225"/>
      <c r="O269" s="1225"/>
      <c r="P269" s="1225"/>
      <c r="Q269" s="1225"/>
      <c r="R269" s="1225"/>
      <c r="S269" s="1023"/>
      <c r="T269" s="1059"/>
      <c r="U269" s="1225"/>
      <c r="V269" s="1225">
        <f t="shared" si="49"/>
        <v>0</v>
      </c>
      <c r="W269" s="1225"/>
      <c r="X269" s="1225"/>
      <c r="Y269" s="1225"/>
      <c r="Z269" s="1225"/>
      <c r="AA269" s="1225"/>
      <c r="AB269" s="1059"/>
      <c r="AC269" s="1225"/>
      <c r="AD269" s="1225"/>
      <c r="AE269" s="1225"/>
      <c r="AF269" s="1073"/>
      <c r="AG269" s="1073"/>
      <c r="AH269" s="1073"/>
      <c r="AI269" s="1073"/>
      <c r="AJ269" s="1073"/>
      <c r="AK269" s="1073"/>
      <c r="AL269" s="1073"/>
      <c r="AM269" s="1073"/>
      <c r="AN269" s="1073"/>
      <c r="AO269" s="1073"/>
      <c r="AP269" s="1073"/>
      <c r="AQ269" s="1073"/>
      <c r="AR269" s="1073"/>
      <c r="AS269" s="1073"/>
      <c r="AT269" s="1073"/>
      <c r="AU269" s="1073"/>
      <c r="AV269" s="1073"/>
      <c r="AW269" s="1073"/>
      <c r="AX269" s="1073"/>
      <c r="AY269" s="1227"/>
    </row>
    <row r="270" spans="1:51" ht="21" customHeight="1" x14ac:dyDescent="0.25">
      <c r="A270" s="1189"/>
      <c r="B270" s="1018"/>
      <c r="C270" s="1018"/>
      <c r="D270" s="165" t="s">
        <v>345</v>
      </c>
      <c r="E270" s="1225"/>
      <c r="F270" s="1225"/>
      <c r="G270" s="1225"/>
      <c r="H270" s="1225"/>
      <c r="I270" s="1225"/>
      <c r="J270" s="1225"/>
      <c r="K270" s="1225"/>
      <c r="L270" s="1225"/>
      <c r="M270" s="1225"/>
      <c r="N270" s="1023"/>
      <c r="O270" s="1225"/>
      <c r="P270" s="1225"/>
      <c r="Q270" s="1225"/>
      <c r="R270" s="1225"/>
      <c r="S270" s="1023"/>
      <c r="T270" s="1023"/>
      <c r="U270" s="1225"/>
      <c r="V270" s="1225">
        <f t="shared" si="49"/>
        <v>0</v>
      </c>
      <c r="W270" s="1225"/>
      <c r="X270" s="1225"/>
      <c r="Y270" s="1225"/>
      <c r="Z270" s="1225"/>
      <c r="AA270" s="1023"/>
      <c r="AB270" s="1059"/>
      <c r="AC270" s="1225"/>
      <c r="AD270" s="1225"/>
      <c r="AE270" s="1225"/>
      <c r="AF270" s="1073"/>
      <c r="AG270" s="1073"/>
      <c r="AH270" s="1073"/>
      <c r="AI270" s="1073"/>
      <c r="AJ270" s="1073"/>
      <c r="AK270" s="1073"/>
      <c r="AL270" s="1073"/>
      <c r="AM270" s="1073"/>
      <c r="AN270" s="1073"/>
      <c r="AO270" s="1073"/>
      <c r="AP270" s="1073"/>
      <c r="AQ270" s="1073"/>
      <c r="AR270" s="1073"/>
      <c r="AS270" s="1073"/>
      <c r="AT270" s="1073"/>
      <c r="AU270" s="1073"/>
      <c r="AV270" s="1073"/>
      <c r="AW270" s="1073"/>
      <c r="AX270" s="1073"/>
      <c r="AY270" s="1227"/>
    </row>
    <row r="271" spans="1:51" ht="21" customHeight="1" x14ac:dyDescent="0.25">
      <c r="A271" s="1189"/>
      <c r="B271" s="1018"/>
      <c r="C271" s="1018"/>
      <c r="D271" s="164" t="s">
        <v>346</v>
      </c>
      <c r="E271" s="1225"/>
      <c r="F271" s="1225"/>
      <c r="G271" s="1225"/>
      <c r="H271" s="1225"/>
      <c r="I271" s="1059"/>
      <c r="J271" s="1059"/>
      <c r="K271" s="1059"/>
      <c r="L271" s="1059"/>
      <c r="M271" s="1059"/>
      <c r="N271" s="1059"/>
      <c r="O271" s="1059"/>
      <c r="P271" s="1059"/>
      <c r="Q271" s="1225"/>
      <c r="R271" s="1225"/>
      <c r="S271" s="1023"/>
      <c r="T271" s="1225"/>
      <c r="U271" s="1225"/>
      <c r="V271" s="1225">
        <f t="shared" si="49"/>
        <v>0</v>
      </c>
      <c r="W271" s="1225"/>
      <c r="X271" s="1225"/>
      <c r="Y271" s="1225"/>
      <c r="Z271" s="1225"/>
      <c r="AA271" s="1059"/>
      <c r="AB271" s="1059"/>
      <c r="AC271" s="1225"/>
      <c r="AD271" s="1225"/>
      <c r="AE271" s="1225"/>
      <c r="AF271" s="1073"/>
      <c r="AG271" s="1073"/>
      <c r="AH271" s="1073"/>
      <c r="AI271" s="1073"/>
      <c r="AJ271" s="1073"/>
      <c r="AK271" s="1073"/>
      <c r="AL271" s="1073"/>
      <c r="AM271" s="1073"/>
      <c r="AN271" s="1073"/>
      <c r="AO271" s="1073"/>
      <c r="AP271" s="1073"/>
      <c r="AQ271" s="1073"/>
      <c r="AR271" s="1073"/>
      <c r="AS271" s="1073"/>
      <c r="AT271" s="1073"/>
      <c r="AU271" s="1073"/>
      <c r="AV271" s="1073"/>
      <c r="AW271" s="1073"/>
      <c r="AX271" s="1073"/>
      <c r="AY271" s="1227"/>
    </row>
    <row r="272" spans="1:51" ht="21" customHeight="1" x14ac:dyDescent="0.25">
      <c r="A272" s="1189"/>
      <c r="B272" s="1018"/>
      <c r="C272" s="1018"/>
      <c r="D272" s="165" t="s">
        <v>347</v>
      </c>
      <c r="E272" s="1225"/>
      <c r="F272" s="1225"/>
      <c r="G272" s="1225"/>
      <c r="H272" s="1225"/>
      <c r="I272" s="1225"/>
      <c r="J272" s="1225"/>
      <c r="K272" s="1225"/>
      <c r="L272" s="1225"/>
      <c r="M272" s="1225"/>
      <c r="N272" s="1225"/>
      <c r="O272" s="1059"/>
      <c r="P272" s="1059"/>
      <c r="Q272" s="1059"/>
      <c r="R272" s="1059"/>
      <c r="S272" s="1023"/>
      <c r="T272" s="1023"/>
      <c r="U272" s="1225"/>
      <c r="V272" s="1225">
        <f t="shared" si="49"/>
        <v>0</v>
      </c>
      <c r="W272" s="1225"/>
      <c r="X272" s="1225"/>
      <c r="Y272" s="1225"/>
      <c r="Z272" s="1225"/>
      <c r="AA272" s="1225"/>
      <c r="AB272" s="1059"/>
      <c r="AC272" s="1225"/>
      <c r="AD272" s="1225"/>
      <c r="AE272" s="1225"/>
      <c r="AF272" s="1073"/>
      <c r="AG272" s="1073"/>
      <c r="AH272" s="1073"/>
      <c r="AI272" s="1073"/>
      <c r="AJ272" s="1073"/>
      <c r="AK272" s="1073"/>
      <c r="AL272" s="1073"/>
      <c r="AM272" s="1073"/>
      <c r="AN272" s="1073"/>
      <c r="AO272" s="1073"/>
      <c r="AP272" s="1073"/>
      <c r="AQ272" s="1073"/>
      <c r="AR272" s="1073"/>
      <c r="AS272" s="1073"/>
      <c r="AT272" s="1073"/>
      <c r="AU272" s="1073"/>
      <c r="AV272" s="1073"/>
      <c r="AW272" s="1073"/>
      <c r="AX272" s="1073"/>
      <c r="AY272" s="1227"/>
    </row>
    <row r="273" spans="1:51" ht="21" customHeight="1" x14ac:dyDescent="0.25">
      <c r="A273" s="1189"/>
      <c r="B273" s="1018"/>
      <c r="C273" s="1048"/>
      <c r="D273" s="164" t="s">
        <v>348</v>
      </c>
      <c r="E273" s="1225"/>
      <c r="F273" s="1225"/>
      <c r="G273" s="1059"/>
      <c r="H273" s="1225"/>
      <c r="I273" s="1225"/>
      <c r="J273" s="1225"/>
      <c r="K273" s="1225"/>
      <c r="L273" s="1225"/>
      <c r="M273" s="1225"/>
      <c r="N273" s="1225"/>
      <c r="O273" s="1225"/>
      <c r="P273" s="1225"/>
      <c r="Q273" s="1225"/>
      <c r="R273" s="1225"/>
      <c r="S273" s="1023"/>
      <c r="T273" s="1059"/>
      <c r="U273" s="1225"/>
      <c r="V273" s="1225">
        <f t="shared" si="49"/>
        <v>0</v>
      </c>
      <c r="W273" s="1225"/>
      <c r="X273" s="1225"/>
      <c r="Y273" s="1225"/>
      <c r="Z273" s="1225"/>
      <c r="AA273" s="1225"/>
      <c r="AB273" s="1059"/>
      <c r="AC273" s="1225"/>
      <c r="AD273" s="1225"/>
      <c r="AE273" s="1225"/>
      <c r="AF273" s="1076"/>
      <c r="AG273" s="1076"/>
      <c r="AH273" s="1076"/>
      <c r="AI273" s="1076"/>
      <c r="AJ273" s="1076"/>
      <c r="AK273" s="1076"/>
      <c r="AL273" s="1076"/>
      <c r="AM273" s="1076"/>
      <c r="AN273" s="1076"/>
      <c r="AO273" s="1076"/>
      <c r="AP273" s="1076"/>
      <c r="AQ273" s="1076"/>
      <c r="AR273" s="1076"/>
      <c r="AS273" s="1076"/>
      <c r="AT273" s="1076"/>
      <c r="AU273" s="1076"/>
      <c r="AV273" s="1076"/>
      <c r="AW273" s="1076"/>
      <c r="AX273" s="1076"/>
      <c r="AY273" s="1227"/>
    </row>
    <row r="274" spans="1:51" ht="21" customHeight="1" x14ac:dyDescent="0.25">
      <c r="A274" s="1189"/>
      <c r="B274" s="1018"/>
      <c r="C274" s="1217" t="s">
        <v>555</v>
      </c>
      <c r="D274" s="161" t="s">
        <v>340</v>
      </c>
      <c r="E274" s="1225"/>
      <c r="F274" s="1225"/>
      <c r="G274" s="1225"/>
      <c r="H274" s="1225"/>
      <c r="I274" s="1225"/>
      <c r="J274" s="1225"/>
      <c r="K274" s="1225"/>
      <c r="L274" s="1225"/>
      <c r="M274" s="1225"/>
      <c r="N274" s="1023"/>
      <c r="O274" s="1059"/>
      <c r="P274" s="1225"/>
      <c r="Q274" s="1225"/>
      <c r="R274" s="1225"/>
      <c r="S274" s="1023"/>
      <c r="T274" s="1225"/>
      <c r="U274" s="1225"/>
      <c r="V274" s="1225">
        <f t="shared" si="49"/>
        <v>0</v>
      </c>
      <c r="W274" s="1225"/>
      <c r="X274" s="1225"/>
      <c r="Y274" s="1225"/>
      <c r="Z274" s="1225"/>
      <c r="AA274" s="1023"/>
      <c r="AB274" s="1059"/>
      <c r="AC274" s="1225"/>
      <c r="AD274" s="1225"/>
      <c r="AE274" s="1225"/>
      <c r="AF274" s="1314"/>
      <c r="AG274" s="1275" t="s">
        <v>540</v>
      </c>
      <c r="AH274" s="1275" t="s">
        <v>560</v>
      </c>
      <c r="AI274" s="1275" t="s">
        <v>561</v>
      </c>
      <c r="AJ274" s="1308" t="s">
        <v>1477</v>
      </c>
      <c r="AK274" s="1275" t="s">
        <v>457</v>
      </c>
      <c r="AL274" s="1275" t="s">
        <v>178</v>
      </c>
      <c r="AM274" s="1275" t="s">
        <v>551</v>
      </c>
      <c r="AN274" s="1277">
        <v>167657</v>
      </c>
      <c r="AO274" s="1277">
        <v>71468</v>
      </c>
      <c r="AP274" s="1277">
        <v>96189</v>
      </c>
      <c r="AQ274" s="1120" t="s">
        <v>459</v>
      </c>
      <c r="AR274" s="1120" t="s">
        <v>459</v>
      </c>
      <c r="AS274" s="1120" t="s">
        <v>459</v>
      </c>
      <c r="AT274" s="1120" t="s">
        <v>459</v>
      </c>
      <c r="AU274" s="1278" t="s">
        <v>459</v>
      </c>
      <c r="AV274" s="1278" t="s">
        <v>459</v>
      </c>
      <c r="AW274" s="1278" t="s">
        <v>459</v>
      </c>
      <c r="AX274" s="1277">
        <v>167657</v>
      </c>
      <c r="AY274" s="1227"/>
    </row>
    <row r="275" spans="1:51" ht="21" customHeight="1" x14ac:dyDescent="0.25">
      <c r="A275" s="1189"/>
      <c r="B275" s="1018"/>
      <c r="C275" s="1018"/>
      <c r="D275" s="164" t="s">
        <v>343</v>
      </c>
      <c r="E275" s="1225"/>
      <c r="F275" s="1225"/>
      <c r="G275" s="1059"/>
      <c r="H275" s="1225"/>
      <c r="I275" s="1225"/>
      <c r="J275" s="1225"/>
      <c r="K275" s="1225"/>
      <c r="L275" s="1225"/>
      <c r="M275" s="1225"/>
      <c r="N275" s="1225"/>
      <c r="O275" s="1225"/>
      <c r="P275" s="1225"/>
      <c r="Q275" s="1225"/>
      <c r="R275" s="1225"/>
      <c r="S275" s="1023"/>
      <c r="T275" s="1059"/>
      <c r="U275" s="1225"/>
      <c r="V275" s="1225">
        <f t="shared" si="49"/>
        <v>0</v>
      </c>
      <c r="W275" s="1225"/>
      <c r="X275" s="1225"/>
      <c r="Y275" s="1225"/>
      <c r="Z275" s="1225"/>
      <c r="AA275" s="1225"/>
      <c r="AB275" s="1059"/>
      <c r="AC275" s="1225"/>
      <c r="AD275" s="1225"/>
      <c r="AE275" s="1225"/>
      <c r="AF275" s="1073"/>
      <c r="AG275" s="1073"/>
      <c r="AH275" s="1073"/>
      <c r="AI275" s="1073"/>
      <c r="AJ275" s="1073"/>
      <c r="AK275" s="1073"/>
      <c r="AL275" s="1073"/>
      <c r="AM275" s="1073"/>
      <c r="AN275" s="1073"/>
      <c r="AO275" s="1073"/>
      <c r="AP275" s="1073"/>
      <c r="AQ275" s="1073"/>
      <c r="AR275" s="1073"/>
      <c r="AS275" s="1073"/>
      <c r="AT275" s="1073"/>
      <c r="AU275" s="1073"/>
      <c r="AV275" s="1073"/>
      <c r="AW275" s="1073"/>
      <c r="AX275" s="1073"/>
      <c r="AY275" s="1227"/>
    </row>
    <row r="276" spans="1:51" ht="21" customHeight="1" x14ac:dyDescent="0.25">
      <c r="A276" s="1189"/>
      <c r="B276" s="1018"/>
      <c r="C276" s="1018"/>
      <c r="D276" s="165" t="s">
        <v>345</v>
      </c>
      <c r="E276" s="1225"/>
      <c r="F276" s="1225"/>
      <c r="G276" s="1225"/>
      <c r="H276" s="1225"/>
      <c r="I276" s="1225"/>
      <c r="J276" s="1225"/>
      <c r="K276" s="1225"/>
      <c r="L276" s="1225"/>
      <c r="M276" s="1225"/>
      <c r="N276" s="1023"/>
      <c r="O276" s="1225"/>
      <c r="P276" s="1225"/>
      <c r="Q276" s="1225"/>
      <c r="R276" s="1225"/>
      <c r="S276" s="1023"/>
      <c r="T276" s="1023"/>
      <c r="U276" s="1225"/>
      <c r="V276" s="1225">
        <f t="shared" si="49"/>
        <v>0</v>
      </c>
      <c r="W276" s="1225"/>
      <c r="X276" s="1225"/>
      <c r="Y276" s="1225"/>
      <c r="Z276" s="1225"/>
      <c r="AA276" s="1023"/>
      <c r="AB276" s="1059"/>
      <c r="AC276" s="1225"/>
      <c r="AD276" s="1225"/>
      <c r="AE276" s="1225"/>
      <c r="AF276" s="1073"/>
      <c r="AG276" s="1073"/>
      <c r="AH276" s="1073"/>
      <c r="AI276" s="1073"/>
      <c r="AJ276" s="1073"/>
      <c r="AK276" s="1073"/>
      <c r="AL276" s="1073"/>
      <c r="AM276" s="1073"/>
      <c r="AN276" s="1073"/>
      <c r="AO276" s="1073"/>
      <c r="AP276" s="1073"/>
      <c r="AQ276" s="1073"/>
      <c r="AR276" s="1073"/>
      <c r="AS276" s="1073"/>
      <c r="AT276" s="1073"/>
      <c r="AU276" s="1073"/>
      <c r="AV276" s="1073"/>
      <c r="AW276" s="1073"/>
      <c r="AX276" s="1073"/>
      <c r="AY276" s="1227"/>
    </row>
    <row r="277" spans="1:51" ht="21" customHeight="1" x14ac:dyDescent="0.25">
      <c r="A277" s="1189"/>
      <c r="B277" s="1018"/>
      <c r="C277" s="1018"/>
      <c r="D277" s="164" t="s">
        <v>346</v>
      </c>
      <c r="E277" s="1225"/>
      <c r="F277" s="1225"/>
      <c r="G277" s="1225"/>
      <c r="H277" s="1225"/>
      <c r="I277" s="1059"/>
      <c r="J277" s="1059"/>
      <c r="K277" s="1059"/>
      <c r="L277" s="1059"/>
      <c r="M277" s="1059"/>
      <c r="N277" s="1059"/>
      <c r="O277" s="1059"/>
      <c r="P277" s="1059"/>
      <c r="Q277" s="1225"/>
      <c r="R277" s="1225"/>
      <c r="S277" s="1023"/>
      <c r="T277" s="1225"/>
      <c r="U277" s="1225"/>
      <c r="V277" s="1225">
        <f t="shared" si="49"/>
        <v>0</v>
      </c>
      <c r="W277" s="1225"/>
      <c r="X277" s="1225"/>
      <c r="Y277" s="1225"/>
      <c r="Z277" s="1225"/>
      <c r="AA277" s="1059"/>
      <c r="AB277" s="1059"/>
      <c r="AC277" s="1225"/>
      <c r="AD277" s="1225"/>
      <c r="AE277" s="1225"/>
      <c r="AF277" s="1073"/>
      <c r="AG277" s="1073"/>
      <c r="AH277" s="1073"/>
      <c r="AI277" s="1073"/>
      <c r="AJ277" s="1073"/>
      <c r="AK277" s="1073"/>
      <c r="AL277" s="1073"/>
      <c r="AM277" s="1073"/>
      <c r="AN277" s="1073"/>
      <c r="AO277" s="1073"/>
      <c r="AP277" s="1073"/>
      <c r="AQ277" s="1073"/>
      <c r="AR277" s="1073"/>
      <c r="AS277" s="1073"/>
      <c r="AT277" s="1073"/>
      <c r="AU277" s="1073"/>
      <c r="AV277" s="1073"/>
      <c r="AW277" s="1073"/>
      <c r="AX277" s="1073"/>
      <c r="AY277" s="1227"/>
    </row>
    <row r="278" spans="1:51" ht="21" customHeight="1" x14ac:dyDescent="0.25">
      <c r="A278" s="1189"/>
      <c r="B278" s="1018"/>
      <c r="C278" s="1018"/>
      <c r="D278" s="165" t="s">
        <v>347</v>
      </c>
      <c r="E278" s="1225"/>
      <c r="F278" s="1225"/>
      <c r="G278" s="1225"/>
      <c r="H278" s="1225"/>
      <c r="I278" s="1225"/>
      <c r="J278" s="1225"/>
      <c r="K278" s="1225"/>
      <c r="L278" s="1225"/>
      <c r="M278" s="1225"/>
      <c r="N278" s="1225"/>
      <c r="O278" s="1225"/>
      <c r="P278" s="1225"/>
      <c r="Q278" s="1225"/>
      <c r="R278" s="1225"/>
      <c r="S278" s="1023"/>
      <c r="T278" s="1023"/>
      <c r="U278" s="1225"/>
      <c r="V278" s="1225">
        <f t="shared" si="49"/>
        <v>0</v>
      </c>
      <c r="W278" s="1225"/>
      <c r="X278" s="1225"/>
      <c r="Y278" s="1225"/>
      <c r="Z278" s="1225"/>
      <c r="AA278" s="1225"/>
      <c r="AB278" s="1059"/>
      <c r="AC278" s="1225"/>
      <c r="AD278" s="1225"/>
      <c r="AE278" s="1225"/>
      <c r="AF278" s="1073"/>
      <c r="AG278" s="1073"/>
      <c r="AH278" s="1073"/>
      <c r="AI278" s="1073"/>
      <c r="AJ278" s="1073"/>
      <c r="AK278" s="1073"/>
      <c r="AL278" s="1073"/>
      <c r="AM278" s="1073"/>
      <c r="AN278" s="1073"/>
      <c r="AO278" s="1073"/>
      <c r="AP278" s="1073"/>
      <c r="AQ278" s="1073"/>
      <c r="AR278" s="1073"/>
      <c r="AS278" s="1073"/>
      <c r="AT278" s="1073"/>
      <c r="AU278" s="1073"/>
      <c r="AV278" s="1073"/>
      <c r="AW278" s="1073"/>
      <c r="AX278" s="1073"/>
      <c r="AY278" s="1227"/>
    </row>
    <row r="279" spans="1:51" ht="21" customHeight="1" x14ac:dyDescent="0.25">
      <c r="A279" s="1189"/>
      <c r="B279" s="1018"/>
      <c r="C279" s="1048"/>
      <c r="D279" s="164" t="s">
        <v>348</v>
      </c>
      <c r="E279" s="1225"/>
      <c r="F279" s="1225"/>
      <c r="G279" s="1059"/>
      <c r="H279" s="1225"/>
      <c r="I279" s="1225"/>
      <c r="J279" s="1225"/>
      <c r="K279" s="1225"/>
      <c r="L279" s="1225"/>
      <c r="M279" s="1225"/>
      <c r="N279" s="1225"/>
      <c r="O279" s="1225"/>
      <c r="P279" s="1225"/>
      <c r="Q279" s="1225"/>
      <c r="R279" s="1225"/>
      <c r="S279" s="1023"/>
      <c r="T279" s="1059"/>
      <c r="U279" s="1225"/>
      <c r="V279" s="1225">
        <f t="shared" si="49"/>
        <v>0</v>
      </c>
      <c r="W279" s="1225"/>
      <c r="X279" s="1225"/>
      <c r="Y279" s="1225"/>
      <c r="Z279" s="1225"/>
      <c r="AA279" s="1225"/>
      <c r="AB279" s="1059"/>
      <c r="AC279" s="1225"/>
      <c r="AD279" s="1225"/>
      <c r="AE279" s="1225"/>
      <c r="AF279" s="1076"/>
      <c r="AG279" s="1076"/>
      <c r="AH279" s="1076"/>
      <c r="AI279" s="1076"/>
      <c r="AJ279" s="1076"/>
      <c r="AK279" s="1076"/>
      <c r="AL279" s="1076"/>
      <c r="AM279" s="1076"/>
      <c r="AN279" s="1076"/>
      <c r="AO279" s="1076"/>
      <c r="AP279" s="1076"/>
      <c r="AQ279" s="1076"/>
      <c r="AR279" s="1076"/>
      <c r="AS279" s="1076"/>
      <c r="AT279" s="1076"/>
      <c r="AU279" s="1076"/>
      <c r="AV279" s="1076"/>
      <c r="AW279" s="1076"/>
      <c r="AX279" s="1076"/>
      <c r="AY279" s="1227"/>
    </row>
    <row r="280" spans="1:51" ht="21" customHeight="1" x14ac:dyDescent="0.25">
      <c r="A280" s="1189"/>
      <c r="B280" s="1018"/>
      <c r="C280" s="1217" t="s">
        <v>556</v>
      </c>
      <c r="D280" s="161" t="s">
        <v>340</v>
      </c>
      <c r="E280" s="1225"/>
      <c r="F280" s="1225"/>
      <c r="G280" s="1225"/>
      <c r="H280" s="1225"/>
      <c r="I280" s="1225"/>
      <c r="J280" s="1225"/>
      <c r="K280" s="1225"/>
      <c r="L280" s="1225"/>
      <c r="M280" s="1225"/>
      <c r="N280" s="1023"/>
      <c r="O280" s="1059"/>
      <c r="P280" s="1225"/>
      <c r="Q280" s="1225"/>
      <c r="R280" s="1225"/>
      <c r="S280" s="1023"/>
      <c r="T280" s="1225"/>
      <c r="U280" s="1225"/>
      <c r="V280" s="1225">
        <f t="shared" si="49"/>
        <v>0</v>
      </c>
      <c r="W280" s="1225"/>
      <c r="X280" s="1225"/>
      <c r="Y280" s="1225"/>
      <c r="Z280" s="1225"/>
      <c r="AA280" s="1023"/>
      <c r="AB280" s="1059"/>
      <c r="AC280" s="1225"/>
      <c r="AD280" s="1225"/>
      <c r="AE280" s="1225"/>
      <c r="AF280" s="1315"/>
      <c r="AG280" s="1298" t="s">
        <v>472</v>
      </c>
      <c r="AH280" s="1299" t="s">
        <v>557</v>
      </c>
      <c r="AI280" s="1299" t="s">
        <v>558</v>
      </c>
      <c r="AJ280" s="1300" t="s">
        <v>1477</v>
      </c>
      <c r="AK280" s="1299" t="s">
        <v>457</v>
      </c>
      <c r="AL280" s="1299" t="s">
        <v>178</v>
      </c>
      <c r="AM280" s="1299" t="s">
        <v>458</v>
      </c>
      <c r="AN280" s="1301">
        <v>179406</v>
      </c>
      <c r="AO280" s="1301">
        <v>86201</v>
      </c>
      <c r="AP280" s="1301">
        <v>93205</v>
      </c>
      <c r="AQ280" s="1302" t="s">
        <v>459</v>
      </c>
      <c r="AR280" s="1302" t="s">
        <v>459</v>
      </c>
      <c r="AS280" s="1302" t="s">
        <v>459</v>
      </c>
      <c r="AT280" s="1302" t="s">
        <v>459</v>
      </c>
      <c r="AU280" s="1302" t="s">
        <v>459</v>
      </c>
      <c r="AV280" s="1302" t="s">
        <v>459</v>
      </c>
      <c r="AW280" s="1302" t="s">
        <v>459</v>
      </c>
      <c r="AX280" s="1301">
        <v>175418</v>
      </c>
      <c r="AY280" s="1227"/>
    </row>
    <row r="281" spans="1:51" ht="21" customHeight="1" x14ac:dyDescent="0.25">
      <c r="A281" s="1189"/>
      <c r="B281" s="1018"/>
      <c r="C281" s="1018"/>
      <c r="D281" s="164" t="s">
        <v>343</v>
      </c>
      <c r="E281" s="1225"/>
      <c r="F281" s="1225"/>
      <c r="G281" s="1059"/>
      <c r="H281" s="1225"/>
      <c r="I281" s="1225"/>
      <c r="J281" s="1225"/>
      <c r="K281" s="1225"/>
      <c r="L281" s="1225"/>
      <c r="M281" s="1225"/>
      <c r="N281" s="1225"/>
      <c r="O281" s="1225"/>
      <c r="P281" s="1225"/>
      <c r="Q281" s="1225"/>
      <c r="R281" s="1225"/>
      <c r="S281" s="1023"/>
      <c r="T281" s="1059"/>
      <c r="U281" s="1225"/>
      <c r="V281" s="1225">
        <f t="shared" si="49"/>
        <v>0</v>
      </c>
      <c r="W281" s="1225"/>
      <c r="X281" s="1225"/>
      <c r="Y281" s="1225"/>
      <c r="Z281" s="1225"/>
      <c r="AA281" s="1225"/>
      <c r="AB281" s="1059"/>
      <c r="AC281" s="1225"/>
      <c r="AD281" s="1225"/>
      <c r="AE281" s="1225"/>
      <c r="AF281" s="1219"/>
      <c r="AG281" s="1218"/>
      <c r="AH281" s="1219"/>
      <c r="AI281" s="1219"/>
      <c r="AJ281" s="1219"/>
      <c r="AK281" s="1219"/>
      <c r="AL281" s="1219"/>
      <c r="AM281" s="1219"/>
      <c r="AN281" s="1219"/>
      <c r="AO281" s="1219"/>
      <c r="AP281" s="1219"/>
      <c r="AQ281" s="1219"/>
      <c r="AR281" s="1219"/>
      <c r="AS281" s="1219"/>
      <c r="AT281" s="1219"/>
      <c r="AU281" s="1219"/>
      <c r="AV281" s="1219"/>
      <c r="AW281" s="1219"/>
      <c r="AX281" s="1219"/>
      <c r="AY281" s="1227"/>
    </row>
    <row r="282" spans="1:51" ht="21" customHeight="1" x14ac:dyDescent="0.25">
      <c r="A282" s="1189"/>
      <c r="B282" s="1018"/>
      <c r="C282" s="1018"/>
      <c r="D282" s="165" t="s">
        <v>345</v>
      </c>
      <c r="E282" s="1225"/>
      <c r="F282" s="1225"/>
      <c r="G282" s="1225"/>
      <c r="H282" s="1225"/>
      <c r="I282" s="1225"/>
      <c r="J282" s="1225"/>
      <c r="K282" s="1225"/>
      <c r="L282" s="1225"/>
      <c r="M282" s="1225"/>
      <c r="N282" s="1023"/>
      <c r="O282" s="1225"/>
      <c r="P282" s="1225"/>
      <c r="Q282" s="1225"/>
      <c r="R282" s="1225"/>
      <c r="S282" s="1023"/>
      <c r="T282" s="1023"/>
      <c r="U282" s="1225"/>
      <c r="V282" s="1225">
        <f t="shared" si="49"/>
        <v>0</v>
      </c>
      <c r="W282" s="1225"/>
      <c r="X282" s="1225"/>
      <c r="Y282" s="1225"/>
      <c r="Z282" s="1225"/>
      <c r="AA282" s="1023"/>
      <c r="AB282" s="1059"/>
      <c r="AC282" s="1225"/>
      <c r="AD282" s="1225"/>
      <c r="AE282" s="1225"/>
      <c r="AF282" s="1219"/>
      <c r="AG282" s="1218"/>
      <c r="AH282" s="1219"/>
      <c r="AI282" s="1219"/>
      <c r="AJ282" s="1219"/>
      <c r="AK282" s="1219"/>
      <c r="AL282" s="1219"/>
      <c r="AM282" s="1219"/>
      <c r="AN282" s="1219"/>
      <c r="AO282" s="1219"/>
      <c r="AP282" s="1219"/>
      <c r="AQ282" s="1219"/>
      <c r="AR282" s="1219"/>
      <c r="AS282" s="1219"/>
      <c r="AT282" s="1219"/>
      <c r="AU282" s="1219"/>
      <c r="AV282" s="1219"/>
      <c r="AW282" s="1219"/>
      <c r="AX282" s="1219"/>
      <c r="AY282" s="1227"/>
    </row>
    <row r="283" spans="1:51" ht="21" customHeight="1" x14ac:dyDescent="0.25">
      <c r="A283" s="1189"/>
      <c r="B283" s="1018"/>
      <c r="C283" s="1018"/>
      <c r="D283" s="164" t="s">
        <v>346</v>
      </c>
      <c r="E283" s="1225"/>
      <c r="F283" s="1225"/>
      <c r="G283" s="1225"/>
      <c r="H283" s="1225"/>
      <c r="I283" s="1059"/>
      <c r="J283" s="1059"/>
      <c r="K283" s="1059"/>
      <c r="L283" s="1059"/>
      <c r="M283" s="1059"/>
      <c r="N283" s="1059"/>
      <c r="O283" s="1059"/>
      <c r="P283" s="1059"/>
      <c r="Q283" s="1225"/>
      <c r="R283" s="1225"/>
      <c r="S283" s="1023"/>
      <c r="T283" s="1225"/>
      <c r="U283" s="1225"/>
      <c r="V283" s="1225">
        <f t="shared" si="49"/>
        <v>0</v>
      </c>
      <c r="W283" s="1225"/>
      <c r="X283" s="1225"/>
      <c r="Y283" s="1225"/>
      <c r="Z283" s="1225"/>
      <c r="AA283" s="1059"/>
      <c r="AB283" s="1059"/>
      <c r="AC283" s="1225"/>
      <c r="AD283" s="1225"/>
      <c r="AE283" s="1225"/>
      <c r="AF283" s="1219"/>
      <c r="AG283" s="1218"/>
      <c r="AH283" s="1219"/>
      <c r="AI283" s="1219"/>
      <c r="AJ283" s="1219"/>
      <c r="AK283" s="1219"/>
      <c r="AL283" s="1219"/>
      <c r="AM283" s="1219"/>
      <c r="AN283" s="1219"/>
      <c r="AO283" s="1219"/>
      <c r="AP283" s="1219"/>
      <c r="AQ283" s="1219"/>
      <c r="AR283" s="1219"/>
      <c r="AS283" s="1219"/>
      <c r="AT283" s="1219"/>
      <c r="AU283" s="1219"/>
      <c r="AV283" s="1219"/>
      <c r="AW283" s="1219"/>
      <c r="AX283" s="1219"/>
      <c r="AY283" s="1227"/>
    </row>
    <row r="284" spans="1:51" ht="21" customHeight="1" x14ac:dyDescent="0.25">
      <c r="A284" s="1189"/>
      <c r="B284" s="1018"/>
      <c r="C284" s="1018"/>
      <c r="D284" s="165" t="s">
        <v>347</v>
      </c>
      <c r="E284" s="1225"/>
      <c r="F284" s="1225"/>
      <c r="G284" s="1225"/>
      <c r="H284" s="1225"/>
      <c r="I284" s="1225"/>
      <c r="J284" s="1225"/>
      <c r="K284" s="1225"/>
      <c r="L284" s="1225"/>
      <c r="M284" s="1225"/>
      <c r="N284" s="1225"/>
      <c r="O284" s="1225"/>
      <c r="P284" s="1225"/>
      <c r="Q284" s="1225"/>
      <c r="R284" s="1225"/>
      <c r="S284" s="1023"/>
      <c r="T284" s="1023"/>
      <c r="U284" s="1225"/>
      <c r="V284" s="1225">
        <f t="shared" si="49"/>
        <v>0</v>
      </c>
      <c r="W284" s="1225"/>
      <c r="X284" s="1225"/>
      <c r="Y284" s="1225"/>
      <c r="Z284" s="1225"/>
      <c r="AA284" s="1225"/>
      <c r="AB284" s="1059"/>
      <c r="AC284" s="1225"/>
      <c r="AD284" s="1225"/>
      <c r="AE284" s="1225"/>
      <c r="AF284" s="1219"/>
      <c r="AG284" s="1218"/>
      <c r="AH284" s="1219"/>
      <c r="AI284" s="1219"/>
      <c r="AJ284" s="1219"/>
      <c r="AK284" s="1219"/>
      <c r="AL284" s="1219"/>
      <c r="AM284" s="1219"/>
      <c r="AN284" s="1219"/>
      <c r="AO284" s="1219"/>
      <c r="AP284" s="1219"/>
      <c r="AQ284" s="1219"/>
      <c r="AR284" s="1219"/>
      <c r="AS284" s="1219"/>
      <c r="AT284" s="1219"/>
      <c r="AU284" s="1219"/>
      <c r="AV284" s="1219"/>
      <c r="AW284" s="1219"/>
      <c r="AX284" s="1219"/>
      <c r="AY284" s="1227"/>
    </row>
    <row r="285" spans="1:51" ht="21" customHeight="1" x14ac:dyDescent="0.25">
      <c r="A285" s="1189"/>
      <c r="B285" s="1018"/>
      <c r="C285" s="1048"/>
      <c r="D285" s="164" t="s">
        <v>348</v>
      </c>
      <c r="E285" s="1225"/>
      <c r="F285" s="1225"/>
      <c r="G285" s="1059"/>
      <c r="H285" s="1225"/>
      <c r="I285" s="1225"/>
      <c r="J285" s="1225"/>
      <c r="K285" s="1225"/>
      <c r="L285" s="1225"/>
      <c r="M285" s="1225"/>
      <c r="N285" s="1225"/>
      <c r="O285" s="1225"/>
      <c r="P285" s="1225"/>
      <c r="Q285" s="1225"/>
      <c r="R285" s="1225"/>
      <c r="S285" s="1023"/>
      <c r="T285" s="1059"/>
      <c r="U285" s="1225"/>
      <c r="V285" s="1225">
        <f t="shared" si="49"/>
        <v>0</v>
      </c>
      <c r="W285" s="1225"/>
      <c r="X285" s="1225"/>
      <c r="Y285" s="1225"/>
      <c r="Z285" s="1225"/>
      <c r="AA285" s="1225"/>
      <c r="AB285" s="1059"/>
      <c r="AC285" s="1225"/>
      <c r="AD285" s="1225"/>
      <c r="AE285" s="1225"/>
      <c r="AF285" s="1221"/>
      <c r="AG285" s="1220"/>
      <c r="AH285" s="1221"/>
      <c r="AI285" s="1221"/>
      <c r="AJ285" s="1221"/>
      <c r="AK285" s="1221"/>
      <c r="AL285" s="1221"/>
      <c r="AM285" s="1221"/>
      <c r="AN285" s="1221"/>
      <c r="AO285" s="1221"/>
      <c r="AP285" s="1221"/>
      <c r="AQ285" s="1221"/>
      <c r="AR285" s="1221"/>
      <c r="AS285" s="1221"/>
      <c r="AT285" s="1221"/>
      <c r="AU285" s="1221"/>
      <c r="AV285" s="1221"/>
      <c r="AW285" s="1221"/>
      <c r="AX285" s="1221"/>
      <c r="AY285" s="1227"/>
    </row>
    <row r="286" spans="1:51" ht="21" customHeight="1" x14ac:dyDescent="0.25">
      <c r="A286" s="1189"/>
      <c r="B286" s="1018"/>
      <c r="C286" s="1217" t="s">
        <v>559</v>
      </c>
      <c r="D286" s="161" t="s">
        <v>340</v>
      </c>
      <c r="E286" s="1225"/>
      <c r="F286" s="1225"/>
      <c r="G286" s="1225"/>
      <c r="H286" s="1225"/>
      <c r="I286" s="1225"/>
      <c r="J286" s="1225"/>
      <c r="K286" s="1225"/>
      <c r="L286" s="1225"/>
      <c r="M286" s="1225"/>
      <c r="N286" s="1023"/>
      <c r="O286" s="1059"/>
      <c r="P286" s="1225"/>
      <c r="Q286" s="1225"/>
      <c r="R286" s="1225"/>
      <c r="S286" s="1023"/>
      <c r="T286" s="1225"/>
      <c r="U286" s="1225"/>
      <c r="V286" s="1225">
        <f t="shared" si="49"/>
        <v>0</v>
      </c>
      <c r="W286" s="1225"/>
      <c r="X286" s="1225"/>
      <c r="Y286" s="1316"/>
      <c r="Z286" s="1225"/>
      <c r="AA286" s="1023"/>
      <c r="AB286" s="1059"/>
      <c r="AC286" s="1225"/>
      <c r="AD286" s="1225"/>
      <c r="AE286" s="1225"/>
      <c r="AF286" s="1315"/>
      <c r="AG286" s="1298" t="s">
        <v>540</v>
      </c>
      <c r="AH286" s="1299" t="s">
        <v>560</v>
      </c>
      <c r="AI286" s="1299" t="s">
        <v>561</v>
      </c>
      <c r="AJ286" s="1300" t="s">
        <v>1477</v>
      </c>
      <c r="AK286" s="1299" t="s">
        <v>457</v>
      </c>
      <c r="AL286" s="1299" t="s">
        <v>178</v>
      </c>
      <c r="AM286" s="1299" t="s">
        <v>551</v>
      </c>
      <c r="AN286" s="1301">
        <v>167657</v>
      </c>
      <c r="AO286" s="1301">
        <v>71468</v>
      </c>
      <c r="AP286" s="1301">
        <v>96189</v>
      </c>
      <c r="AQ286" s="1011" t="s">
        <v>459</v>
      </c>
      <c r="AR286" s="1011" t="s">
        <v>459</v>
      </c>
      <c r="AS286" s="1011" t="s">
        <v>459</v>
      </c>
      <c r="AT286" s="1011" t="s">
        <v>459</v>
      </c>
      <c r="AU286" s="1302" t="s">
        <v>459</v>
      </c>
      <c r="AV286" s="1302" t="s">
        <v>459</v>
      </c>
      <c r="AW286" s="1302" t="s">
        <v>459</v>
      </c>
      <c r="AX286" s="1301">
        <v>167657</v>
      </c>
      <c r="AY286" s="1227"/>
    </row>
    <row r="287" spans="1:51" ht="21" customHeight="1" x14ac:dyDescent="0.25">
      <c r="A287" s="1189"/>
      <c r="B287" s="1018"/>
      <c r="C287" s="1018"/>
      <c r="D287" s="164" t="s">
        <v>343</v>
      </c>
      <c r="E287" s="1225"/>
      <c r="F287" s="1225"/>
      <c r="G287" s="1225"/>
      <c r="H287" s="1225"/>
      <c r="I287" s="1225"/>
      <c r="J287" s="1225"/>
      <c r="K287" s="1225"/>
      <c r="L287" s="1225"/>
      <c r="M287" s="1225"/>
      <c r="N287" s="1225"/>
      <c r="O287" s="1225"/>
      <c r="P287" s="1225"/>
      <c r="Q287" s="1225"/>
      <c r="R287" s="1225"/>
      <c r="S287" s="1023"/>
      <c r="T287" s="1225"/>
      <c r="U287" s="1225"/>
      <c r="V287" s="1225">
        <f t="shared" si="49"/>
        <v>0</v>
      </c>
      <c r="W287" s="1225"/>
      <c r="X287" s="1225"/>
      <c r="Y287" s="1316"/>
      <c r="Z287" s="1225"/>
      <c r="AA287" s="1225"/>
      <c r="AB287" s="1059"/>
      <c r="AC287" s="1225"/>
      <c r="AD287" s="1225"/>
      <c r="AE287" s="1225"/>
      <c r="AF287" s="1219"/>
      <c r="AG287" s="1218"/>
      <c r="AH287" s="1219"/>
      <c r="AI287" s="1219"/>
      <c r="AJ287" s="1219"/>
      <c r="AK287" s="1219"/>
      <c r="AL287" s="1219"/>
      <c r="AM287" s="1219"/>
      <c r="AN287" s="1219"/>
      <c r="AO287" s="1219"/>
      <c r="AP287" s="1219"/>
      <c r="AQ287" s="1219"/>
      <c r="AR287" s="1219"/>
      <c r="AS287" s="1219"/>
      <c r="AT287" s="1219"/>
      <c r="AU287" s="1219"/>
      <c r="AV287" s="1219"/>
      <c r="AW287" s="1219"/>
      <c r="AX287" s="1219"/>
      <c r="AY287" s="1227"/>
    </row>
    <row r="288" spans="1:51" ht="21" customHeight="1" x14ac:dyDescent="0.25">
      <c r="A288" s="1189"/>
      <c r="B288" s="1018"/>
      <c r="C288" s="1018"/>
      <c r="D288" s="165" t="s">
        <v>345</v>
      </c>
      <c r="E288" s="1225"/>
      <c r="F288" s="1225"/>
      <c r="G288" s="1225"/>
      <c r="H288" s="1225"/>
      <c r="I288" s="1225"/>
      <c r="J288" s="1225"/>
      <c r="K288" s="1225"/>
      <c r="L288" s="1225"/>
      <c r="M288" s="1225"/>
      <c r="N288" s="1023"/>
      <c r="O288" s="1059"/>
      <c r="P288" s="1225"/>
      <c r="Q288" s="1225"/>
      <c r="R288" s="1225"/>
      <c r="S288" s="1023"/>
      <c r="T288" s="1023"/>
      <c r="U288" s="1225"/>
      <c r="V288" s="1225">
        <f t="shared" si="49"/>
        <v>0</v>
      </c>
      <c r="W288" s="1225"/>
      <c r="X288" s="1225"/>
      <c r="Y288" s="1316"/>
      <c r="Z288" s="1225"/>
      <c r="AA288" s="1023"/>
      <c r="AB288" s="1059"/>
      <c r="AC288" s="1225"/>
      <c r="AD288" s="1225"/>
      <c r="AE288" s="1225"/>
      <c r="AF288" s="1219"/>
      <c r="AG288" s="1218"/>
      <c r="AH288" s="1219"/>
      <c r="AI288" s="1219"/>
      <c r="AJ288" s="1219"/>
      <c r="AK288" s="1219"/>
      <c r="AL288" s="1219"/>
      <c r="AM288" s="1219"/>
      <c r="AN288" s="1219"/>
      <c r="AO288" s="1219"/>
      <c r="AP288" s="1219"/>
      <c r="AQ288" s="1219"/>
      <c r="AR288" s="1219"/>
      <c r="AS288" s="1219"/>
      <c r="AT288" s="1219"/>
      <c r="AU288" s="1219"/>
      <c r="AV288" s="1219"/>
      <c r="AW288" s="1219"/>
      <c r="AX288" s="1219"/>
      <c r="AY288" s="1227"/>
    </row>
    <row r="289" spans="1:51" ht="21" customHeight="1" x14ac:dyDescent="0.25">
      <c r="A289" s="1189"/>
      <c r="B289" s="1018"/>
      <c r="C289" s="1018"/>
      <c r="D289" s="164" t="s">
        <v>346</v>
      </c>
      <c r="E289" s="1225"/>
      <c r="F289" s="1225"/>
      <c r="G289" s="1225"/>
      <c r="H289" s="1225"/>
      <c r="I289" s="1225"/>
      <c r="J289" s="1059"/>
      <c r="K289" s="1059"/>
      <c r="L289" s="1059"/>
      <c r="M289" s="1059"/>
      <c r="N289" s="1059"/>
      <c r="O289" s="1059"/>
      <c r="P289" s="1059"/>
      <c r="Q289" s="1225"/>
      <c r="R289" s="1225"/>
      <c r="S289" s="1023"/>
      <c r="T289" s="1225"/>
      <c r="U289" s="1225"/>
      <c r="V289" s="1225">
        <f t="shared" si="49"/>
        <v>0</v>
      </c>
      <c r="W289" s="1225"/>
      <c r="X289" s="1225"/>
      <c r="Y289" s="1316"/>
      <c r="Z289" s="1225"/>
      <c r="AA289" s="1059"/>
      <c r="AB289" s="1059"/>
      <c r="AC289" s="1225"/>
      <c r="AD289" s="1225"/>
      <c r="AE289" s="1225"/>
      <c r="AF289" s="1219"/>
      <c r="AG289" s="1218"/>
      <c r="AH289" s="1219"/>
      <c r="AI289" s="1219"/>
      <c r="AJ289" s="1219"/>
      <c r="AK289" s="1219"/>
      <c r="AL289" s="1219"/>
      <c r="AM289" s="1219"/>
      <c r="AN289" s="1219"/>
      <c r="AO289" s="1219"/>
      <c r="AP289" s="1219"/>
      <c r="AQ289" s="1219"/>
      <c r="AR289" s="1219"/>
      <c r="AS289" s="1219"/>
      <c r="AT289" s="1219"/>
      <c r="AU289" s="1219"/>
      <c r="AV289" s="1219"/>
      <c r="AW289" s="1219"/>
      <c r="AX289" s="1219"/>
      <c r="AY289" s="1227"/>
    </row>
    <row r="290" spans="1:51" ht="21" customHeight="1" x14ac:dyDescent="0.25">
      <c r="A290" s="1189"/>
      <c r="B290" s="1018"/>
      <c r="C290" s="1018"/>
      <c r="D290" s="165" t="s">
        <v>347</v>
      </c>
      <c r="E290" s="1225"/>
      <c r="F290" s="1225"/>
      <c r="G290" s="1225"/>
      <c r="H290" s="1225"/>
      <c r="I290" s="1225"/>
      <c r="J290" s="1225"/>
      <c r="K290" s="1225"/>
      <c r="L290" s="1225"/>
      <c r="M290" s="1225"/>
      <c r="N290" s="1225"/>
      <c r="O290" s="1225"/>
      <c r="P290" s="1225"/>
      <c r="Q290" s="1225"/>
      <c r="R290" s="1225"/>
      <c r="S290" s="1023"/>
      <c r="T290" s="1023"/>
      <c r="U290" s="1225"/>
      <c r="V290" s="1225">
        <f t="shared" si="49"/>
        <v>0</v>
      </c>
      <c r="W290" s="1225"/>
      <c r="X290" s="1225"/>
      <c r="Y290" s="1316"/>
      <c r="Z290" s="1225"/>
      <c r="AA290" s="1225"/>
      <c r="AB290" s="1059"/>
      <c r="AC290" s="1225"/>
      <c r="AD290" s="1225"/>
      <c r="AE290" s="1225"/>
      <c r="AF290" s="1219"/>
      <c r="AG290" s="1218"/>
      <c r="AH290" s="1219"/>
      <c r="AI290" s="1219"/>
      <c r="AJ290" s="1219"/>
      <c r="AK290" s="1219"/>
      <c r="AL290" s="1219"/>
      <c r="AM290" s="1219"/>
      <c r="AN290" s="1219"/>
      <c r="AO290" s="1219"/>
      <c r="AP290" s="1219"/>
      <c r="AQ290" s="1219"/>
      <c r="AR290" s="1219"/>
      <c r="AS290" s="1219"/>
      <c r="AT290" s="1219"/>
      <c r="AU290" s="1219"/>
      <c r="AV290" s="1219"/>
      <c r="AW290" s="1219"/>
      <c r="AX290" s="1219"/>
      <c r="AY290" s="1227"/>
    </row>
    <row r="291" spans="1:51" ht="21" customHeight="1" x14ac:dyDescent="0.25">
      <c r="A291" s="1189"/>
      <c r="B291" s="1018"/>
      <c r="C291" s="1048"/>
      <c r="D291" s="164" t="s">
        <v>348</v>
      </c>
      <c r="E291" s="1225"/>
      <c r="F291" s="1225"/>
      <c r="G291" s="1225"/>
      <c r="H291" s="1225"/>
      <c r="I291" s="1225"/>
      <c r="J291" s="1225"/>
      <c r="K291" s="1225"/>
      <c r="L291" s="1225"/>
      <c r="M291" s="1225"/>
      <c r="N291" s="1225"/>
      <c r="O291" s="1225"/>
      <c r="P291" s="1225"/>
      <c r="Q291" s="1225"/>
      <c r="R291" s="1225"/>
      <c r="S291" s="1023"/>
      <c r="T291" s="1023"/>
      <c r="U291" s="1225"/>
      <c r="V291" s="1225">
        <f t="shared" si="49"/>
        <v>0</v>
      </c>
      <c r="W291" s="1225"/>
      <c r="X291" s="1225"/>
      <c r="Y291" s="1316"/>
      <c r="Z291" s="1225"/>
      <c r="AA291" s="1225"/>
      <c r="AB291" s="1059"/>
      <c r="AC291" s="1225"/>
      <c r="AD291" s="1225"/>
      <c r="AE291" s="1225"/>
      <c r="AF291" s="1221"/>
      <c r="AG291" s="1220"/>
      <c r="AH291" s="1221"/>
      <c r="AI291" s="1221"/>
      <c r="AJ291" s="1221"/>
      <c r="AK291" s="1221"/>
      <c r="AL291" s="1221"/>
      <c r="AM291" s="1221"/>
      <c r="AN291" s="1221"/>
      <c r="AO291" s="1221"/>
      <c r="AP291" s="1221"/>
      <c r="AQ291" s="1221"/>
      <c r="AR291" s="1221"/>
      <c r="AS291" s="1221"/>
      <c r="AT291" s="1221"/>
      <c r="AU291" s="1221"/>
      <c r="AV291" s="1221"/>
      <c r="AW291" s="1221"/>
      <c r="AX291" s="1221"/>
      <c r="AY291" s="1227"/>
    </row>
    <row r="292" spans="1:51" ht="21" customHeight="1" x14ac:dyDescent="0.25">
      <c r="A292" s="1189"/>
      <c r="B292" s="1018"/>
      <c r="C292" s="1217" t="s">
        <v>562</v>
      </c>
      <c r="D292" s="161" t="s">
        <v>340</v>
      </c>
      <c r="E292" s="1225"/>
      <c r="F292" s="1225"/>
      <c r="G292" s="1225"/>
      <c r="H292" s="1225"/>
      <c r="I292" s="1225"/>
      <c r="J292" s="1225"/>
      <c r="K292" s="1225"/>
      <c r="L292" s="1225"/>
      <c r="M292" s="1225"/>
      <c r="N292" s="1023"/>
      <c r="O292" s="1059"/>
      <c r="P292" s="1225"/>
      <c r="Q292" s="1225"/>
      <c r="R292" s="1225"/>
      <c r="S292" s="1023"/>
      <c r="T292" s="1225"/>
      <c r="U292" s="1225"/>
      <c r="V292" s="1225">
        <f t="shared" si="49"/>
        <v>0</v>
      </c>
      <c r="W292" s="1225"/>
      <c r="X292" s="1225"/>
      <c r="Y292" s="1316"/>
      <c r="Z292" s="1225"/>
      <c r="AA292" s="1023"/>
      <c r="AB292" s="1059"/>
      <c r="AC292" s="1225"/>
      <c r="AD292" s="1225"/>
      <c r="AE292" s="1225"/>
      <c r="AF292" s="1315"/>
      <c r="AG292" s="1317" t="s">
        <v>563</v>
      </c>
      <c r="AH292" s="1299" t="s">
        <v>554</v>
      </c>
      <c r="AI292" s="1299" t="s">
        <v>564</v>
      </c>
      <c r="AJ292" s="1300" t="s">
        <v>1477</v>
      </c>
      <c r="AK292" s="1299" t="s">
        <v>457</v>
      </c>
      <c r="AL292" s="1299" t="s">
        <v>178</v>
      </c>
      <c r="AM292" s="1299" t="s">
        <v>551</v>
      </c>
      <c r="AN292" s="1301">
        <v>179406</v>
      </c>
      <c r="AO292" s="1301">
        <v>86201</v>
      </c>
      <c r="AP292" s="1301">
        <v>93205</v>
      </c>
      <c r="AQ292" s="1011" t="s">
        <v>459</v>
      </c>
      <c r="AR292" s="1011" t="s">
        <v>459</v>
      </c>
      <c r="AS292" s="1011" t="s">
        <v>459</v>
      </c>
      <c r="AT292" s="1011" t="s">
        <v>459</v>
      </c>
      <c r="AU292" s="1302" t="s">
        <v>459</v>
      </c>
      <c r="AV292" s="1302" t="s">
        <v>459</v>
      </c>
      <c r="AW292" s="1302" t="s">
        <v>459</v>
      </c>
      <c r="AX292" s="1301">
        <v>163231</v>
      </c>
      <c r="AY292" s="1229"/>
    </row>
    <row r="293" spans="1:51" ht="21" customHeight="1" x14ac:dyDescent="0.25">
      <c r="A293" s="1189"/>
      <c r="B293" s="1018"/>
      <c r="C293" s="1018"/>
      <c r="D293" s="164" t="s">
        <v>343</v>
      </c>
      <c r="E293" s="1225"/>
      <c r="F293" s="1225"/>
      <c r="G293" s="1225"/>
      <c r="H293" s="1225"/>
      <c r="I293" s="1225"/>
      <c r="J293" s="1225"/>
      <c r="K293" s="1225"/>
      <c r="L293" s="1225"/>
      <c r="M293" s="1225"/>
      <c r="N293" s="1225"/>
      <c r="O293" s="1059"/>
      <c r="P293" s="1225"/>
      <c r="Q293" s="1225"/>
      <c r="R293" s="1225"/>
      <c r="S293" s="1023"/>
      <c r="T293" s="1023"/>
      <c r="U293" s="1225"/>
      <c r="V293" s="1225">
        <f t="shared" si="49"/>
        <v>0</v>
      </c>
      <c r="W293" s="1225"/>
      <c r="X293" s="1225"/>
      <c r="Y293" s="1316"/>
      <c r="Z293" s="1225"/>
      <c r="AA293" s="1225"/>
      <c r="AB293" s="1059"/>
      <c r="AC293" s="1225"/>
      <c r="AD293" s="1225"/>
      <c r="AE293" s="1225"/>
      <c r="AF293" s="1219"/>
      <c r="AG293" s="1218"/>
      <c r="AH293" s="1219"/>
      <c r="AI293" s="1219"/>
      <c r="AJ293" s="1219"/>
      <c r="AK293" s="1219"/>
      <c r="AL293" s="1219"/>
      <c r="AM293" s="1219"/>
      <c r="AN293" s="1219"/>
      <c r="AO293" s="1219"/>
      <c r="AP293" s="1219"/>
      <c r="AQ293" s="1219"/>
      <c r="AR293" s="1219"/>
      <c r="AS293" s="1219"/>
      <c r="AT293" s="1219"/>
      <c r="AU293" s="1219"/>
      <c r="AV293" s="1219"/>
      <c r="AW293" s="1219"/>
      <c r="AX293" s="1219"/>
      <c r="AY293" s="1229"/>
    </row>
    <row r="294" spans="1:51" ht="21" customHeight="1" x14ac:dyDescent="0.25">
      <c r="A294" s="1189"/>
      <c r="B294" s="1018"/>
      <c r="C294" s="1018"/>
      <c r="D294" s="165" t="s">
        <v>345</v>
      </c>
      <c r="E294" s="1225"/>
      <c r="F294" s="1225"/>
      <c r="G294" s="1225"/>
      <c r="H294" s="1225"/>
      <c r="I294" s="1225"/>
      <c r="J294" s="1225"/>
      <c r="K294" s="1225"/>
      <c r="L294" s="1225"/>
      <c r="M294" s="1225"/>
      <c r="N294" s="1023"/>
      <c r="O294" s="1059"/>
      <c r="P294" s="1225"/>
      <c r="Q294" s="1225"/>
      <c r="R294" s="1225"/>
      <c r="S294" s="1023"/>
      <c r="T294" s="1023"/>
      <c r="U294" s="1225"/>
      <c r="V294" s="1225">
        <f t="shared" si="49"/>
        <v>0</v>
      </c>
      <c r="W294" s="1225"/>
      <c r="X294" s="1225"/>
      <c r="Y294" s="1316"/>
      <c r="Z294" s="1225"/>
      <c r="AA294" s="1023"/>
      <c r="AB294" s="1059"/>
      <c r="AC294" s="1225"/>
      <c r="AD294" s="1225"/>
      <c r="AE294" s="1225"/>
      <c r="AF294" s="1219"/>
      <c r="AG294" s="1218"/>
      <c r="AH294" s="1219"/>
      <c r="AI294" s="1219"/>
      <c r="AJ294" s="1219"/>
      <c r="AK294" s="1219"/>
      <c r="AL294" s="1219"/>
      <c r="AM294" s="1219"/>
      <c r="AN294" s="1219"/>
      <c r="AO294" s="1219"/>
      <c r="AP294" s="1219"/>
      <c r="AQ294" s="1219"/>
      <c r="AR294" s="1219"/>
      <c r="AS294" s="1219"/>
      <c r="AT294" s="1219"/>
      <c r="AU294" s="1219"/>
      <c r="AV294" s="1219"/>
      <c r="AW294" s="1219"/>
      <c r="AX294" s="1219"/>
      <c r="AY294" s="1229"/>
    </row>
    <row r="295" spans="1:51" ht="21" customHeight="1" x14ac:dyDescent="0.25">
      <c r="A295" s="1189"/>
      <c r="B295" s="1018"/>
      <c r="C295" s="1018"/>
      <c r="D295" s="164" t="s">
        <v>346</v>
      </c>
      <c r="E295" s="1225"/>
      <c r="F295" s="1225"/>
      <c r="G295" s="1225"/>
      <c r="H295" s="1225"/>
      <c r="I295" s="1225"/>
      <c r="J295" s="1225"/>
      <c r="K295" s="1225"/>
      <c r="L295" s="1225"/>
      <c r="M295" s="1225"/>
      <c r="N295" s="1023"/>
      <c r="O295" s="1059"/>
      <c r="P295" s="1225"/>
      <c r="Q295" s="1225"/>
      <c r="R295" s="1225"/>
      <c r="S295" s="1023"/>
      <c r="T295" s="1225"/>
      <c r="U295" s="1225"/>
      <c r="V295" s="1225">
        <f t="shared" si="49"/>
        <v>0</v>
      </c>
      <c r="W295" s="1225"/>
      <c r="X295" s="1225"/>
      <c r="Y295" s="1316"/>
      <c r="Z295" s="1225"/>
      <c r="AA295" s="1023"/>
      <c r="AB295" s="1059"/>
      <c r="AC295" s="1225"/>
      <c r="AD295" s="1225"/>
      <c r="AE295" s="1225"/>
      <c r="AF295" s="1219"/>
      <c r="AG295" s="1218"/>
      <c r="AH295" s="1219"/>
      <c r="AI295" s="1219"/>
      <c r="AJ295" s="1219"/>
      <c r="AK295" s="1219"/>
      <c r="AL295" s="1219"/>
      <c r="AM295" s="1219"/>
      <c r="AN295" s="1219"/>
      <c r="AO295" s="1219"/>
      <c r="AP295" s="1219"/>
      <c r="AQ295" s="1219"/>
      <c r="AR295" s="1219"/>
      <c r="AS295" s="1219"/>
      <c r="AT295" s="1219"/>
      <c r="AU295" s="1219"/>
      <c r="AV295" s="1219"/>
      <c r="AW295" s="1219"/>
      <c r="AX295" s="1219"/>
      <c r="AY295" s="1229"/>
    </row>
    <row r="296" spans="1:51" ht="21" customHeight="1" x14ac:dyDescent="0.25">
      <c r="A296" s="1189"/>
      <c r="B296" s="1018"/>
      <c r="C296" s="1018"/>
      <c r="D296" s="165" t="s">
        <v>347</v>
      </c>
      <c r="E296" s="1225"/>
      <c r="F296" s="1225"/>
      <c r="G296" s="1225"/>
      <c r="H296" s="1225"/>
      <c r="I296" s="1225"/>
      <c r="J296" s="1225"/>
      <c r="K296" s="1225"/>
      <c r="L296" s="1225"/>
      <c r="M296" s="1225"/>
      <c r="N296" s="1023"/>
      <c r="O296" s="1059"/>
      <c r="P296" s="1225"/>
      <c r="Q296" s="1225"/>
      <c r="R296" s="1225"/>
      <c r="S296" s="1023"/>
      <c r="T296" s="1023"/>
      <c r="U296" s="1225"/>
      <c r="V296" s="1225">
        <f t="shared" si="49"/>
        <v>0</v>
      </c>
      <c r="W296" s="1225"/>
      <c r="X296" s="1225"/>
      <c r="Y296" s="1316"/>
      <c r="Z296" s="1225"/>
      <c r="AA296" s="1023"/>
      <c r="AB296" s="1059"/>
      <c r="AC296" s="1225"/>
      <c r="AD296" s="1225"/>
      <c r="AE296" s="1225"/>
      <c r="AF296" s="1219"/>
      <c r="AG296" s="1218"/>
      <c r="AH296" s="1219"/>
      <c r="AI296" s="1219"/>
      <c r="AJ296" s="1219"/>
      <c r="AK296" s="1219"/>
      <c r="AL296" s="1219"/>
      <c r="AM296" s="1219"/>
      <c r="AN296" s="1219"/>
      <c r="AO296" s="1219"/>
      <c r="AP296" s="1219"/>
      <c r="AQ296" s="1219"/>
      <c r="AR296" s="1219"/>
      <c r="AS296" s="1219"/>
      <c r="AT296" s="1219"/>
      <c r="AU296" s="1219"/>
      <c r="AV296" s="1219"/>
      <c r="AW296" s="1219"/>
      <c r="AX296" s="1219"/>
      <c r="AY296" s="1229"/>
    </row>
    <row r="297" spans="1:51" ht="21" customHeight="1" x14ac:dyDescent="0.25">
      <c r="A297" s="1189"/>
      <c r="B297" s="1018"/>
      <c r="C297" s="1048"/>
      <c r="D297" s="164" t="s">
        <v>348</v>
      </c>
      <c r="E297" s="1225"/>
      <c r="F297" s="1225"/>
      <c r="G297" s="1225"/>
      <c r="H297" s="1225"/>
      <c r="I297" s="1225"/>
      <c r="J297" s="1225"/>
      <c r="K297" s="1225"/>
      <c r="L297" s="1225"/>
      <c r="M297" s="1225"/>
      <c r="N297" s="1225"/>
      <c r="O297" s="1059"/>
      <c r="P297" s="1225"/>
      <c r="Q297" s="1225"/>
      <c r="R297" s="1225"/>
      <c r="S297" s="1023"/>
      <c r="T297" s="1023"/>
      <c r="U297" s="1225"/>
      <c r="V297" s="1225">
        <f t="shared" si="49"/>
        <v>0</v>
      </c>
      <c r="W297" s="1225"/>
      <c r="X297" s="1225"/>
      <c r="Y297" s="1316"/>
      <c r="Z297" s="1225"/>
      <c r="AA297" s="1225"/>
      <c r="AB297" s="1059"/>
      <c r="AC297" s="1225"/>
      <c r="AD297" s="1225"/>
      <c r="AE297" s="1225"/>
      <c r="AF297" s="1221"/>
      <c r="AG297" s="1220"/>
      <c r="AH297" s="1221"/>
      <c r="AI297" s="1221"/>
      <c r="AJ297" s="1221"/>
      <c r="AK297" s="1221"/>
      <c r="AL297" s="1221"/>
      <c r="AM297" s="1221"/>
      <c r="AN297" s="1221"/>
      <c r="AO297" s="1221"/>
      <c r="AP297" s="1221"/>
      <c r="AQ297" s="1221"/>
      <c r="AR297" s="1221"/>
      <c r="AS297" s="1221"/>
      <c r="AT297" s="1221"/>
      <c r="AU297" s="1221"/>
      <c r="AV297" s="1221"/>
      <c r="AW297" s="1221"/>
      <c r="AX297" s="1221"/>
      <c r="AY297" s="1229"/>
    </row>
    <row r="298" spans="1:51" ht="21" customHeight="1" x14ac:dyDescent="0.25">
      <c r="A298" s="1189"/>
      <c r="B298" s="1018"/>
      <c r="C298" s="1217" t="s">
        <v>565</v>
      </c>
      <c r="D298" s="161" t="s">
        <v>340</v>
      </c>
      <c r="E298" s="1225"/>
      <c r="F298" s="1225"/>
      <c r="G298" s="1225"/>
      <c r="H298" s="1225"/>
      <c r="I298" s="1225"/>
      <c r="J298" s="1225"/>
      <c r="K298" s="1225"/>
      <c r="L298" s="1225"/>
      <c r="M298" s="1225"/>
      <c r="N298" s="1023"/>
      <c r="O298" s="1059"/>
      <c r="P298" s="1225"/>
      <c r="Q298" s="1225"/>
      <c r="R298" s="1225"/>
      <c r="S298" s="1023"/>
      <c r="T298" s="1023"/>
      <c r="U298" s="1225"/>
      <c r="V298" s="1225">
        <f t="shared" si="49"/>
        <v>0</v>
      </c>
      <c r="W298" s="1225"/>
      <c r="X298" s="1225"/>
      <c r="Y298" s="1316"/>
      <c r="Z298" s="1225"/>
      <c r="AA298" s="1023"/>
      <c r="AB298" s="1059"/>
      <c r="AC298" s="1225"/>
      <c r="AD298" s="1225"/>
      <c r="AE298" s="1225"/>
      <c r="AF298" s="1315"/>
      <c r="AG298" s="1298" t="s">
        <v>566</v>
      </c>
      <c r="AH298" s="1299" t="s">
        <v>567</v>
      </c>
      <c r="AI298" s="1299" t="s">
        <v>568</v>
      </c>
      <c r="AJ298" s="1300" t="s">
        <v>1477</v>
      </c>
      <c r="AK298" s="1299" t="s">
        <v>457</v>
      </c>
      <c r="AL298" s="1299" t="s">
        <v>178</v>
      </c>
      <c r="AM298" s="1299" t="s">
        <v>551</v>
      </c>
      <c r="AN298" s="1301">
        <v>578855</v>
      </c>
      <c r="AO298" s="1301">
        <v>266128</v>
      </c>
      <c r="AP298" s="1301">
        <v>312727</v>
      </c>
      <c r="AQ298" s="1011" t="s">
        <v>459</v>
      </c>
      <c r="AR298" s="1011" t="s">
        <v>459</v>
      </c>
      <c r="AS298" s="1011" t="s">
        <v>459</v>
      </c>
      <c r="AT298" s="1011" t="s">
        <v>459</v>
      </c>
      <c r="AU298" s="1302" t="s">
        <v>459</v>
      </c>
      <c r="AV298" s="1302" t="s">
        <v>459</v>
      </c>
      <c r="AW298" s="1302" t="s">
        <v>459</v>
      </c>
      <c r="AX298" s="1301">
        <v>578855</v>
      </c>
      <c r="AY298" s="1183"/>
    </row>
    <row r="299" spans="1:51" ht="21" customHeight="1" x14ac:dyDescent="0.25">
      <c r="A299" s="1189"/>
      <c r="B299" s="1018"/>
      <c r="C299" s="1018"/>
      <c r="D299" s="164" t="s">
        <v>343</v>
      </c>
      <c r="E299" s="1225"/>
      <c r="F299" s="1225"/>
      <c r="G299" s="1225"/>
      <c r="H299" s="1225"/>
      <c r="I299" s="1225"/>
      <c r="J299" s="1225"/>
      <c r="K299" s="1225"/>
      <c r="L299" s="1225"/>
      <c r="M299" s="1225"/>
      <c r="N299" s="1225"/>
      <c r="O299" s="1225"/>
      <c r="P299" s="1225"/>
      <c r="Q299" s="1225"/>
      <c r="R299" s="1225"/>
      <c r="S299" s="1023"/>
      <c r="T299" s="1023"/>
      <c r="U299" s="1225"/>
      <c r="V299" s="1225">
        <f t="shared" si="49"/>
        <v>0</v>
      </c>
      <c r="W299" s="1225"/>
      <c r="X299" s="1225"/>
      <c r="Y299" s="1316"/>
      <c r="Z299" s="1225"/>
      <c r="AA299" s="1225"/>
      <c r="AB299" s="1059"/>
      <c r="AC299" s="1225"/>
      <c r="AD299" s="1225"/>
      <c r="AE299" s="1225"/>
      <c r="AF299" s="1219"/>
      <c r="AG299" s="1218"/>
      <c r="AH299" s="1219"/>
      <c r="AI299" s="1219"/>
      <c r="AJ299" s="1219"/>
      <c r="AK299" s="1219"/>
      <c r="AL299" s="1219"/>
      <c r="AM299" s="1219"/>
      <c r="AN299" s="1219"/>
      <c r="AO299" s="1219"/>
      <c r="AP299" s="1219"/>
      <c r="AQ299" s="1219"/>
      <c r="AR299" s="1219"/>
      <c r="AS299" s="1219"/>
      <c r="AT299" s="1219"/>
      <c r="AU299" s="1219"/>
      <c r="AV299" s="1219"/>
      <c r="AW299" s="1219"/>
      <c r="AX299" s="1219"/>
      <c r="AY299" s="1183"/>
    </row>
    <row r="300" spans="1:51" ht="21" customHeight="1" x14ac:dyDescent="0.25">
      <c r="A300" s="1189"/>
      <c r="B300" s="1018"/>
      <c r="C300" s="1018"/>
      <c r="D300" s="165" t="s">
        <v>345</v>
      </c>
      <c r="E300" s="1225"/>
      <c r="F300" s="1225"/>
      <c r="G300" s="1225"/>
      <c r="H300" s="1225"/>
      <c r="I300" s="1225"/>
      <c r="J300" s="1225"/>
      <c r="K300" s="1225"/>
      <c r="L300" s="1225"/>
      <c r="M300" s="1225"/>
      <c r="N300" s="1023"/>
      <c r="O300" s="1059"/>
      <c r="P300" s="1225"/>
      <c r="Q300" s="1225"/>
      <c r="R300" s="1225"/>
      <c r="S300" s="1023"/>
      <c r="T300" s="1023"/>
      <c r="U300" s="1225"/>
      <c r="V300" s="1225">
        <f t="shared" si="49"/>
        <v>0</v>
      </c>
      <c r="W300" s="1225"/>
      <c r="X300" s="1225"/>
      <c r="Y300" s="1316"/>
      <c r="Z300" s="1225"/>
      <c r="AA300" s="1023"/>
      <c r="AB300" s="1059"/>
      <c r="AC300" s="1225"/>
      <c r="AD300" s="1225"/>
      <c r="AE300" s="1225"/>
      <c r="AF300" s="1219"/>
      <c r="AG300" s="1218"/>
      <c r="AH300" s="1219"/>
      <c r="AI300" s="1219"/>
      <c r="AJ300" s="1219"/>
      <c r="AK300" s="1219"/>
      <c r="AL300" s="1219"/>
      <c r="AM300" s="1219"/>
      <c r="AN300" s="1219"/>
      <c r="AO300" s="1219"/>
      <c r="AP300" s="1219"/>
      <c r="AQ300" s="1219"/>
      <c r="AR300" s="1219"/>
      <c r="AS300" s="1219"/>
      <c r="AT300" s="1219"/>
      <c r="AU300" s="1219"/>
      <c r="AV300" s="1219"/>
      <c r="AW300" s="1219"/>
      <c r="AX300" s="1219"/>
      <c r="AY300" s="1183"/>
    </row>
    <row r="301" spans="1:51" ht="21" customHeight="1" x14ac:dyDescent="0.25">
      <c r="A301" s="1189"/>
      <c r="B301" s="1018"/>
      <c r="C301" s="1018"/>
      <c r="D301" s="164" t="s">
        <v>346</v>
      </c>
      <c r="E301" s="1225"/>
      <c r="F301" s="1225"/>
      <c r="G301" s="1225"/>
      <c r="H301" s="1225"/>
      <c r="I301" s="1225"/>
      <c r="J301" s="1059"/>
      <c r="K301" s="1059"/>
      <c r="L301" s="1059"/>
      <c r="M301" s="1059"/>
      <c r="N301" s="1059"/>
      <c r="O301" s="1059"/>
      <c r="P301" s="1059"/>
      <c r="Q301" s="1225"/>
      <c r="R301" s="1225"/>
      <c r="S301" s="1023"/>
      <c r="T301" s="1225"/>
      <c r="U301" s="1225"/>
      <c r="V301" s="1225">
        <f t="shared" si="49"/>
        <v>0</v>
      </c>
      <c r="W301" s="1225"/>
      <c r="X301" s="1225"/>
      <c r="Y301" s="1316"/>
      <c r="Z301" s="1225"/>
      <c r="AA301" s="1059"/>
      <c r="AB301" s="1059"/>
      <c r="AC301" s="1225"/>
      <c r="AD301" s="1225"/>
      <c r="AE301" s="1225"/>
      <c r="AF301" s="1219"/>
      <c r="AG301" s="1218"/>
      <c r="AH301" s="1219"/>
      <c r="AI301" s="1219"/>
      <c r="AJ301" s="1219"/>
      <c r="AK301" s="1219"/>
      <c r="AL301" s="1219"/>
      <c r="AM301" s="1219"/>
      <c r="AN301" s="1219"/>
      <c r="AO301" s="1219"/>
      <c r="AP301" s="1219"/>
      <c r="AQ301" s="1219"/>
      <c r="AR301" s="1219"/>
      <c r="AS301" s="1219"/>
      <c r="AT301" s="1219"/>
      <c r="AU301" s="1219"/>
      <c r="AV301" s="1219"/>
      <c r="AW301" s="1219"/>
      <c r="AX301" s="1219"/>
      <c r="AY301" s="1183"/>
    </row>
    <row r="302" spans="1:51" ht="21" customHeight="1" x14ac:dyDescent="0.25">
      <c r="A302" s="1189"/>
      <c r="B302" s="1018"/>
      <c r="C302" s="1018"/>
      <c r="D302" s="165" t="s">
        <v>347</v>
      </c>
      <c r="E302" s="1225"/>
      <c r="F302" s="1225"/>
      <c r="G302" s="1225"/>
      <c r="H302" s="1225"/>
      <c r="I302" s="1225"/>
      <c r="J302" s="1225"/>
      <c r="K302" s="1225"/>
      <c r="L302" s="1225"/>
      <c r="M302" s="1225"/>
      <c r="N302" s="1225"/>
      <c r="O302" s="1225"/>
      <c r="P302" s="1225"/>
      <c r="Q302" s="1225"/>
      <c r="R302" s="1225"/>
      <c r="S302" s="1023"/>
      <c r="T302" s="1023"/>
      <c r="U302" s="1225"/>
      <c r="V302" s="1225">
        <f t="shared" si="49"/>
        <v>0</v>
      </c>
      <c r="W302" s="1225"/>
      <c r="X302" s="1225"/>
      <c r="Y302" s="1316"/>
      <c r="Z302" s="1225"/>
      <c r="AA302" s="1225"/>
      <c r="AB302" s="1059"/>
      <c r="AC302" s="1225"/>
      <c r="AD302" s="1225"/>
      <c r="AE302" s="1225"/>
      <c r="AF302" s="1219"/>
      <c r="AG302" s="1218"/>
      <c r="AH302" s="1219"/>
      <c r="AI302" s="1219"/>
      <c r="AJ302" s="1219"/>
      <c r="AK302" s="1219"/>
      <c r="AL302" s="1219"/>
      <c r="AM302" s="1219"/>
      <c r="AN302" s="1219"/>
      <c r="AO302" s="1219"/>
      <c r="AP302" s="1219"/>
      <c r="AQ302" s="1219"/>
      <c r="AR302" s="1219"/>
      <c r="AS302" s="1219"/>
      <c r="AT302" s="1219"/>
      <c r="AU302" s="1219"/>
      <c r="AV302" s="1219"/>
      <c r="AW302" s="1219"/>
      <c r="AX302" s="1219"/>
      <c r="AY302" s="1183"/>
    </row>
    <row r="303" spans="1:51" ht="21" customHeight="1" x14ac:dyDescent="0.25">
      <c r="A303" s="1189"/>
      <c r="B303" s="1018"/>
      <c r="C303" s="1048"/>
      <c r="D303" s="164" t="s">
        <v>348</v>
      </c>
      <c r="E303" s="1225"/>
      <c r="F303" s="1225"/>
      <c r="G303" s="1225"/>
      <c r="H303" s="1225"/>
      <c r="I303" s="1225"/>
      <c r="J303" s="1225"/>
      <c r="K303" s="1225"/>
      <c r="L303" s="1225"/>
      <c r="M303" s="1225"/>
      <c r="N303" s="1225"/>
      <c r="O303" s="1225"/>
      <c r="P303" s="1225"/>
      <c r="Q303" s="1225"/>
      <c r="R303" s="1225"/>
      <c r="S303" s="1023"/>
      <c r="T303" s="1023"/>
      <c r="U303" s="1225"/>
      <c r="V303" s="1225">
        <f t="shared" si="49"/>
        <v>0</v>
      </c>
      <c r="W303" s="1225"/>
      <c r="X303" s="1225"/>
      <c r="Y303" s="1316"/>
      <c r="Z303" s="1225"/>
      <c r="AA303" s="1225"/>
      <c r="AB303" s="1059"/>
      <c r="AC303" s="1225"/>
      <c r="AD303" s="1225"/>
      <c r="AE303" s="1225"/>
      <c r="AF303" s="1221"/>
      <c r="AG303" s="1220"/>
      <c r="AH303" s="1221"/>
      <c r="AI303" s="1221"/>
      <c r="AJ303" s="1221"/>
      <c r="AK303" s="1221"/>
      <c r="AL303" s="1221"/>
      <c r="AM303" s="1221"/>
      <c r="AN303" s="1221"/>
      <c r="AO303" s="1221"/>
      <c r="AP303" s="1221"/>
      <c r="AQ303" s="1221"/>
      <c r="AR303" s="1221"/>
      <c r="AS303" s="1221"/>
      <c r="AT303" s="1221"/>
      <c r="AU303" s="1221"/>
      <c r="AV303" s="1221"/>
      <c r="AW303" s="1221"/>
      <c r="AX303" s="1221"/>
      <c r="AY303" s="1183"/>
    </row>
    <row r="304" spans="1:51" ht="21" customHeight="1" x14ac:dyDescent="0.25">
      <c r="A304" s="1189"/>
      <c r="B304" s="1018"/>
      <c r="C304" s="1217" t="s">
        <v>569</v>
      </c>
      <c r="D304" s="161" t="s">
        <v>340</v>
      </c>
      <c r="E304" s="1225"/>
      <c r="F304" s="1225"/>
      <c r="G304" s="1225"/>
      <c r="H304" s="1225"/>
      <c r="I304" s="1225"/>
      <c r="J304" s="1225"/>
      <c r="K304" s="1225"/>
      <c r="L304" s="1225"/>
      <c r="M304" s="1225"/>
      <c r="N304" s="1023"/>
      <c r="O304" s="1059"/>
      <c r="P304" s="1225"/>
      <c r="Q304" s="1225"/>
      <c r="R304" s="1225"/>
      <c r="S304" s="1023"/>
      <c r="T304" s="1023"/>
      <c r="U304" s="1225"/>
      <c r="V304" s="1225">
        <f t="shared" si="49"/>
        <v>0</v>
      </c>
      <c r="W304" s="1225"/>
      <c r="X304" s="1225"/>
      <c r="Y304" s="1316"/>
      <c r="Z304" s="1225"/>
      <c r="AA304" s="1023"/>
      <c r="AB304" s="1059"/>
      <c r="AC304" s="1225"/>
      <c r="AD304" s="1225"/>
      <c r="AE304" s="1225"/>
      <c r="AF304" s="1315"/>
      <c r="AG304" s="1298" t="s">
        <v>566</v>
      </c>
      <c r="AH304" s="1299" t="s">
        <v>567</v>
      </c>
      <c r="AI304" s="1299" t="s">
        <v>570</v>
      </c>
      <c r="AJ304" s="1300" t="s">
        <v>1477</v>
      </c>
      <c r="AK304" s="1299" t="s">
        <v>457</v>
      </c>
      <c r="AL304" s="1299" t="s">
        <v>178</v>
      </c>
      <c r="AM304" s="1299" t="s">
        <v>551</v>
      </c>
      <c r="AN304" s="1301">
        <v>578855</v>
      </c>
      <c r="AO304" s="1301">
        <v>266128</v>
      </c>
      <c r="AP304" s="1301">
        <v>312727</v>
      </c>
      <c r="AQ304" s="1011" t="s">
        <v>459</v>
      </c>
      <c r="AR304" s="1011" t="s">
        <v>459</v>
      </c>
      <c r="AS304" s="1011" t="s">
        <v>459</v>
      </c>
      <c r="AT304" s="1011" t="s">
        <v>459</v>
      </c>
      <c r="AU304" s="1302" t="s">
        <v>459</v>
      </c>
      <c r="AV304" s="1302" t="s">
        <v>459</v>
      </c>
      <c r="AW304" s="1302" t="s">
        <v>459</v>
      </c>
      <c r="AX304" s="1301">
        <v>578855</v>
      </c>
      <c r="AY304" s="1183"/>
    </row>
    <row r="305" spans="1:51" ht="21" customHeight="1" x14ac:dyDescent="0.25">
      <c r="A305" s="1189"/>
      <c r="B305" s="1018"/>
      <c r="C305" s="1018"/>
      <c r="D305" s="164" t="s">
        <v>343</v>
      </c>
      <c r="E305" s="1225"/>
      <c r="F305" s="1225"/>
      <c r="G305" s="1225"/>
      <c r="H305" s="1225"/>
      <c r="I305" s="1225"/>
      <c r="J305" s="1225"/>
      <c r="K305" s="1225"/>
      <c r="L305" s="1225"/>
      <c r="M305" s="1225"/>
      <c r="N305" s="1225"/>
      <c r="O305" s="1225"/>
      <c r="P305" s="1225"/>
      <c r="Q305" s="1225"/>
      <c r="R305" s="1225"/>
      <c r="S305" s="1023"/>
      <c r="T305" s="1023"/>
      <c r="U305" s="1225"/>
      <c r="V305" s="1225">
        <f t="shared" si="49"/>
        <v>0</v>
      </c>
      <c r="W305" s="1225"/>
      <c r="X305" s="1225"/>
      <c r="Y305" s="1316"/>
      <c r="Z305" s="1225"/>
      <c r="AA305" s="1225"/>
      <c r="AB305" s="1059"/>
      <c r="AC305" s="1225"/>
      <c r="AD305" s="1225"/>
      <c r="AE305" s="1225"/>
      <c r="AF305" s="1219"/>
      <c r="AG305" s="1218"/>
      <c r="AH305" s="1219"/>
      <c r="AI305" s="1219"/>
      <c r="AJ305" s="1219"/>
      <c r="AK305" s="1219"/>
      <c r="AL305" s="1219"/>
      <c r="AM305" s="1219"/>
      <c r="AN305" s="1219"/>
      <c r="AO305" s="1219"/>
      <c r="AP305" s="1219"/>
      <c r="AQ305" s="1219"/>
      <c r="AR305" s="1219"/>
      <c r="AS305" s="1219"/>
      <c r="AT305" s="1219"/>
      <c r="AU305" s="1219"/>
      <c r="AV305" s="1219"/>
      <c r="AW305" s="1219"/>
      <c r="AX305" s="1219"/>
      <c r="AY305" s="1183"/>
    </row>
    <row r="306" spans="1:51" ht="21" customHeight="1" x14ac:dyDescent="0.25">
      <c r="A306" s="1189"/>
      <c r="B306" s="1018"/>
      <c r="C306" s="1018"/>
      <c r="D306" s="165" t="s">
        <v>345</v>
      </c>
      <c r="E306" s="1225"/>
      <c r="F306" s="1225"/>
      <c r="G306" s="1225"/>
      <c r="H306" s="1225"/>
      <c r="I306" s="1225"/>
      <c r="J306" s="1225"/>
      <c r="K306" s="1225"/>
      <c r="L306" s="1225"/>
      <c r="M306" s="1225"/>
      <c r="N306" s="1023"/>
      <c r="O306" s="1059"/>
      <c r="P306" s="1225"/>
      <c r="Q306" s="1225"/>
      <c r="R306" s="1225"/>
      <c r="S306" s="1023"/>
      <c r="T306" s="1023"/>
      <c r="U306" s="1225"/>
      <c r="V306" s="1225">
        <f t="shared" si="49"/>
        <v>0</v>
      </c>
      <c r="W306" s="1225"/>
      <c r="X306" s="1225"/>
      <c r="Y306" s="1316"/>
      <c r="Z306" s="1225"/>
      <c r="AA306" s="1023"/>
      <c r="AB306" s="1059"/>
      <c r="AC306" s="1225"/>
      <c r="AD306" s="1225"/>
      <c r="AE306" s="1225"/>
      <c r="AF306" s="1219"/>
      <c r="AG306" s="1218"/>
      <c r="AH306" s="1219"/>
      <c r="AI306" s="1219"/>
      <c r="AJ306" s="1219"/>
      <c r="AK306" s="1219"/>
      <c r="AL306" s="1219"/>
      <c r="AM306" s="1219"/>
      <c r="AN306" s="1219"/>
      <c r="AO306" s="1219"/>
      <c r="AP306" s="1219"/>
      <c r="AQ306" s="1219"/>
      <c r="AR306" s="1219"/>
      <c r="AS306" s="1219"/>
      <c r="AT306" s="1219"/>
      <c r="AU306" s="1219"/>
      <c r="AV306" s="1219"/>
      <c r="AW306" s="1219"/>
      <c r="AX306" s="1219"/>
      <c r="AY306" s="1183"/>
    </row>
    <row r="307" spans="1:51" ht="21" customHeight="1" x14ac:dyDescent="0.25">
      <c r="A307" s="1189"/>
      <c r="B307" s="1018"/>
      <c r="C307" s="1018"/>
      <c r="D307" s="164" t="s">
        <v>346</v>
      </c>
      <c r="E307" s="1225"/>
      <c r="F307" s="1225"/>
      <c r="G307" s="1225"/>
      <c r="H307" s="1225"/>
      <c r="I307" s="1225"/>
      <c r="J307" s="1059"/>
      <c r="K307" s="1059"/>
      <c r="L307" s="1059"/>
      <c r="M307" s="1059"/>
      <c r="N307" s="1059"/>
      <c r="O307" s="1059"/>
      <c r="P307" s="1059"/>
      <c r="Q307" s="1225"/>
      <c r="R307" s="1225"/>
      <c r="S307" s="1023"/>
      <c r="T307" s="1225"/>
      <c r="U307" s="1225"/>
      <c r="V307" s="1225">
        <f t="shared" si="49"/>
        <v>0</v>
      </c>
      <c r="W307" s="1225"/>
      <c r="X307" s="1225"/>
      <c r="Y307" s="1316"/>
      <c r="Z307" s="1225"/>
      <c r="AA307" s="1059"/>
      <c r="AB307" s="1059"/>
      <c r="AC307" s="1225"/>
      <c r="AD307" s="1225"/>
      <c r="AE307" s="1225"/>
      <c r="AF307" s="1219"/>
      <c r="AG307" s="1218"/>
      <c r="AH307" s="1219"/>
      <c r="AI307" s="1219"/>
      <c r="AJ307" s="1219"/>
      <c r="AK307" s="1219"/>
      <c r="AL307" s="1219"/>
      <c r="AM307" s="1219"/>
      <c r="AN307" s="1219"/>
      <c r="AO307" s="1219"/>
      <c r="AP307" s="1219"/>
      <c r="AQ307" s="1219"/>
      <c r="AR307" s="1219"/>
      <c r="AS307" s="1219"/>
      <c r="AT307" s="1219"/>
      <c r="AU307" s="1219"/>
      <c r="AV307" s="1219"/>
      <c r="AW307" s="1219"/>
      <c r="AX307" s="1219"/>
      <c r="AY307" s="1183"/>
    </row>
    <row r="308" spans="1:51" ht="21" customHeight="1" x14ac:dyDescent="0.25">
      <c r="A308" s="1189"/>
      <c r="B308" s="1018"/>
      <c r="C308" s="1018"/>
      <c r="D308" s="165" t="s">
        <v>347</v>
      </c>
      <c r="E308" s="1225"/>
      <c r="F308" s="1225"/>
      <c r="G308" s="1225"/>
      <c r="H308" s="1225"/>
      <c r="I308" s="1225"/>
      <c r="J308" s="1225"/>
      <c r="K308" s="1225"/>
      <c r="L308" s="1225"/>
      <c r="M308" s="1225"/>
      <c r="N308" s="1225"/>
      <c r="O308" s="1225"/>
      <c r="P308" s="1225"/>
      <c r="Q308" s="1225"/>
      <c r="R308" s="1225"/>
      <c r="S308" s="1023"/>
      <c r="T308" s="1023"/>
      <c r="U308" s="1225"/>
      <c r="V308" s="1225">
        <f t="shared" si="49"/>
        <v>0</v>
      </c>
      <c r="W308" s="1225"/>
      <c r="X308" s="1225"/>
      <c r="Y308" s="1316"/>
      <c r="Z308" s="1225"/>
      <c r="AA308" s="1225"/>
      <c r="AB308" s="1059"/>
      <c r="AC308" s="1225"/>
      <c r="AD308" s="1225"/>
      <c r="AE308" s="1225"/>
      <c r="AF308" s="1219"/>
      <c r="AG308" s="1218"/>
      <c r="AH308" s="1219"/>
      <c r="AI308" s="1219"/>
      <c r="AJ308" s="1219"/>
      <c r="AK308" s="1219"/>
      <c r="AL308" s="1219"/>
      <c r="AM308" s="1219"/>
      <c r="AN308" s="1219"/>
      <c r="AO308" s="1219"/>
      <c r="AP308" s="1219"/>
      <c r="AQ308" s="1219"/>
      <c r="AR308" s="1219"/>
      <c r="AS308" s="1219"/>
      <c r="AT308" s="1219"/>
      <c r="AU308" s="1219"/>
      <c r="AV308" s="1219"/>
      <c r="AW308" s="1219"/>
      <c r="AX308" s="1219"/>
      <c r="AY308" s="1183"/>
    </row>
    <row r="309" spans="1:51" ht="21" customHeight="1" x14ac:dyDescent="0.25">
      <c r="A309" s="1189"/>
      <c r="B309" s="1018"/>
      <c r="C309" s="1048"/>
      <c r="D309" s="164" t="s">
        <v>348</v>
      </c>
      <c r="E309" s="1225"/>
      <c r="F309" s="1225"/>
      <c r="G309" s="1225"/>
      <c r="H309" s="1225"/>
      <c r="I309" s="1225"/>
      <c r="J309" s="1225"/>
      <c r="K309" s="1225"/>
      <c r="L309" s="1225"/>
      <c r="M309" s="1225"/>
      <c r="N309" s="1225"/>
      <c r="O309" s="1225"/>
      <c r="P309" s="1225"/>
      <c r="Q309" s="1225"/>
      <c r="R309" s="1225"/>
      <c r="S309" s="1023"/>
      <c r="T309" s="1023"/>
      <c r="U309" s="1225"/>
      <c r="V309" s="1225">
        <f t="shared" si="49"/>
        <v>0</v>
      </c>
      <c r="W309" s="1225"/>
      <c r="X309" s="1225"/>
      <c r="Y309" s="1316"/>
      <c r="Z309" s="1225"/>
      <c r="AA309" s="1225"/>
      <c r="AB309" s="1059"/>
      <c r="AC309" s="1225"/>
      <c r="AD309" s="1225"/>
      <c r="AE309" s="1225"/>
      <c r="AF309" s="1221"/>
      <c r="AG309" s="1220"/>
      <c r="AH309" s="1221"/>
      <c r="AI309" s="1221"/>
      <c r="AJ309" s="1221"/>
      <c r="AK309" s="1221"/>
      <c r="AL309" s="1221"/>
      <c r="AM309" s="1221"/>
      <c r="AN309" s="1221"/>
      <c r="AO309" s="1221"/>
      <c r="AP309" s="1221"/>
      <c r="AQ309" s="1221"/>
      <c r="AR309" s="1221"/>
      <c r="AS309" s="1221"/>
      <c r="AT309" s="1221"/>
      <c r="AU309" s="1221"/>
      <c r="AV309" s="1221"/>
      <c r="AW309" s="1221"/>
      <c r="AX309" s="1221"/>
      <c r="AY309" s="1183"/>
    </row>
    <row r="310" spans="1:51" ht="21" customHeight="1" x14ac:dyDescent="0.25">
      <c r="A310" s="1189"/>
      <c r="B310" s="1018"/>
      <c r="C310" s="1217" t="s">
        <v>571</v>
      </c>
      <c r="D310" s="161" t="s">
        <v>340</v>
      </c>
      <c r="E310" s="1225"/>
      <c r="F310" s="1225"/>
      <c r="G310" s="1225"/>
      <c r="H310" s="1225"/>
      <c r="I310" s="1225"/>
      <c r="J310" s="1225"/>
      <c r="K310" s="1225"/>
      <c r="L310" s="1225"/>
      <c r="M310" s="1225"/>
      <c r="N310" s="1225"/>
      <c r="O310" s="1059"/>
      <c r="P310" s="1225"/>
      <c r="Q310" s="1225"/>
      <c r="R310" s="1225"/>
      <c r="S310" s="1023"/>
      <c r="T310" s="1023"/>
      <c r="U310" s="1225"/>
      <c r="V310" s="1225">
        <f t="shared" si="49"/>
        <v>0</v>
      </c>
      <c r="W310" s="1225"/>
      <c r="X310" s="1225"/>
      <c r="Y310" s="1316"/>
      <c r="Z310" s="1225"/>
      <c r="AA310" s="1225"/>
      <c r="AB310" s="1059"/>
      <c r="AC310" s="1225"/>
      <c r="AD310" s="1225"/>
      <c r="AE310" s="1225"/>
      <c r="AF310" s="1315"/>
      <c r="AG310" s="1298" t="s">
        <v>572</v>
      </c>
      <c r="AH310" s="1299" t="s">
        <v>573</v>
      </c>
      <c r="AI310" s="1299" t="s">
        <v>574</v>
      </c>
      <c r="AJ310" s="1300" t="s">
        <v>1477</v>
      </c>
      <c r="AK310" s="1299" t="s">
        <v>457</v>
      </c>
      <c r="AL310" s="1299" t="s">
        <v>178</v>
      </c>
      <c r="AM310" s="1299" t="s">
        <v>551</v>
      </c>
      <c r="AN310" s="1301">
        <v>107677</v>
      </c>
      <c r="AO310" s="1301">
        <v>53035</v>
      </c>
      <c r="AP310" s="1301">
        <v>54642</v>
      </c>
      <c r="AQ310" s="1011" t="s">
        <v>459</v>
      </c>
      <c r="AR310" s="1011" t="s">
        <v>459</v>
      </c>
      <c r="AS310" s="1011" t="s">
        <v>459</v>
      </c>
      <c r="AT310" s="1011" t="s">
        <v>459</v>
      </c>
      <c r="AU310" s="1302" t="s">
        <v>459</v>
      </c>
      <c r="AV310" s="1302" t="s">
        <v>459</v>
      </c>
      <c r="AW310" s="1302" t="s">
        <v>459</v>
      </c>
      <c r="AX310" s="1301">
        <v>107788</v>
      </c>
      <c r="AY310" s="1183"/>
    </row>
    <row r="311" spans="1:51" ht="21" customHeight="1" x14ac:dyDescent="0.25">
      <c r="A311" s="1189"/>
      <c r="B311" s="1018"/>
      <c r="C311" s="1018"/>
      <c r="D311" s="164" t="s">
        <v>343</v>
      </c>
      <c r="E311" s="1225"/>
      <c r="F311" s="1225"/>
      <c r="G311" s="1225"/>
      <c r="H311" s="1225"/>
      <c r="I311" s="1225"/>
      <c r="J311" s="1225"/>
      <c r="K311" s="1225"/>
      <c r="L311" s="1225"/>
      <c r="M311" s="1225"/>
      <c r="N311" s="1225"/>
      <c r="O311" s="1225"/>
      <c r="P311" s="1225"/>
      <c r="Q311" s="1225"/>
      <c r="R311" s="1225"/>
      <c r="S311" s="1023"/>
      <c r="T311" s="1023"/>
      <c r="U311" s="1225"/>
      <c r="V311" s="1225">
        <f t="shared" si="49"/>
        <v>0</v>
      </c>
      <c r="W311" s="1225"/>
      <c r="X311" s="1225"/>
      <c r="Y311" s="1316"/>
      <c r="Z311" s="1225"/>
      <c r="AA311" s="1225"/>
      <c r="AB311" s="1059"/>
      <c r="AC311" s="1225"/>
      <c r="AD311" s="1225"/>
      <c r="AE311" s="1225"/>
      <c r="AF311" s="1219"/>
      <c r="AG311" s="1218"/>
      <c r="AH311" s="1219"/>
      <c r="AI311" s="1219"/>
      <c r="AJ311" s="1219"/>
      <c r="AK311" s="1219"/>
      <c r="AL311" s="1219"/>
      <c r="AM311" s="1219"/>
      <c r="AN311" s="1219"/>
      <c r="AO311" s="1219"/>
      <c r="AP311" s="1219"/>
      <c r="AQ311" s="1219"/>
      <c r="AR311" s="1219"/>
      <c r="AS311" s="1219"/>
      <c r="AT311" s="1219"/>
      <c r="AU311" s="1219"/>
      <c r="AV311" s="1219"/>
      <c r="AW311" s="1219"/>
      <c r="AX311" s="1219"/>
      <c r="AY311" s="1183"/>
    </row>
    <row r="312" spans="1:51" ht="21" customHeight="1" x14ac:dyDescent="0.25">
      <c r="A312" s="1189"/>
      <c r="B312" s="1018"/>
      <c r="C312" s="1018"/>
      <c r="D312" s="165" t="s">
        <v>345</v>
      </c>
      <c r="E312" s="1225"/>
      <c r="F312" s="1225"/>
      <c r="G312" s="1225"/>
      <c r="H312" s="1225"/>
      <c r="I312" s="1225"/>
      <c r="J312" s="1225"/>
      <c r="K312" s="1225"/>
      <c r="L312" s="1225"/>
      <c r="M312" s="1225"/>
      <c r="N312" s="1225"/>
      <c r="O312" s="1059"/>
      <c r="P312" s="1225"/>
      <c r="Q312" s="1225"/>
      <c r="R312" s="1225"/>
      <c r="S312" s="1023"/>
      <c r="T312" s="1023"/>
      <c r="U312" s="1225"/>
      <c r="V312" s="1225">
        <f t="shared" si="49"/>
        <v>0</v>
      </c>
      <c r="W312" s="1225"/>
      <c r="X312" s="1225"/>
      <c r="Y312" s="1316"/>
      <c r="Z312" s="1225"/>
      <c r="AA312" s="1225"/>
      <c r="AB312" s="1059"/>
      <c r="AC312" s="1225"/>
      <c r="AD312" s="1225"/>
      <c r="AE312" s="1225"/>
      <c r="AF312" s="1219"/>
      <c r="AG312" s="1218"/>
      <c r="AH312" s="1219"/>
      <c r="AI312" s="1219"/>
      <c r="AJ312" s="1219"/>
      <c r="AK312" s="1219"/>
      <c r="AL312" s="1219"/>
      <c r="AM312" s="1219"/>
      <c r="AN312" s="1219"/>
      <c r="AO312" s="1219"/>
      <c r="AP312" s="1219"/>
      <c r="AQ312" s="1219"/>
      <c r="AR312" s="1219"/>
      <c r="AS312" s="1219"/>
      <c r="AT312" s="1219"/>
      <c r="AU312" s="1219"/>
      <c r="AV312" s="1219"/>
      <c r="AW312" s="1219"/>
      <c r="AX312" s="1219"/>
      <c r="AY312" s="1183"/>
    </row>
    <row r="313" spans="1:51" ht="21" customHeight="1" x14ac:dyDescent="0.25">
      <c r="A313" s="1189"/>
      <c r="B313" s="1018"/>
      <c r="C313" s="1018"/>
      <c r="D313" s="164" t="s">
        <v>346</v>
      </c>
      <c r="E313" s="1225"/>
      <c r="F313" s="1225"/>
      <c r="G313" s="1225"/>
      <c r="H313" s="1225"/>
      <c r="I313" s="1225"/>
      <c r="J313" s="1225"/>
      <c r="K313" s="1225"/>
      <c r="L313" s="1225"/>
      <c r="M313" s="1225"/>
      <c r="N313" s="1225"/>
      <c r="O313" s="1059"/>
      <c r="P313" s="1225"/>
      <c r="Q313" s="1225"/>
      <c r="R313" s="1225"/>
      <c r="S313" s="1023"/>
      <c r="T313" s="1023"/>
      <c r="U313" s="1225"/>
      <c r="V313" s="1225">
        <f t="shared" si="49"/>
        <v>0</v>
      </c>
      <c r="W313" s="1225"/>
      <c r="X313" s="1225"/>
      <c r="Y313" s="1316"/>
      <c r="Z313" s="1225"/>
      <c r="AA313" s="1225"/>
      <c r="AB313" s="1059"/>
      <c r="AC313" s="1225"/>
      <c r="AD313" s="1225"/>
      <c r="AE313" s="1225"/>
      <c r="AF313" s="1219"/>
      <c r="AG313" s="1218"/>
      <c r="AH313" s="1219"/>
      <c r="AI313" s="1219"/>
      <c r="AJ313" s="1219"/>
      <c r="AK313" s="1219"/>
      <c r="AL313" s="1219"/>
      <c r="AM313" s="1219"/>
      <c r="AN313" s="1219"/>
      <c r="AO313" s="1219"/>
      <c r="AP313" s="1219"/>
      <c r="AQ313" s="1219"/>
      <c r="AR313" s="1219"/>
      <c r="AS313" s="1219"/>
      <c r="AT313" s="1219"/>
      <c r="AU313" s="1219"/>
      <c r="AV313" s="1219"/>
      <c r="AW313" s="1219"/>
      <c r="AX313" s="1219"/>
      <c r="AY313" s="1183"/>
    </row>
    <row r="314" spans="1:51" ht="21" customHeight="1" x14ac:dyDescent="0.25">
      <c r="A314" s="1189"/>
      <c r="B314" s="1018"/>
      <c r="C314" s="1018"/>
      <c r="D314" s="165" t="s">
        <v>347</v>
      </c>
      <c r="E314" s="1225"/>
      <c r="F314" s="1225"/>
      <c r="G314" s="1225"/>
      <c r="H314" s="1225"/>
      <c r="I314" s="1225"/>
      <c r="J314" s="1225"/>
      <c r="K314" s="1225"/>
      <c r="L314" s="1225"/>
      <c r="M314" s="1225"/>
      <c r="N314" s="1225"/>
      <c r="O314" s="1225"/>
      <c r="P314" s="1225"/>
      <c r="Q314" s="1225"/>
      <c r="R314" s="1225"/>
      <c r="S314" s="1023"/>
      <c r="T314" s="1023"/>
      <c r="U314" s="1225"/>
      <c r="V314" s="1225">
        <f t="shared" si="49"/>
        <v>0</v>
      </c>
      <c r="W314" s="1225"/>
      <c r="X314" s="1225"/>
      <c r="Y314" s="1316"/>
      <c r="Z314" s="1225"/>
      <c r="AA314" s="1225"/>
      <c r="AB314" s="1059"/>
      <c r="AC314" s="1225"/>
      <c r="AD314" s="1225"/>
      <c r="AE314" s="1225"/>
      <c r="AF314" s="1219"/>
      <c r="AG314" s="1218"/>
      <c r="AH314" s="1219"/>
      <c r="AI314" s="1219"/>
      <c r="AJ314" s="1219"/>
      <c r="AK314" s="1219"/>
      <c r="AL314" s="1219"/>
      <c r="AM314" s="1219"/>
      <c r="AN314" s="1219"/>
      <c r="AO314" s="1219"/>
      <c r="AP314" s="1219"/>
      <c r="AQ314" s="1219"/>
      <c r="AR314" s="1219"/>
      <c r="AS314" s="1219"/>
      <c r="AT314" s="1219"/>
      <c r="AU314" s="1219"/>
      <c r="AV314" s="1219"/>
      <c r="AW314" s="1219"/>
      <c r="AX314" s="1219"/>
      <c r="AY314" s="1183"/>
    </row>
    <row r="315" spans="1:51" ht="21" customHeight="1" x14ac:dyDescent="0.25">
      <c r="A315" s="1189"/>
      <c r="B315" s="1018"/>
      <c r="C315" s="1048"/>
      <c r="D315" s="164" t="s">
        <v>348</v>
      </c>
      <c r="E315" s="1225"/>
      <c r="F315" s="1225"/>
      <c r="G315" s="1225"/>
      <c r="H315" s="1225"/>
      <c r="I315" s="1225"/>
      <c r="J315" s="1225"/>
      <c r="K315" s="1225"/>
      <c r="L315" s="1225"/>
      <c r="M315" s="1225"/>
      <c r="N315" s="1225"/>
      <c r="O315" s="1225"/>
      <c r="P315" s="1225"/>
      <c r="Q315" s="1225"/>
      <c r="R315" s="1225"/>
      <c r="S315" s="1023"/>
      <c r="T315" s="1023"/>
      <c r="U315" s="1225"/>
      <c r="V315" s="1225">
        <f t="shared" si="49"/>
        <v>0</v>
      </c>
      <c r="W315" s="1225"/>
      <c r="X315" s="1225"/>
      <c r="Y315" s="1316"/>
      <c r="Z315" s="1225"/>
      <c r="AA315" s="1225"/>
      <c r="AB315" s="1059"/>
      <c r="AC315" s="1225"/>
      <c r="AD315" s="1225"/>
      <c r="AE315" s="1225"/>
      <c r="AF315" s="1221"/>
      <c r="AG315" s="1220"/>
      <c r="AH315" s="1221"/>
      <c r="AI315" s="1221"/>
      <c r="AJ315" s="1221"/>
      <c r="AK315" s="1221"/>
      <c r="AL315" s="1221"/>
      <c r="AM315" s="1221"/>
      <c r="AN315" s="1221"/>
      <c r="AO315" s="1221"/>
      <c r="AP315" s="1221"/>
      <c r="AQ315" s="1221"/>
      <c r="AR315" s="1221"/>
      <c r="AS315" s="1221"/>
      <c r="AT315" s="1221"/>
      <c r="AU315" s="1221"/>
      <c r="AV315" s="1221"/>
      <c r="AW315" s="1221"/>
      <c r="AX315" s="1221"/>
      <c r="AY315" s="1183"/>
    </row>
    <row r="316" spans="1:51" ht="21" customHeight="1" x14ac:dyDescent="0.25">
      <c r="A316" s="1204"/>
      <c r="B316" s="1073"/>
      <c r="C316" s="1217" t="s">
        <v>1470</v>
      </c>
      <c r="D316" s="161" t="s">
        <v>340</v>
      </c>
      <c r="E316" s="1225"/>
      <c r="F316" s="1225"/>
      <c r="G316" s="1225"/>
      <c r="H316" s="1225">
        <v>500</v>
      </c>
      <c r="I316" s="1225">
        <v>500</v>
      </c>
      <c r="J316" s="1225"/>
      <c r="K316" s="1225"/>
      <c r="L316" s="1225"/>
      <c r="M316" s="1225"/>
      <c r="N316" s="1023"/>
      <c r="O316" s="1059"/>
      <c r="P316" s="1225"/>
      <c r="Q316" s="1225"/>
      <c r="R316" s="1225"/>
      <c r="S316" s="1023"/>
      <c r="T316" s="1225"/>
      <c r="U316" s="1225">
        <f>+H316</f>
        <v>500</v>
      </c>
      <c r="V316" s="1225">
        <f t="shared" si="49"/>
        <v>500</v>
      </c>
      <c r="W316" s="1225"/>
      <c r="X316" s="1225"/>
      <c r="Y316" s="1316"/>
      <c r="Z316" s="1225"/>
      <c r="AA316" s="1023"/>
      <c r="AB316" s="1059"/>
      <c r="AC316" s="1225"/>
      <c r="AD316" s="1225"/>
      <c r="AE316" s="1225"/>
      <c r="AF316" s="1314" t="s">
        <v>1469</v>
      </c>
      <c r="AG316" s="1309" t="s">
        <v>480</v>
      </c>
      <c r="AH316" s="1275" t="s">
        <v>1429</v>
      </c>
      <c r="AI316" s="1275" t="s">
        <v>1428</v>
      </c>
      <c r="AJ316" s="1308" t="s">
        <v>1477</v>
      </c>
      <c r="AK316" s="1275" t="s">
        <v>457</v>
      </c>
      <c r="AL316" s="1275" t="s">
        <v>178</v>
      </c>
      <c r="AM316" s="1275" t="s">
        <v>551</v>
      </c>
      <c r="AN316" s="1291">
        <v>404676</v>
      </c>
      <c r="AO316" s="1291">
        <v>200538</v>
      </c>
      <c r="AP316" s="1291">
        <v>204138</v>
      </c>
      <c r="AQ316" s="1120" t="s">
        <v>459</v>
      </c>
      <c r="AR316" s="1120" t="s">
        <v>459</v>
      </c>
      <c r="AS316" s="1120" t="s">
        <v>459</v>
      </c>
      <c r="AT316" s="1120" t="s">
        <v>459</v>
      </c>
      <c r="AU316" s="1278" t="s">
        <v>459</v>
      </c>
      <c r="AV316" s="1278" t="s">
        <v>459</v>
      </c>
      <c r="AW316" s="1278" t="s">
        <v>459</v>
      </c>
      <c r="AX316" s="1291">
        <v>404676</v>
      </c>
      <c r="AY316" s="1183"/>
    </row>
    <row r="317" spans="1:51" ht="21" customHeight="1" x14ac:dyDescent="0.25">
      <c r="A317" s="1204"/>
      <c r="B317" s="1073"/>
      <c r="C317" s="1018"/>
      <c r="D317" s="164" t="s">
        <v>343</v>
      </c>
      <c r="E317" s="1225"/>
      <c r="F317" s="1225"/>
      <c r="G317" s="1225"/>
      <c r="H317" s="1225">
        <f>+H316*$U$251/$U$250</f>
        <v>8440313.1115459874</v>
      </c>
      <c r="I317" s="1225">
        <f>+I316*$V$251/$V$250</f>
        <v>5623207.3011734029</v>
      </c>
      <c r="J317" s="1225"/>
      <c r="K317" s="1225"/>
      <c r="L317" s="1225"/>
      <c r="M317" s="1225"/>
      <c r="N317" s="1225"/>
      <c r="O317" s="1225"/>
      <c r="P317" s="1225"/>
      <c r="Q317" s="1225"/>
      <c r="R317" s="1225"/>
      <c r="S317" s="1023"/>
      <c r="T317" s="1225"/>
      <c r="U317" s="1225">
        <f t="shared" ref="U317:U327" si="50">+H317</f>
        <v>8440313.1115459874</v>
      </c>
      <c r="V317" s="1225">
        <f t="shared" si="49"/>
        <v>5623207.3011734029</v>
      </c>
      <c r="W317" s="1225"/>
      <c r="X317" s="1225"/>
      <c r="Y317" s="1316"/>
      <c r="Z317" s="1225"/>
      <c r="AA317" s="1225"/>
      <c r="AB317" s="1059"/>
      <c r="AC317" s="1225"/>
      <c r="AD317" s="1225"/>
      <c r="AE317" s="1225"/>
      <c r="AF317" s="1073"/>
      <c r="AG317" s="1223"/>
      <c r="AH317" s="1073"/>
      <c r="AI317" s="1073"/>
      <c r="AJ317" s="1073"/>
      <c r="AK317" s="1073"/>
      <c r="AL317" s="1073"/>
      <c r="AM317" s="1073"/>
      <c r="AN317" s="1211"/>
      <c r="AO317" s="1211"/>
      <c r="AP317" s="1211"/>
      <c r="AQ317" s="1073"/>
      <c r="AR317" s="1073"/>
      <c r="AS317" s="1073"/>
      <c r="AT317" s="1073"/>
      <c r="AU317" s="1073"/>
      <c r="AV317" s="1073"/>
      <c r="AW317" s="1073"/>
      <c r="AX317" s="1211"/>
      <c r="AY317" s="1183"/>
    </row>
    <row r="318" spans="1:51" ht="21" customHeight="1" x14ac:dyDescent="0.25">
      <c r="A318" s="1204"/>
      <c r="B318" s="1073"/>
      <c r="C318" s="1018"/>
      <c r="D318" s="165" t="s">
        <v>345</v>
      </c>
      <c r="E318" s="1225"/>
      <c r="F318" s="1225"/>
      <c r="G318" s="1225"/>
      <c r="H318" s="1225"/>
      <c r="I318" s="1225"/>
      <c r="J318" s="1225"/>
      <c r="K318" s="1225"/>
      <c r="L318" s="1225"/>
      <c r="M318" s="1225"/>
      <c r="N318" s="1023"/>
      <c r="O318" s="1059"/>
      <c r="P318" s="1225"/>
      <c r="Q318" s="1225"/>
      <c r="R318" s="1225"/>
      <c r="S318" s="1023"/>
      <c r="T318" s="1225"/>
      <c r="U318" s="1225">
        <f t="shared" si="50"/>
        <v>0</v>
      </c>
      <c r="V318" s="1225">
        <f t="shared" si="49"/>
        <v>0</v>
      </c>
      <c r="W318" s="1225"/>
      <c r="X318" s="1225"/>
      <c r="Y318" s="1316"/>
      <c r="Z318" s="1225"/>
      <c r="AA318" s="1023"/>
      <c r="AB318" s="1059"/>
      <c r="AC318" s="1225"/>
      <c r="AD318" s="1225"/>
      <c r="AE318" s="1225"/>
      <c r="AF318" s="1073"/>
      <c r="AG318" s="1223"/>
      <c r="AH318" s="1073"/>
      <c r="AI318" s="1073"/>
      <c r="AJ318" s="1073"/>
      <c r="AK318" s="1073"/>
      <c r="AL318" s="1073"/>
      <c r="AM318" s="1073"/>
      <c r="AN318" s="1211"/>
      <c r="AO318" s="1211"/>
      <c r="AP318" s="1211"/>
      <c r="AQ318" s="1073"/>
      <c r="AR318" s="1073"/>
      <c r="AS318" s="1073"/>
      <c r="AT318" s="1073"/>
      <c r="AU318" s="1073"/>
      <c r="AV318" s="1073"/>
      <c r="AW318" s="1073"/>
      <c r="AX318" s="1211"/>
      <c r="AY318" s="1183"/>
    </row>
    <row r="319" spans="1:51" ht="21" customHeight="1" x14ac:dyDescent="0.25">
      <c r="A319" s="1204"/>
      <c r="B319" s="1073"/>
      <c r="C319" s="1018"/>
      <c r="D319" s="164" t="s">
        <v>346</v>
      </c>
      <c r="E319" s="1225"/>
      <c r="F319" s="1225"/>
      <c r="G319" s="1059"/>
      <c r="H319" s="1225"/>
      <c r="I319" s="1225"/>
      <c r="J319" s="1225"/>
      <c r="K319" s="1225"/>
      <c r="L319" s="1225"/>
      <c r="M319" s="1225"/>
      <c r="N319" s="1023"/>
      <c r="O319" s="1059"/>
      <c r="P319" s="1225"/>
      <c r="Q319" s="1225"/>
      <c r="R319" s="1225"/>
      <c r="S319" s="1023"/>
      <c r="T319" s="1225"/>
      <c r="U319" s="1225">
        <f t="shared" si="50"/>
        <v>0</v>
      </c>
      <c r="V319" s="1225">
        <f t="shared" si="49"/>
        <v>0</v>
      </c>
      <c r="W319" s="1225"/>
      <c r="X319" s="1225"/>
      <c r="Y319" s="1316"/>
      <c r="Z319" s="1225"/>
      <c r="AA319" s="1023"/>
      <c r="AB319" s="1059"/>
      <c r="AC319" s="1225"/>
      <c r="AD319" s="1225"/>
      <c r="AE319" s="1225"/>
      <c r="AF319" s="1073"/>
      <c r="AG319" s="1223"/>
      <c r="AH319" s="1073"/>
      <c r="AI319" s="1073"/>
      <c r="AJ319" s="1073"/>
      <c r="AK319" s="1073"/>
      <c r="AL319" s="1073"/>
      <c r="AM319" s="1073"/>
      <c r="AN319" s="1211"/>
      <c r="AO319" s="1211"/>
      <c r="AP319" s="1211"/>
      <c r="AQ319" s="1073"/>
      <c r="AR319" s="1073"/>
      <c r="AS319" s="1073"/>
      <c r="AT319" s="1073"/>
      <c r="AU319" s="1073"/>
      <c r="AV319" s="1073"/>
      <c r="AW319" s="1073"/>
      <c r="AX319" s="1211"/>
      <c r="AY319" s="1183"/>
    </row>
    <row r="320" spans="1:51" ht="21" customHeight="1" x14ac:dyDescent="0.25">
      <c r="A320" s="1204"/>
      <c r="B320" s="1073"/>
      <c r="C320" s="1018"/>
      <c r="D320" s="165" t="s">
        <v>347</v>
      </c>
      <c r="E320" s="1225"/>
      <c r="F320" s="1225"/>
      <c r="G320" s="1225"/>
      <c r="H320" s="1225">
        <v>500</v>
      </c>
      <c r="I320" s="1225">
        <v>500</v>
      </c>
      <c r="J320" s="1225"/>
      <c r="K320" s="1225"/>
      <c r="L320" s="1225"/>
      <c r="M320" s="1225"/>
      <c r="N320" s="1225"/>
      <c r="O320" s="1225"/>
      <c r="P320" s="1225"/>
      <c r="Q320" s="1225"/>
      <c r="R320" s="1225"/>
      <c r="S320" s="1023"/>
      <c r="T320" s="1225"/>
      <c r="U320" s="1225">
        <f t="shared" si="50"/>
        <v>500</v>
      </c>
      <c r="V320" s="1225">
        <f t="shared" si="49"/>
        <v>500</v>
      </c>
      <c r="W320" s="1225"/>
      <c r="X320" s="1225"/>
      <c r="Y320" s="1316"/>
      <c r="Z320" s="1225"/>
      <c r="AA320" s="1225"/>
      <c r="AB320" s="1059"/>
      <c r="AC320" s="1225"/>
      <c r="AD320" s="1225"/>
      <c r="AE320" s="1225"/>
      <c r="AF320" s="1073"/>
      <c r="AG320" s="1223"/>
      <c r="AH320" s="1073"/>
      <c r="AI320" s="1073"/>
      <c r="AJ320" s="1073"/>
      <c r="AK320" s="1073"/>
      <c r="AL320" s="1073"/>
      <c r="AM320" s="1073"/>
      <c r="AN320" s="1211"/>
      <c r="AO320" s="1211"/>
      <c r="AP320" s="1211"/>
      <c r="AQ320" s="1073"/>
      <c r="AR320" s="1073"/>
      <c r="AS320" s="1073"/>
      <c r="AT320" s="1073"/>
      <c r="AU320" s="1073"/>
      <c r="AV320" s="1073"/>
      <c r="AW320" s="1073"/>
      <c r="AX320" s="1211"/>
      <c r="AY320" s="1183"/>
    </row>
    <row r="321" spans="1:51" ht="21" customHeight="1" x14ac:dyDescent="0.25">
      <c r="A321" s="1204"/>
      <c r="B321" s="1073"/>
      <c r="C321" s="1048"/>
      <c r="D321" s="164" t="s">
        <v>348</v>
      </c>
      <c r="E321" s="1225"/>
      <c r="F321" s="1225"/>
      <c r="G321" s="1225"/>
      <c r="H321" s="1225">
        <f>+H317+H319</f>
        <v>8440313.1115459874</v>
      </c>
      <c r="I321" s="1225">
        <f>+I317+I319</f>
        <v>5623207.3011734029</v>
      </c>
      <c r="J321" s="1225"/>
      <c r="K321" s="1225"/>
      <c r="L321" s="1225"/>
      <c r="M321" s="1225"/>
      <c r="N321" s="1225"/>
      <c r="O321" s="1225"/>
      <c r="P321" s="1225"/>
      <c r="Q321" s="1225"/>
      <c r="R321" s="1225"/>
      <c r="S321" s="1023"/>
      <c r="T321" s="1225"/>
      <c r="U321" s="1225">
        <f t="shared" si="50"/>
        <v>8440313.1115459874</v>
      </c>
      <c r="V321" s="1225">
        <f t="shared" ref="V321:V333" si="51">+I321</f>
        <v>5623207.3011734029</v>
      </c>
      <c r="W321" s="1225"/>
      <c r="X321" s="1225"/>
      <c r="Y321" s="1316"/>
      <c r="Z321" s="1225"/>
      <c r="AA321" s="1225"/>
      <c r="AB321" s="1059"/>
      <c r="AC321" s="1225"/>
      <c r="AD321" s="1225"/>
      <c r="AE321" s="1225"/>
      <c r="AF321" s="1076"/>
      <c r="AG321" s="1224"/>
      <c r="AH321" s="1076"/>
      <c r="AI321" s="1076"/>
      <c r="AJ321" s="1076"/>
      <c r="AK321" s="1076"/>
      <c r="AL321" s="1076"/>
      <c r="AM321" s="1076"/>
      <c r="AN321" s="1212"/>
      <c r="AO321" s="1212"/>
      <c r="AP321" s="1212"/>
      <c r="AQ321" s="1076"/>
      <c r="AR321" s="1076"/>
      <c r="AS321" s="1076"/>
      <c r="AT321" s="1076"/>
      <c r="AU321" s="1076"/>
      <c r="AV321" s="1076"/>
      <c r="AW321" s="1076"/>
      <c r="AX321" s="1212"/>
      <c r="AY321" s="1183"/>
    </row>
    <row r="322" spans="1:51" ht="21" customHeight="1" x14ac:dyDescent="0.25">
      <c r="A322" s="1204"/>
      <c r="B322" s="1073"/>
      <c r="C322" s="1217" t="s">
        <v>1425</v>
      </c>
      <c r="D322" s="161" t="s">
        <v>340</v>
      </c>
      <c r="E322" s="1225"/>
      <c r="F322" s="1225"/>
      <c r="G322" s="1225">
        <v>522</v>
      </c>
      <c r="H322" s="1225">
        <v>522</v>
      </c>
      <c r="I322" s="1225">
        <v>522</v>
      </c>
      <c r="J322" s="1225"/>
      <c r="K322" s="1225"/>
      <c r="L322" s="1225"/>
      <c r="M322" s="1225"/>
      <c r="N322" s="1023"/>
      <c r="O322" s="1059"/>
      <c r="P322" s="1225"/>
      <c r="Q322" s="1225"/>
      <c r="R322" s="1225"/>
      <c r="S322" s="1023"/>
      <c r="T322" s="1225">
        <f t="shared" ref="T322:T327" si="52">+G322</f>
        <v>522</v>
      </c>
      <c r="U322" s="1225">
        <f t="shared" si="50"/>
        <v>522</v>
      </c>
      <c r="V322" s="1225">
        <f t="shared" si="51"/>
        <v>522</v>
      </c>
      <c r="W322" s="1225"/>
      <c r="X322" s="1225"/>
      <c r="Y322" s="1316"/>
      <c r="Z322" s="1225"/>
      <c r="AA322" s="1023"/>
      <c r="AB322" s="1059"/>
      <c r="AC322" s="1225"/>
      <c r="AD322" s="1225"/>
      <c r="AE322" s="1225"/>
      <c r="AF322" s="1314" t="s">
        <v>1426</v>
      </c>
      <c r="AG322" s="1275" t="s">
        <v>480</v>
      </c>
      <c r="AH322" s="1275" t="s">
        <v>1429</v>
      </c>
      <c r="AI322" s="1275" t="s">
        <v>1428</v>
      </c>
      <c r="AJ322" s="1308" t="s">
        <v>1477</v>
      </c>
      <c r="AK322" s="1275" t="s">
        <v>457</v>
      </c>
      <c r="AL322" s="1275" t="s">
        <v>178</v>
      </c>
      <c r="AM322" s="1275" t="s">
        <v>551</v>
      </c>
      <c r="AN322" s="1291">
        <v>404676</v>
      </c>
      <c r="AO322" s="1291">
        <v>200538</v>
      </c>
      <c r="AP322" s="1291">
        <v>204138</v>
      </c>
      <c r="AQ322" s="1120" t="s">
        <v>459</v>
      </c>
      <c r="AR322" s="1120" t="s">
        <v>459</v>
      </c>
      <c r="AS322" s="1120" t="s">
        <v>459</v>
      </c>
      <c r="AT322" s="1120" t="s">
        <v>459</v>
      </c>
      <c r="AU322" s="1278" t="s">
        <v>459</v>
      </c>
      <c r="AV322" s="1278" t="s">
        <v>459</v>
      </c>
      <c r="AW322" s="1278" t="s">
        <v>459</v>
      </c>
      <c r="AX322" s="1291">
        <v>404676</v>
      </c>
      <c r="AY322" s="1183"/>
    </row>
    <row r="323" spans="1:51" ht="21" customHeight="1" x14ac:dyDescent="0.25">
      <c r="A323" s="1204"/>
      <c r="B323" s="1073"/>
      <c r="C323" s="1018"/>
      <c r="D323" s="164" t="s">
        <v>343</v>
      </c>
      <c r="E323" s="1225"/>
      <c r="F323" s="1225"/>
      <c r="G323" s="1225">
        <f>+G322*T251/T250</f>
        <v>0</v>
      </c>
      <c r="H323" s="1225">
        <f>+H322*$U$251/$U$250</f>
        <v>8811686.8884540126</v>
      </c>
      <c r="I323" s="1225">
        <f>+I322*$V$251/$V$250</f>
        <v>5870628.4224250326</v>
      </c>
      <c r="J323" s="1225"/>
      <c r="K323" s="1225"/>
      <c r="L323" s="1225"/>
      <c r="M323" s="1225"/>
      <c r="N323" s="1225"/>
      <c r="O323" s="1225"/>
      <c r="P323" s="1225"/>
      <c r="Q323" s="1225"/>
      <c r="R323" s="1225"/>
      <c r="S323" s="1023"/>
      <c r="T323" s="1225">
        <f t="shared" si="52"/>
        <v>0</v>
      </c>
      <c r="U323" s="1225">
        <f t="shared" si="50"/>
        <v>8811686.8884540126</v>
      </c>
      <c r="V323" s="1225">
        <f t="shared" si="51"/>
        <v>5870628.4224250326</v>
      </c>
      <c r="W323" s="1225"/>
      <c r="X323" s="1225"/>
      <c r="Y323" s="1316"/>
      <c r="Z323" s="1225"/>
      <c r="AA323" s="1225"/>
      <c r="AB323" s="1059"/>
      <c r="AC323" s="1225"/>
      <c r="AD323" s="1225"/>
      <c r="AE323" s="1225"/>
      <c r="AF323" s="1073"/>
      <c r="AG323" s="1073"/>
      <c r="AH323" s="1073"/>
      <c r="AI323" s="1073"/>
      <c r="AJ323" s="1073"/>
      <c r="AK323" s="1073"/>
      <c r="AL323" s="1073"/>
      <c r="AM323" s="1073"/>
      <c r="AN323" s="1211"/>
      <c r="AO323" s="1211"/>
      <c r="AP323" s="1211"/>
      <c r="AQ323" s="1073"/>
      <c r="AR323" s="1073"/>
      <c r="AS323" s="1073"/>
      <c r="AT323" s="1073"/>
      <c r="AU323" s="1073"/>
      <c r="AV323" s="1073"/>
      <c r="AW323" s="1073"/>
      <c r="AX323" s="1211"/>
      <c r="AY323" s="1183"/>
    </row>
    <row r="324" spans="1:51" ht="21" customHeight="1" x14ac:dyDescent="0.25">
      <c r="A324" s="1204"/>
      <c r="B324" s="1073"/>
      <c r="C324" s="1018"/>
      <c r="D324" s="165" t="s">
        <v>345</v>
      </c>
      <c r="E324" s="1225"/>
      <c r="F324" s="1225"/>
      <c r="G324" s="1225">
        <v>78</v>
      </c>
      <c r="H324" s="1225">
        <v>78</v>
      </c>
      <c r="I324" s="1225">
        <v>78</v>
      </c>
      <c r="J324" s="1225"/>
      <c r="K324" s="1225"/>
      <c r="L324" s="1225"/>
      <c r="M324" s="1225"/>
      <c r="N324" s="1023"/>
      <c r="O324" s="1059"/>
      <c r="P324" s="1225"/>
      <c r="Q324" s="1225"/>
      <c r="R324" s="1225"/>
      <c r="S324" s="1023"/>
      <c r="T324" s="1225">
        <f t="shared" si="52"/>
        <v>78</v>
      </c>
      <c r="U324" s="1225">
        <f t="shared" si="50"/>
        <v>78</v>
      </c>
      <c r="V324" s="1225">
        <f t="shared" si="51"/>
        <v>78</v>
      </c>
      <c r="W324" s="1225"/>
      <c r="X324" s="1225"/>
      <c r="Y324" s="1316"/>
      <c r="Z324" s="1225"/>
      <c r="AA324" s="1023"/>
      <c r="AB324" s="1059"/>
      <c r="AC324" s="1225"/>
      <c r="AD324" s="1225"/>
      <c r="AE324" s="1225"/>
      <c r="AF324" s="1073"/>
      <c r="AG324" s="1073"/>
      <c r="AH324" s="1073"/>
      <c r="AI324" s="1073"/>
      <c r="AJ324" s="1073"/>
      <c r="AK324" s="1073"/>
      <c r="AL324" s="1073"/>
      <c r="AM324" s="1073"/>
      <c r="AN324" s="1211"/>
      <c r="AO324" s="1211"/>
      <c r="AP324" s="1211"/>
      <c r="AQ324" s="1073"/>
      <c r="AR324" s="1073"/>
      <c r="AS324" s="1073"/>
      <c r="AT324" s="1073"/>
      <c r="AU324" s="1073"/>
      <c r="AV324" s="1073"/>
      <c r="AW324" s="1073"/>
      <c r="AX324" s="1211"/>
      <c r="AY324" s="1183"/>
    </row>
    <row r="325" spans="1:51" ht="21" customHeight="1" x14ac:dyDescent="0.25">
      <c r="A325" s="1204"/>
      <c r="B325" s="1073"/>
      <c r="C325" s="1018"/>
      <c r="D325" s="164" t="s">
        <v>346</v>
      </c>
      <c r="E325" s="1225"/>
      <c r="F325" s="1225"/>
      <c r="G325" s="1059">
        <v>3010000</v>
      </c>
      <c r="H325" s="1059">
        <f>+U253</f>
        <v>6220667</v>
      </c>
      <c r="I325" s="1059">
        <f>+V253</f>
        <v>6220667</v>
      </c>
      <c r="J325" s="1225"/>
      <c r="K325" s="1225"/>
      <c r="L325" s="1225"/>
      <c r="M325" s="1225"/>
      <c r="N325" s="1023"/>
      <c r="O325" s="1059"/>
      <c r="P325" s="1225"/>
      <c r="Q325" s="1225"/>
      <c r="R325" s="1225"/>
      <c r="S325" s="1023"/>
      <c r="T325" s="1225">
        <f t="shared" si="52"/>
        <v>3010000</v>
      </c>
      <c r="U325" s="1225">
        <f t="shared" si="50"/>
        <v>6220667</v>
      </c>
      <c r="V325" s="1225">
        <f t="shared" si="51"/>
        <v>6220667</v>
      </c>
      <c r="W325" s="1225"/>
      <c r="X325" s="1225"/>
      <c r="Y325" s="1316"/>
      <c r="Z325" s="1225"/>
      <c r="AA325" s="1023"/>
      <c r="AB325" s="1059"/>
      <c r="AC325" s="1225"/>
      <c r="AD325" s="1225"/>
      <c r="AE325" s="1225"/>
      <c r="AF325" s="1073"/>
      <c r="AG325" s="1073"/>
      <c r="AH325" s="1073"/>
      <c r="AI325" s="1073"/>
      <c r="AJ325" s="1073"/>
      <c r="AK325" s="1073"/>
      <c r="AL325" s="1073"/>
      <c r="AM325" s="1073"/>
      <c r="AN325" s="1211"/>
      <c r="AO325" s="1211"/>
      <c r="AP325" s="1211"/>
      <c r="AQ325" s="1073"/>
      <c r="AR325" s="1073"/>
      <c r="AS325" s="1073"/>
      <c r="AT325" s="1073"/>
      <c r="AU325" s="1073"/>
      <c r="AV325" s="1073"/>
      <c r="AW325" s="1073"/>
      <c r="AX325" s="1211"/>
      <c r="AY325" s="1183"/>
    </row>
    <row r="326" spans="1:51" ht="21" customHeight="1" x14ac:dyDescent="0.25">
      <c r="A326" s="1204"/>
      <c r="B326" s="1073"/>
      <c r="C326" s="1018"/>
      <c r="D326" s="165" t="s">
        <v>347</v>
      </c>
      <c r="E326" s="1225"/>
      <c r="F326" s="1225"/>
      <c r="G326" s="1225">
        <f>+G322+G324</f>
        <v>600</v>
      </c>
      <c r="H326" s="1225">
        <f>+H322+H324</f>
        <v>600</v>
      </c>
      <c r="I326" s="1225">
        <v>600</v>
      </c>
      <c r="J326" s="1225"/>
      <c r="K326" s="1225"/>
      <c r="L326" s="1225"/>
      <c r="M326" s="1225"/>
      <c r="N326" s="1225"/>
      <c r="O326" s="1225"/>
      <c r="P326" s="1225"/>
      <c r="Q326" s="1225"/>
      <c r="R326" s="1225"/>
      <c r="S326" s="1023"/>
      <c r="T326" s="1225">
        <f t="shared" si="52"/>
        <v>600</v>
      </c>
      <c r="U326" s="1225">
        <f t="shared" si="50"/>
        <v>600</v>
      </c>
      <c r="V326" s="1225">
        <f t="shared" si="51"/>
        <v>600</v>
      </c>
      <c r="W326" s="1225"/>
      <c r="X326" s="1225"/>
      <c r="Y326" s="1316"/>
      <c r="Z326" s="1225"/>
      <c r="AA326" s="1225"/>
      <c r="AB326" s="1059"/>
      <c r="AC326" s="1225"/>
      <c r="AD326" s="1225"/>
      <c r="AE326" s="1225"/>
      <c r="AF326" s="1073"/>
      <c r="AG326" s="1073"/>
      <c r="AH326" s="1073"/>
      <c r="AI326" s="1073"/>
      <c r="AJ326" s="1073"/>
      <c r="AK326" s="1073"/>
      <c r="AL326" s="1073"/>
      <c r="AM326" s="1073"/>
      <c r="AN326" s="1211"/>
      <c r="AO326" s="1211"/>
      <c r="AP326" s="1211"/>
      <c r="AQ326" s="1073"/>
      <c r="AR326" s="1073"/>
      <c r="AS326" s="1073"/>
      <c r="AT326" s="1073"/>
      <c r="AU326" s="1073"/>
      <c r="AV326" s="1073"/>
      <c r="AW326" s="1073"/>
      <c r="AX326" s="1211"/>
      <c r="AY326" s="1183"/>
    </row>
    <row r="327" spans="1:51" ht="21" customHeight="1" x14ac:dyDescent="0.25">
      <c r="A327" s="1204"/>
      <c r="B327" s="1073"/>
      <c r="C327" s="1048"/>
      <c r="D327" s="164" t="s">
        <v>348</v>
      </c>
      <c r="E327" s="1225"/>
      <c r="F327" s="1225"/>
      <c r="G327" s="1225">
        <f>+G323+G325</f>
        <v>3010000</v>
      </c>
      <c r="H327" s="1225">
        <f>+H323+H325</f>
        <v>15032353.888454013</v>
      </c>
      <c r="I327" s="1225">
        <f>+I323+I325</f>
        <v>12091295.422425032</v>
      </c>
      <c r="J327" s="1225"/>
      <c r="K327" s="1225"/>
      <c r="L327" s="1225"/>
      <c r="M327" s="1225"/>
      <c r="N327" s="1225"/>
      <c r="O327" s="1225"/>
      <c r="P327" s="1225"/>
      <c r="Q327" s="1225"/>
      <c r="R327" s="1225"/>
      <c r="S327" s="1023"/>
      <c r="T327" s="1225">
        <f t="shared" si="52"/>
        <v>3010000</v>
      </c>
      <c r="U327" s="1225">
        <f t="shared" si="50"/>
        <v>15032353.888454013</v>
      </c>
      <c r="V327" s="1225">
        <f t="shared" si="51"/>
        <v>12091295.422425032</v>
      </c>
      <c r="W327" s="1225"/>
      <c r="X327" s="1225"/>
      <c r="Y327" s="1316"/>
      <c r="Z327" s="1225"/>
      <c r="AA327" s="1225"/>
      <c r="AB327" s="1059"/>
      <c r="AC327" s="1225"/>
      <c r="AD327" s="1225"/>
      <c r="AE327" s="1225"/>
      <c r="AF327" s="1076"/>
      <c r="AG327" s="1076"/>
      <c r="AH327" s="1076"/>
      <c r="AI327" s="1076"/>
      <c r="AJ327" s="1076"/>
      <c r="AK327" s="1076"/>
      <c r="AL327" s="1076"/>
      <c r="AM327" s="1076"/>
      <c r="AN327" s="1212"/>
      <c r="AO327" s="1212"/>
      <c r="AP327" s="1212"/>
      <c r="AQ327" s="1076"/>
      <c r="AR327" s="1076"/>
      <c r="AS327" s="1076"/>
      <c r="AT327" s="1076"/>
      <c r="AU327" s="1076"/>
      <c r="AV327" s="1076"/>
      <c r="AW327" s="1076"/>
      <c r="AX327" s="1212"/>
      <c r="AY327" s="1183"/>
    </row>
    <row r="328" spans="1:51" ht="21" customHeight="1" x14ac:dyDescent="0.25">
      <c r="A328" s="1189"/>
      <c r="B328" s="1018"/>
      <c r="C328" s="1217" t="s">
        <v>575</v>
      </c>
      <c r="D328" s="161" t="s">
        <v>340</v>
      </c>
      <c r="E328" s="1225"/>
      <c r="F328" s="1225"/>
      <c r="G328" s="1225"/>
      <c r="H328" s="1225"/>
      <c r="I328" s="1225">
        <v>400</v>
      </c>
      <c r="J328" s="1225"/>
      <c r="K328" s="1225"/>
      <c r="L328" s="1225"/>
      <c r="M328" s="1225"/>
      <c r="N328" s="1023"/>
      <c r="O328" s="1059"/>
      <c r="P328" s="1225"/>
      <c r="Q328" s="1225"/>
      <c r="R328" s="1225"/>
      <c r="S328" s="1023"/>
      <c r="T328" s="1023"/>
      <c r="U328" s="1225"/>
      <c r="V328" s="1225">
        <f t="shared" si="51"/>
        <v>400</v>
      </c>
      <c r="W328" s="1225"/>
      <c r="X328" s="1225"/>
      <c r="Y328" s="1316"/>
      <c r="Z328" s="1225"/>
      <c r="AA328" s="1023"/>
      <c r="AB328" s="1059"/>
      <c r="AC328" s="1225"/>
      <c r="AD328" s="1225"/>
      <c r="AE328" s="1225"/>
      <c r="AF328" s="1314" t="s">
        <v>1549</v>
      </c>
      <c r="AG328" s="1275" t="s">
        <v>480</v>
      </c>
      <c r="AH328" s="1275" t="s">
        <v>576</v>
      </c>
      <c r="AI328" s="1275" t="s">
        <v>577</v>
      </c>
      <c r="AJ328" s="1308" t="s">
        <v>1477</v>
      </c>
      <c r="AK328" s="1275" t="s">
        <v>457</v>
      </c>
      <c r="AL328" s="1275" t="s">
        <v>178</v>
      </c>
      <c r="AM328" s="1275" t="s">
        <v>551</v>
      </c>
      <c r="AN328" s="1291">
        <v>404676</v>
      </c>
      <c r="AO328" s="1291">
        <v>200538</v>
      </c>
      <c r="AP328" s="1291">
        <v>204138</v>
      </c>
      <c r="AQ328" s="1120" t="s">
        <v>459</v>
      </c>
      <c r="AR328" s="1120" t="s">
        <v>459</v>
      </c>
      <c r="AS328" s="1120" t="s">
        <v>459</v>
      </c>
      <c r="AT328" s="1120" t="s">
        <v>459</v>
      </c>
      <c r="AU328" s="1278" t="s">
        <v>459</v>
      </c>
      <c r="AV328" s="1278" t="s">
        <v>459</v>
      </c>
      <c r="AW328" s="1278" t="s">
        <v>459</v>
      </c>
      <c r="AX328" s="1291">
        <v>404676</v>
      </c>
      <c r="AY328" s="1183"/>
    </row>
    <row r="329" spans="1:51" ht="21" customHeight="1" x14ac:dyDescent="0.25">
      <c r="A329" s="1189"/>
      <c r="B329" s="1018"/>
      <c r="C329" s="1018"/>
      <c r="D329" s="164" t="s">
        <v>343</v>
      </c>
      <c r="E329" s="1225"/>
      <c r="F329" s="1225"/>
      <c r="G329" s="1225"/>
      <c r="H329" s="1225"/>
      <c r="I329" s="1225">
        <f>+I328*$V$251/$V$250</f>
        <v>4498565.8409387227</v>
      </c>
      <c r="J329" s="1225"/>
      <c r="K329" s="1225"/>
      <c r="L329" s="1225"/>
      <c r="M329" s="1225"/>
      <c r="N329" s="1225"/>
      <c r="O329" s="1225"/>
      <c r="P329" s="1225"/>
      <c r="Q329" s="1225"/>
      <c r="R329" s="1225"/>
      <c r="S329" s="1023"/>
      <c r="T329" s="1023"/>
      <c r="U329" s="1225"/>
      <c r="V329" s="1225">
        <f t="shared" si="51"/>
        <v>4498565.8409387227</v>
      </c>
      <c r="W329" s="1225"/>
      <c r="X329" s="1225"/>
      <c r="Y329" s="1316"/>
      <c r="Z329" s="1225"/>
      <c r="AA329" s="1225"/>
      <c r="AB329" s="1059"/>
      <c r="AC329" s="1225"/>
      <c r="AD329" s="1225"/>
      <c r="AE329" s="1225"/>
      <c r="AF329" s="1073"/>
      <c r="AG329" s="1073"/>
      <c r="AH329" s="1073"/>
      <c r="AI329" s="1073"/>
      <c r="AJ329" s="1073"/>
      <c r="AK329" s="1073"/>
      <c r="AL329" s="1073"/>
      <c r="AM329" s="1073"/>
      <c r="AN329" s="1211"/>
      <c r="AO329" s="1211"/>
      <c r="AP329" s="1211"/>
      <c r="AQ329" s="1073"/>
      <c r="AR329" s="1073"/>
      <c r="AS329" s="1073"/>
      <c r="AT329" s="1073"/>
      <c r="AU329" s="1073"/>
      <c r="AV329" s="1073"/>
      <c r="AW329" s="1073"/>
      <c r="AX329" s="1211"/>
      <c r="AY329" s="1183"/>
    </row>
    <row r="330" spans="1:51" ht="21" customHeight="1" x14ac:dyDescent="0.25">
      <c r="A330" s="1189"/>
      <c r="B330" s="1018"/>
      <c r="C330" s="1018"/>
      <c r="D330" s="165" t="s">
        <v>345</v>
      </c>
      <c r="E330" s="1225"/>
      <c r="F330" s="1225"/>
      <c r="G330" s="1225"/>
      <c r="H330" s="1225"/>
      <c r="I330" s="1225"/>
      <c r="J330" s="1225"/>
      <c r="K330" s="1225"/>
      <c r="L330" s="1225"/>
      <c r="M330" s="1225"/>
      <c r="N330" s="1023"/>
      <c r="O330" s="1059"/>
      <c r="P330" s="1225"/>
      <c r="Q330" s="1225"/>
      <c r="R330" s="1225"/>
      <c r="S330" s="1023"/>
      <c r="T330" s="1023"/>
      <c r="U330" s="1225"/>
      <c r="V330" s="1225">
        <f t="shared" si="51"/>
        <v>0</v>
      </c>
      <c r="W330" s="1225"/>
      <c r="X330" s="1225"/>
      <c r="Y330" s="1316"/>
      <c r="Z330" s="1225"/>
      <c r="AA330" s="1023"/>
      <c r="AB330" s="1059"/>
      <c r="AC330" s="1225"/>
      <c r="AD330" s="1225"/>
      <c r="AE330" s="1225"/>
      <c r="AF330" s="1073"/>
      <c r="AG330" s="1073"/>
      <c r="AH330" s="1073"/>
      <c r="AI330" s="1073"/>
      <c r="AJ330" s="1073"/>
      <c r="AK330" s="1073"/>
      <c r="AL330" s="1073"/>
      <c r="AM330" s="1073"/>
      <c r="AN330" s="1211"/>
      <c r="AO330" s="1211"/>
      <c r="AP330" s="1211"/>
      <c r="AQ330" s="1073"/>
      <c r="AR330" s="1073"/>
      <c r="AS330" s="1073"/>
      <c r="AT330" s="1073"/>
      <c r="AU330" s="1073"/>
      <c r="AV330" s="1073"/>
      <c r="AW330" s="1073"/>
      <c r="AX330" s="1211"/>
      <c r="AY330" s="1183"/>
    </row>
    <row r="331" spans="1:51" ht="21" customHeight="1" x14ac:dyDescent="0.25">
      <c r="A331" s="1189"/>
      <c r="B331" s="1018"/>
      <c r="C331" s="1018"/>
      <c r="D331" s="164" t="s">
        <v>346</v>
      </c>
      <c r="E331" s="1225"/>
      <c r="F331" s="1225"/>
      <c r="G331" s="1225"/>
      <c r="H331" s="1225"/>
      <c r="I331" s="1225"/>
      <c r="J331" s="1225"/>
      <c r="K331" s="1225"/>
      <c r="L331" s="1225"/>
      <c r="M331" s="1225"/>
      <c r="N331" s="1023"/>
      <c r="O331" s="1059"/>
      <c r="P331" s="1225"/>
      <c r="Q331" s="1225"/>
      <c r="R331" s="1225"/>
      <c r="S331" s="1023"/>
      <c r="T331" s="1023"/>
      <c r="U331" s="1225"/>
      <c r="V331" s="1225">
        <f t="shared" si="51"/>
        <v>0</v>
      </c>
      <c r="W331" s="1225"/>
      <c r="X331" s="1225"/>
      <c r="Y331" s="1316"/>
      <c r="Z331" s="1225"/>
      <c r="AA331" s="1023"/>
      <c r="AB331" s="1059"/>
      <c r="AC331" s="1225"/>
      <c r="AD331" s="1225"/>
      <c r="AE331" s="1225"/>
      <c r="AF331" s="1073"/>
      <c r="AG331" s="1073"/>
      <c r="AH331" s="1073"/>
      <c r="AI331" s="1073"/>
      <c r="AJ331" s="1073"/>
      <c r="AK331" s="1073"/>
      <c r="AL331" s="1073"/>
      <c r="AM331" s="1073"/>
      <c r="AN331" s="1211"/>
      <c r="AO331" s="1211"/>
      <c r="AP331" s="1211"/>
      <c r="AQ331" s="1073"/>
      <c r="AR331" s="1073"/>
      <c r="AS331" s="1073"/>
      <c r="AT331" s="1073"/>
      <c r="AU331" s="1073"/>
      <c r="AV331" s="1073"/>
      <c r="AW331" s="1073"/>
      <c r="AX331" s="1211"/>
      <c r="AY331" s="1183"/>
    </row>
    <row r="332" spans="1:51" ht="21" customHeight="1" x14ac:dyDescent="0.25">
      <c r="A332" s="1189"/>
      <c r="B332" s="1018"/>
      <c r="C332" s="1018"/>
      <c r="D332" s="165" t="s">
        <v>347</v>
      </c>
      <c r="E332" s="1225"/>
      <c r="F332" s="1225"/>
      <c r="G332" s="1225"/>
      <c r="H332" s="1225"/>
      <c r="I332" s="1225">
        <v>400</v>
      </c>
      <c r="J332" s="1225"/>
      <c r="K332" s="1225"/>
      <c r="L332" s="1225"/>
      <c r="M332" s="1225"/>
      <c r="N332" s="1225"/>
      <c r="O332" s="1225"/>
      <c r="P332" s="1225"/>
      <c r="Q332" s="1225"/>
      <c r="R332" s="1225"/>
      <c r="S332" s="1023"/>
      <c r="T332" s="1023"/>
      <c r="U332" s="1225"/>
      <c r="V332" s="1225">
        <f t="shared" si="51"/>
        <v>400</v>
      </c>
      <c r="W332" s="1225"/>
      <c r="X332" s="1225"/>
      <c r="Y332" s="1316"/>
      <c r="Z332" s="1225"/>
      <c r="AA332" s="1225"/>
      <c r="AB332" s="1059"/>
      <c r="AC332" s="1225"/>
      <c r="AD332" s="1225"/>
      <c r="AE332" s="1225"/>
      <c r="AF332" s="1073"/>
      <c r="AG332" s="1073"/>
      <c r="AH332" s="1073"/>
      <c r="AI332" s="1073"/>
      <c r="AJ332" s="1073"/>
      <c r="AK332" s="1073"/>
      <c r="AL332" s="1073"/>
      <c r="AM332" s="1073"/>
      <c r="AN332" s="1211"/>
      <c r="AO332" s="1211"/>
      <c r="AP332" s="1211"/>
      <c r="AQ332" s="1073"/>
      <c r="AR332" s="1073"/>
      <c r="AS332" s="1073"/>
      <c r="AT332" s="1073"/>
      <c r="AU332" s="1073"/>
      <c r="AV332" s="1073"/>
      <c r="AW332" s="1073"/>
      <c r="AX332" s="1211"/>
      <c r="AY332" s="1183"/>
    </row>
    <row r="333" spans="1:51" ht="21" customHeight="1" x14ac:dyDescent="0.25">
      <c r="A333" s="1189"/>
      <c r="B333" s="1018"/>
      <c r="C333" s="1048"/>
      <c r="D333" s="164" t="s">
        <v>348</v>
      </c>
      <c r="E333" s="1225"/>
      <c r="F333" s="1225"/>
      <c r="G333" s="1225"/>
      <c r="H333" s="1225"/>
      <c r="I333" s="1225">
        <f>+I329+I331</f>
        <v>4498565.8409387227</v>
      </c>
      <c r="J333" s="1225"/>
      <c r="K333" s="1225"/>
      <c r="L333" s="1225"/>
      <c r="M333" s="1225"/>
      <c r="N333" s="1225"/>
      <c r="O333" s="1225"/>
      <c r="P333" s="1225"/>
      <c r="Q333" s="1225"/>
      <c r="R333" s="1225"/>
      <c r="S333" s="1023"/>
      <c r="T333" s="1023"/>
      <c r="U333" s="1225"/>
      <c r="V333" s="1225">
        <f t="shared" si="51"/>
        <v>4498565.8409387227</v>
      </c>
      <c r="W333" s="1225"/>
      <c r="X333" s="1225"/>
      <c r="Y333" s="1316"/>
      <c r="Z333" s="1225"/>
      <c r="AA333" s="1225"/>
      <c r="AB333" s="1059"/>
      <c r="AC333" s="1225"/>
      <c r="AD333" s="1225"/>
      <c r="AE333" s="1225"/>
      <c r="AF333" s="1076"/>
      <c r="AG333" s="1076"/>
      <c r="AH333" s="1076"/>
      <c r="AI333" s="1076"/>
      <c r="AJ333" s="1076"/>
      <c r="AK333" s="1076"/>
      <c r="AL333" s="1076"/>
      <c r="AM333" s="1076"/>
      <c r="AN333" s="1212"/>
      <c r="AO333" s="1212"/>
      <c r="AP333" s="1212"/>
      <c r="AQ333" s="1076"/>
      <c r="AR333" s="1076"/>
      <c r="AS333" s="1076"/>
      <c r="AT333" s="1076"/>
      <c r="AU333" s="1076"/>
      <c r="AV333" s="1076"/>
      <c r="AW333" s="1076"/>
      <c r="AX333" s="1212"/>
      <c r="AY333" s="1183"/>
    </row>
    <row r="334" spans="1:51" ht="21" customHeight="1" x14ac:dyDescent="0.25">
      <c r="A334" s="1189"/>
      <c r="B334" s="1018"/>
      <c r="C334" s="1217" t="s">
        <v>578</v>
      </c>
      <c r="D334" s="161" t="s">
        <v>340</v>
      </c>
      <c r="E334" s="1225"/>
      <c r="F334" s="1225"/>
      <c r="G334" s="1225"/>
      <c r="H334" s="1225"/>
      <c r="I334" s="1225"/>
      <c r="J334" s="1225"/>
      <c r="K334" s="1225"/>
      <c r="L334" s="1225"/>
      <c r="M334" s="1225"/>
      <c r="N334" s="1023"/>
      <c r="O334" s="1059"/>
      <c r="P334" s="1225"/>
      <c r="Q334" s="1225"/>
      <c r="R334" s="1225"/>
      <c r="S334" s="1023"/>
      <c r="T334" s="1023"/>
      <c r="U334" s="1225"/>
      <c r="V334" s="1023"/>
      <c r="W334" s="1225"/>
      <c r="X334" s="1225"/>
      <c r="Y334" s="1316"/>
      <c r="Z334" s="1225"/>
      <c r="AA334" s="1023"/>
      <c r="AB334" s="1059"/>
      <c r="AC334" s="1225"/>
      <c r="AD334" s="1225"/>
      <c r="AE334" s="1225"/>
      <c r="AF334" s="1315"/>
      <c r="AG334" s="1298" t="s">
        <v>480</v>
      </c>
      <c r="AH334" s="1299" t="s">
        <v>576</v>
      </c>
      <c r="AI334" s="1299" t="s">
        <v>577</v>
      </c>
      <c r="AJ334" s="1300" t="s">
        <v>1477</v>
      </c>
      <c r="AK334" s="1299" t="s">
        <v>457</v>
      </c>
      <c r="AL334" s="1299" t="s">
        <v>178</v>
      </c>
      <c r="AM334" s="1299" t="s">
        <v>551</v>
      </c>
      <c r="AN334" s="1301">
        <v>407645</v>
      </c>
      <c r="AO334" s="1301">
        <v>201919</v>
      </c>
      <c r="AP334" s="1301">
        <v>205726</v>
      </c>
      <c r="AQ334" s="1011" t="s">
        <v>459</v>
      </c>
      <c r="AR334" s="1011" t="s">
        <v>459</v>
      </c>
      <c r="AS334" s="1011" t="s">
        <v>459</v>
      </c>
      <c r="AT334" s="1011" t="s">
        <v>459</v>
      </c>
      <c r="AU334" s="1302" t="s">
        <v>459</v>
      </c>
      <c r="AV334" s="1302" t="s">
        <v>459</v>
      </c>
      <c r="AW334" s="1302" t="s">
        <v>459</v>
      </c>
      <c r="AX334" s="1301">
        <v>22438</v>
      </c>
      <c r="AY334" s="1183"/>
    </row>
    <row r="335" spans="1:51" ht="21" customHeight="1" x14ac:dyDescent="0.25">
      <c r="A335" s="1189"/>
      <c r="B335" s="1018"/>
      <c r="C335" s="1018"/>
      <c r="D335" s="164" t="s">
        <v>343</v>
      </c>
      <c r="E335" s="1225"/>
      <c r="F335" s="1225"/>
      <c r="G335" s="1225"/>
      <c r="H335" s="1225"/>
      <c r="I335" s="1225"/>
      <c r="J335" s="1225"/>
      <c r="K335" s="1225"/>
      <c r="L335" s="1225"/>
      <c r="M335" s="1225"/>
      <c r="N335" s="1225"/>
      <c r="O335" s="1225"/>
      <c r="P335" s="1225"/>
      <c r="Q335" s="1225"/>
      <c r="R335" s="1225"/>
      <c r="S335" s="1023"/>
      <c r="T335" s="1023"/>
      <c r="U335" s="1225"/>
      <c r="V335" s="1023"/>
      <c r="W335" s="1225"/>
      <c r="X335" s="1225"/>
      <c r="Y335" s="1316"/>
      <c r="Z335" s="1225"/>
      <c r="AA335" s="1225"/>
      <c r="AB335" s="1059"/>
      <c r="AC335" s="1225"/>
      <c r="AD335" s="1225"/>
      <c r="AE335" s="1225"/>
      <c r="AF335" s="1219"/>
      <c r="AG335" s="1218"/>
      <c r="AH335" s="1219"/>
      <c r="AI335" s="1219"/>
      <c r="AJ335" s="1219"/>
      <c r="AK335" s="1219"/>
      <c r="AL335" s="1219"/>
      <c r="AM335" s="1219"/>
      <c r="AN335" s="1219"/>
      <c r="AO335" s="1219"/>
      <c r="AP335" s="1219"/>
      <c r="AQ335" s="1219"/>
      <c r="AR335" s="1219"/>
      <c r="AS335" s="1219"/>
      <c r="AT335" s="1219"/>
      <c r="AU335" s="1219"/>
      <c r="AV335" s="1219"/>
      <c r="AW335" s="1219"/>
      <c r="AX335" s="1219"/>
      <c r="AY335" s="1183"/>
    </row>
    <row r="336" spans="1:51" ht="21" customHeight="1" x14ac:dyDescent="0.25">
      <c r="A336" s="1189"/>
      <c r="B336" s="1018"/>
      <c r="C336" s="1018"/>
      <c r="D336" s="165" t="s">
        <v>345</v>
      </c>
      <c r="E336" s="1225"/>
      <c r="F336" s="1225"/>
      <c r="G336" s="1225"/>
      <c r="H336" s="1225"/>
      <c r="I336" s="1225"/>
      <c r="J336" s="1225"/>
      <c r="K336" s="1225"/>
      <c r="L336" s="1225"/>
      <c r="M336" s="1225"/>
      <c r="N336" s="1023"/>
      <c r="O336" s="1059"/>
      <c r="P336" s="1225"/>
      <c r="Q336" s="1225"/>
      <c r="R336" s="1225"/>
      <c r="S336" s="1023"/>
      <c r="T336" s="1023"/>
      <c r="U336" s="1225"/>
      <c r="V336" s="1023"/>
      <c r="W336" s="1225"/>
      <c r="X336" s="1225"/>
      <c r="Y336" s="1316"/>
      <c r="Z336" s="1225"/>
      <c r="AA336" s="1023"/>
      <c r="AB336" s="1059"/>
      <c r="AC336" s="1225"/>
      <c r="AD336" s="1225"/>
      <c r="AE336" s="1225"/>
      <c r="AF336" s="1219"/>
      <c r="AG336" s="1218"/>
      <c r="AH336" s="1219"/>
      <c r="AI336" s="1219"/>
      <c r="AJ336" s="1219"/>
      <c r="AK336" s="1219"/>
      <c r="AL336" s="1219"/>
      <c r="AM336" s="1219"/>
      <c r="AN336" s="1219"/>
      <c r="AO336" s="1219"/>
      <c r="AP336" s="1219"/>
      <c r="AQ336" s="1219"/>
      <c r="AR336" s="1219"/>
      <c r="AS336" s="1219"/>
      <c r="AT336" s="1219"/>
      <c r="AU336" s="1219"/>
      <c r="AV336" s="1219"/>
      <c r="AW336" s="1219"/>
      <c r="AX336" s="1219"/>
      <c r="AY336" s="1183"/>
    </row>
    <row r="337" spans="1:51" ht="21" customHeight="1" x14ac:dyDescent="0.25">
      <c r="A337" s="1189"/>
      <c r="B337" s="1018"/>
      <c r="C337" s="1018"/>
      <c r="D337" s="164" t="s">
        <v>346</v>
      </c>
      <c r="E337" s="1225"/>
      <c r="F337" s="1225"/>
      <c r="G337" s="1225"/>
      <c r="H337" s="1225"/>
      <c r="I337" s="1225"/>
      <c r="J337" s="1225"/>
      <c r="K337" s="1225"/>
      <c r="L337" s="1225"/>
      <c r="M337" s="1225"/>
      <c r="N337" s="1023"/>
      <c r="O337" s="1059"/>
      <c r="P337" s="1225"/>
      <c r="Q337" s="1225"/>
      <c r="R337" s="1225"/>
      <c r="S337" s="1023"/>
      <c r="T337" s="1023"/>
      <c r="U337" s="1225"/>
      <c r="V337" s="1023"/>
      <c r="W337" s="1225"/>
      <c r="X337" s="1225"/>
      <c r="Y337" s="1316"/>
      <c r="Z337" s="1225"/>
      <c r="AA337" s="1023"/>
      <c r="AB337" s="1059"/>
      <c r="AC337" s="1225"/>
      <c r="AD337" s="1225"/>
      <c r="AE337" s="1225"/>
      <c r="AF337" s="1219"/>
      <c r="AG337" s="1218"/>
      <c r="AH337" s="1219"/>
      <c r="AI337" s="1219"/>
      <c r="AJ337" s="1219"/>
      <c r="AK337" s="1219"/>
      <c r="AL337" s="1219"/>
      <c r="AM337" s="1219"/>
      <c r="AN337" s="1219"/>
      <c r="AO337" s="1219"/>
      <c r="AP337" s="1219"/>
      <c r="AQ337" s="1219"/>
      <c r="AR337" s="1219"/>
      <c r="AS337" s="1219"/>
      <c r="AT337" s="1219"/>
      <c r="AU337" s="1219"/>
      <c r="AV337" s="1219"/>
      <c r="AW337" s="1219"/>
      <c r="AX337" s="1219"/>
      <c r="AY337" s="1183"/>
    </row>
    <row r="338" spans="1:51" ht="21" customHeight="1" x14ac:dyDescent="0.25">
      <c r="A338" s="1189"/>
      <c r="B338" s="1018"/>
      <c r="C338" s="1018"/>
      <c r="D338" s="165" t="s">
        <v>347</v>
      </c>
      <c r="E338" s="1225"/>
      <c r="F338" s="1225"/>
      <c r="G338" s="1225"/>
      <c r="H338" s="1225"/>
      <c r="I338" s="1225"/>
      <c r="J338" s="1225"/>
      <c r="K338" s="1225"/>
      <c r="L338" s="1225"/>
      <c r="M338" s="1225"/>
      <c r="N338" s="1225"/>
      <c r="O338" s="1225"/>
      <c r="P338" s="1225"/>
      <c r="Q338" s="1225"/>
      <c r="R338" s="1225"/>
      <c r="S338" s="1023"/>
      <c r="T338" s="1023"/>
      <c r="U338" s="1225"/>
      <c r="V338" s="1023"/>
      <c r="W338" s="1225"/>
      <c r="X338" s="1225"/>
      <c r="Y338" s="1316"/>
      <c r="Z338" s="1225"/>
      <c r="AA338" s="1225"/>
      <c r="AB338" s="1059"/>
      <c r="AC338" s="1225"/>
      <c r="AD338" s="1225"/>
      <c r="AE338" s="1225"/>
      <c r="AF338" s="1219"/>
      <c r="AG338" s="1218"/>
      <c r="AH338" s="1219"/>
      <c r="AI338" s="1219"/>
      <c r="AJ338" s="1219"/>
      <c r="AK338" s="1219"/>
      <c r="AL338" s="1219"/>
      <c r="AM338" s="1219"/>
      <c r="AN338" s="1219"/>
      <c r="AO338" s="1219"/>
      <c r="AP338" s="1219"/>
      <c r="AQ338" s="1219"/>
      <c r="AR338" s="1219"/>
      <c r="AS338" s="1219"/>
      <c r="AT338" s="1219"/>
      <c r="AU338" s="1219"/>
      <c r="AV338" s="1219"/>
      <c r="AW338" s="1219"/>
      <c r="AX338" s="1219"/>
      <c r="AY338" s="1183"/>
    </row>
    <row r="339" spans="1:51" ht="21" customHeight="1" x14ac:dyDescent="0.25">
      <c r="A339" s="1189"/>
      <c r="B339" s="1018"/>
      <c r="C339" s="1048"/>
      <c r="D339" s="164" t="s">
        <v>348</v>
      </c>
      <c r="E339" s="1225"/>
      <c r="F339" s="1225"/>
      <c r="G339" s="1225"/>
      <c r="H339" s="1225"/>
      <c r="I339" s="1225"/>
      <c r="J339" s="1225"/>
      <c r="K339" s="1225"/>
      <c r="L339" s="1225"/>
      <c r="M339" s="1225"/>
      <c r="N339" s="1225"/>
      <c r="O339" s="1225"/>
      <c r="P339" s="1225"/>
      <c r="Q339" s="1225"/>
      <c r="R339" s="1225"/>
      <c r="S339" s="1023"/>
      <c r="T339" s="1023"/>
      <c r="U339" s="1225"/>
      <c r="V339" s="1023"/>
      <c r="W339" s="1225"/>
      <c r="X339" s="1225"/>
      <c r="Y339" s="1316"/>
      <c r="Z339" s="1225"/>
      <c r="AA339" s="1225"/>
      <c r="AB339" s="1059"/>
      <c r="AC339" s="1225"/>
      <c r="AD339" s="1225"/>
      <c r="AE339" s="1225"/>
      <c r="AF339" s="1221"/>
      <c r="AG339" s="1220"/>
      <c r="AH339" s="1221"/>
      <c r="AI339" s="1221"/>
      <c r="AJ339" s="1221"/>
      <c r="AK339" s="1221"/>
      <c r="AL339" s="1221"/>
      <c r="AM339" s="1221"/>
      <c r="AN339" s="1221"/>
      <c r="AO339" s="1221"/>
      <c r="AP339" s="1221"/>
      <c r="AQ339" s="1221"/>
      <c r="AR339" s="1221"/>
      <c r="AS339" s="1221"/>
      <c r="AT339" s="1221"/>
      <c r="AU339" s="1221"/>
      <c r="AV339" s="1221"/>
      <c r="AW339" s="1221"/>
      <c r="AX339" s="1221"/>
      <c r="AY339" s="1183"/>
    </row>
    <row r="340" spans="1:51" ht="21" customHeight="1" x14ac:dyDescent="0.25">
      <c r="A340" s="1189"/>
      <c r="B340" s="1018"/>
      <c r="C340" s="1217" t="s">
        <v>579</v>
      </c>
      <c r="D340" s="161" t="s">
        <v>340</v>
      </c>
      <c r="E340" s="1225"/>
      <c r="F340" s="1225"/>
      <c r="G340" s="1225"/>
      <c r="H340" s="1225"/>
      <c r="I340" s="1225"/>
      <c r="J340" s="1225"/>
      <c r="K340" s="1225"/>
      <c r="L340" s="1225"/>
      <c r="M340" s="1225"/>
      <c r="N340" s="1023"/>
      <c r="O340" s="1059"/>
      <c r="P340" s="1225"/>
      <c r="Q340" s="1225"/>
      <c r="R340" s="1225"/>
      <c r="S340" s="1023"/>
      <c r="T340" s="1023"/>
      <c r="U340" s="1225"/>
      <c r="V340" s="1023"/>
      <c r="W340" s="1225"/>
      <c r="X340" s="1225"/>
      <c r="Y340" s="1316"/>
      <c r="Z340" s="1225"/>
      <c r="AA340" s="1023"/>
      <c r="AB340" s="1059"/>
      <c r="AC340" s="1225"/>
      <c r="AD340" s="1225"/>
      <c r="AE340" s="1225"/>
      <c r="AF340" s="1315"/>
      <c r="AG340" s="1317" t="s">
        <v>580</v>
      </c>
      <c r="AH340" s="1299" t="s">
        <v>581</v>
      </c>
      <c r="AI340" s="1299" t="s">
        <v>582</v>
      </c>
      <c r="AJ340" s="1300" t="s">
        <v>1477</v>
      </c>
      <c r="AK340" s="1299" t="s">
        <v>457</v>
      </c>
      <c r="AL340" s="1299" t="s">
        <v>178</v>
      </c>
      <c r="AM340" s="1299" t="s">
        <v>551</v>
      </c>
      <c r="AN340" s="1301">
        <v>817019</v>
      </c>
      <c r="AO340" s="1301">
        <v>387428</v>
      </c>
      <c r="AP340" s="1301">
        <v>429591</v>
      </c>
      <c r="AQ340" s="1011" t="s">
        <v>459</v>
      </c>
      <c r="AR340" s="1011" t="s">
        <v>459</v>
      </c>
      <c r="AS340" s="1011" t="s">
        <v>459</v>
      </c>
      <c r="AT340" s="1011" t="s">
        <v>459</v>
      </c>
      <c r="AU340" s="1302" t="s">
        <v>459</v>
      </c>
      <c r="AV340" s="1302" t="s">
        <v>459</v>
      </c>
      <c r="AW340" s="1302" t="s">
        <v>459</v>
      </c>
      <c r="AX340" s="1301">
        <v>815262</v>
      </c>
      <c r="AY340" s="1183"/>
    </row>
    <row r="341" spans="1:51" ht="21" customHeight="1" x14ac:dyDescent="0.25">
      <c r="A341" s="1189"/>
      <c r="B341" s="1018"/>
      <c r="C341" s="1018"/>
      <c r="D341" s="164" t="s">
        <v>343</v>
      </c>
      <c r="E341" s="1225"/>
      <c r="F341" s="1225"/>
      <c r="G341" s="1225"/>
      <c r="H341" s="1225"/>
      <c r="I341" s="1225"/>
      <c r="J341" s="1225"/>
      <c r="K341" s="1225"/>
      <c r="L341" s="1225"/>
      <c r="M341" s="1225"/>
      <c r="N341" s="1225"/>
      <c r="O341" s="1059"/>
      <c r="P341" s="1059"/>
      <c r="Q341" s="1225"/>
      <c r="R341" s="1225"/>
      <c r="S341" s="1023"/>
      <c r="T341" s="1023"/>
      <c r="U341" s="1225"/>
      <c r="V341" s="1023"/>
      <c r="W341" s="1225"/>
      <c r="X341" s="1225"/>
      <c r="Y341" s="1316"/>
      <c r="Z341" s="1225"/>
      <c r="AA341" s="1225"/>
      <c r="AB341" s="1059"/>
      <c r="AC341" s="1225"/>
      <c r="AD341" s="1225"/>
      <c r="AE341" s="1225"/>
      <c r="AF341" s="1219"/>
      <c r="AG341" s="1218"/>
      <c r="AH341" s="1219"/>
      <c r="AI341" s="1219"/>
      <c r="AJ341" s="1219"/>
      <c r="AK341" s="1219"/>
      <c r="AL341" s="1219"/>
      <c r="AM341" s="1219"/>
      <c r="AN341" s="1219"/>
      <c r="AO341" s="1219"/>
      <c r="AP341" s="1219"/>
      <c r="AQ341" s="1219"/>
      <c r="AR341" s="1219"/>
      <c r="AS341" s="1219"/>
      <c r="AT341" s="1219"/>
      <c r="AU341" s="1219"/>
      <c r="AV341" s="1219"/>
      <c r="AW341" s="1219"/>
      <c r="AX341" s="1219"/>
      <c r="AY341" s="1183"/>
    </row>
    <row r="342" spans="1:51" ht="21" customHeight="1" x14ac:dyDescent="0.25">
      <c r="A342" s="1189"/>
      <c r="B342" s="1018"/>
      <c r="C342" s="1018"/>
      <c r="D342" s="165" t="s">
        <v>345</v>
      </c>
      <c r="E342" s="1225"/>
      <c r="F342" s="1225"/>
      <c r="G342" s="1225"/>
      <c r="H342" s="1225"/>
      <c r="I342" s="1225"/>
      <c r="J342" s="1225"/>
      <c r="K342" s="1225"/>
      <c r="L342" s="1225"/>
      <c r="M342" s="1225"/>
      <c r="N342" s="1023"/>
      <c r="O342" s="1059"/>
      <c r="P342" s="1225"/>
      <c r="Q342" s="1225"/>
      <c r="R342" s="1225"/>
      <c r="S342" s="1023"/>
      <c r="T342" s="1023"/>
      <c r="U342" s="1225"/>
      <c r="V342" s="1023"/>
      <c r="W342" s="1225"/>
      <c r="X342" s="1225"/>
      <c r="Y342" s="1316"/>
      <c r="Z342" s="1225"/>
      <c r="AA342" s="1023"/>
      <c r="AB342" s="1059"/>
      <c r="AC342" s="1225"/>
      <c r="AD342" s="1225"/>
      <c r="AE342" s="1225"/>
      <c r="AF342" s="1219"/>
      <c r="AG342" s="1218"/>
      <c r="AH342" s="1219"/>
      <c r="AI342" s="1219"/>
      <c r="AJ342" s="1219"/>
      <c r="AK342" s="1219"/>
      <c r="AL342" s="1219"/>
      <c r="AM342" s="1219"/>
      <c r="AN342" s="1219"/>
      <c r="AO342" s="1219"/>
      <c r="AP342" s="1219"/>
      <c r="AQ342" s="1219"/>
      <c r="AR342" s="1219"/>
      <c r="AS342" s="1219"/>
      <c r="AT342" s="1219"/>
      <c r="AU342" s="1219"/>
      <c r="AV342" s="1219"/>
      <c r="AW342" s="1219"/>
      <c r="AX342" s="1219"/>
      <c r="AY342" s="1183"/>
    </row>
    <row r="343" spans="1:51" ht="21" customHeight="1" x14ac:dyDescent="0.25">
      <c r="A343" s="1189"/>
      <c r="B343" s="1018"/>
      <c r="C343" s="1018"/>
      <c r="D343" s="164" t="s">
        <v>346</v>
      </c>
      <c r="E343" s="1225"/>
      <c r="F343" s="1225"/>
      <c r="G343" s="1225"/>
      <c r="H343" s="1225"/>
      <c r="I343" s="1225"/>
      <c r="J343" s="1225"/>
      <c r="K343" s="1059"/>
      <c r="L343" s="1059"/>
      <c r="M343" s="1059"/>
      <c r="N343" s="1059"/>
      <c r="O343" s="1059"/>
      <c r="P343" s="1225"/>
      <c r="Q343" s="1225"/>
      <c r="R343" s="1225"/>
      <c r="S343" s="1023"/>
      <c r="T343" s="1023"/>
      <c r="U343" s="1225"/>
      <c r="V343" s="1023"/>
      <c r="W343" s="1225"/>
      <c r="X343" s="1225"/>
      <c r="Y343" s="1316"/>
      <c r="Z343" s="1225"/>
      <c r="AA343" s="1059"/>
      <c r="AB343" s="1059"/>
      <c r="AC343" s="1225"/>
      <c r="AD343" s="1225"/>
      <c r="AE343" s="1225"/>
      <c r="AF343" s="1219"/>
      <c r="AG343" s="1218"/>
      <c r="AH343" s="1219"/>
      <c r="AI343" s="1219"/>
      <c r="AJ343" s="1219"/>
      <c r="AK343" s="1219"/>
      <c r="AL343" s="1219"/>
      <c r="AM343" s="1219"/>
      <c r="AN343" s="1219"/>
      <c r="AO343" s="1219"/>
      <c r="AP343" s="1219"/>
      <c r="AQ343" s="1219"/>
      <c r="AR343" s="1219"/>
      <c r="AS343" s="1219"/>
      <c r="AT343" s="1219"/>
      <c r="AU343" s="1219"/>
      <c r="AV343" s="1219"/>
      <c r="AW343" s="1219"/>
      <c r="AX343" s="1219"/>
      <c r="AY343" s="1183"/>
    </row>
    <row r="344" spans="1:51" ht="21" customHeight="1" x14ac:dyDescent="0.25">
      <c r="A344" s="1189"/>
      <c r="B344" s="1018"/>
      <c r="C344" s="1018"/>
      <c r="D344" s="165" t="s">
        <v>347</v>
      </c>
      <c r="E344" s="1225"/>
      <c r="F344" s="1225"/>
      <c r="G344" s="1225"/>
      <c r="H344" s="1225"/>
      <c r="I344" s="1225"/>
      <c r="J344" s="1225"/>
      <c r="K344" s="1225"/>
      <c r="L344" s="1225"/>
      <c r="M344" s="1225"/>
      <c r="N344" s="1023"/>
      <c r="O344" s="1059"/>
      <c r="P344" s="1225"/>
      <c r="Q344" s="1225"/>
      <c r="R344" s="1225"/>
      <c r="S344" s="1023"/>
      <c r="T344" s="1023"/>
      <c r="U344" s="1225"/>
      <c r="V344" s="1023"/>
      <c r="W344" s="1225"/>
      <c r="X344" s="1225"/>
      <c r="Y344" s="1316"/>
      <c r="Z344" s="1225"/>
      <c r="AA344" s="1023"/>
      <c r="AB344" s="1059"/>
      <c r="AC344" s="1225"/>
      <c r="AD344" s="1225"/>
      <c r="AE344" s="1225"/>
      <c r="AF344" s="1219"/>
      <c r="AG344" s="1218"/>
      <c r="AH344" s="1219"/>
      <c r="AI344" s="1219"/>
      <c r="AJ344" s="1219"/>
      <c r="AK344" s="1219"/>
      <c r="AL344" s="1219"/>
      <c r="AM344" s="1219"/>
      <c r="AN344" s="1219"/>
      <c r="AO344" s="1219"/>
      <c r="AP344" s="1219"/>
      <c r="AQ344" s="1219"/>
      <c r="AR344" s="1219"/>
      <c r="AS344" s="1219"/>
      <c r="AT344" s="1219"/>
      <c r="AU344" s="1219"/>
      <c r="AV344" s="1219"/>
      <c r="AW344" s="1219"/>
      <c r="AX344" s="1219"/>
      <c r="AY344" s="1183"/>
    </row>
    <row r="345" spans="1:51" ht="21" customHeight="1" x14ac:dyDescent="0.25">
      <c r="A345" s="1189"/>
      <c r="B345" s="1018"/>
      <c r="C345" s="1048"/>
      <c r="D345" s="164" t="s">
        <v>348</v>
      </c>
      <c r="E345" s="1225"/>
      <c r="F345" s="1225"/>
      <c r="G345" s="1225"/>
      <c r="H345" s="1225"/>
      <c r="I345" s="1225"/>
      <c r="J345" s="1225"/>
      <c r="K345" s="1225"/>
      <c r="L345" s="1225"/>
      <c r="M345" s="1225"/>
      <c r="N345" s="1225"/>
      <c r="O345" s="1059"/>
      <c r="P345" s="1059"/>
      <c r="Q345" s="1225"/>
      <c r="R345" s="1225"/>
      <c r="S345" s="1023"/>
      <c r="T345" s="1023"/>
      <c r="U345" s="1225"/>
      <c r="V345" s="1023"/>
      <c r="W345" s="1225"/>
      <c r="X345" s="1225"/>
      <c r="Y345" s="1316"/>
      <c r="Z345" s="1225"/>
      <c r="AA345" s="1225"/>
      <c r="AB345" s="1059"/>
      <c r="AC345" s="1225"/>
      <c r="AD345" s="1225"/>
      <c r="AE345" s="1225"/>
      <c r="AF345" s="1221"/>
      <c r="AG345" s="1220"/>
      <c r="AH345" s="1221"/>
      <c r="AI345" s="1221"/>
      <c r="AJ345" s="1221"/>
      <c r="AK345" s="1221"/>
      <c r="AL345" s="1221"/>
      <c r="AM345" s="1221"/>
      <c r="AN345" s="1221"/>
      <c r="AO345" s="1221"/>
      <c r="AP345" s="1221"/>
      <c r="AQ345" s="1221"/>
      <c r="AR345" s="1221"/>
      <c r="AS345" s="1221"/>
      <c r="AT345" s="1221"/>
      <c r="AU345" s="1221"/>
      <c r="AV345" s="1221"/>
      <c r="AW345" s="1221"/>
      <c r="AX345" s="1221"/>
      <c r="AY345" s="1183"/>
    </row>
    <row r="346" spans="1:51" ht="21" customHeight="1" x14ac:dyDescent="0.25">
      <c r="A346" s="1189"/>
      <c r="B346" s="1018"/>
      <c r="C346" s="1217" t="s">
        <v>583</v>
      </c>
      <c r="D346" s="161" t="s">
        <v>340</v>
      </c>
      <c r="E346" s="1225"/>
      <c r="F346" s="1225"/>
      <c r="G346" s="1225"/>
      <c r="H346" s="1225"/>
      <c r="I346" s="1225"/>
      <c r="J346" s="1225"/>
      <c r="K346" s="1225"/>
      <c r="L346" s="1225"/>
      <c r="M346" s="1225"/>
      <c r="N346" s="1023"/>
      <c r="O346" s="1059"/>
      <c r="P346" s="1225"/>
      <c r="Q346" s="1225"/>
      <c r="R346" s="1225"/>
      <c r="S346" s="1023"/>
      <c r="T346" s="1023"/>
      <c r="U346" s="1225"/>
      <c r="V346" s="1023"/>
      <c r="W346" s="1225"/>
      <c r="X346" s="1225"/>
      <c r="Y346" s="1316"/>
      <c r="Z346" s="1225"/>
      <c r="AA346" s="1023"/>
      <c r="AB346" s="1059"/>
      <c r="AC346" s="1225"/>
      <c r="AD346" s="1225"/>
      <c r="AE346" s="1225"/>
      <c r="AF346" s="1315"/>
      <c r="AG346" s="1298" t="s">
        <v>490</v>
      </c>
      <c r="AH346" s="1299" t="s">
        <v>584</v>
      </c>
      <c r="AI346" s="1299" t="s">
        <v>585</v>
      </c>
      <c r="AJ346" s="1300" t="s">
        <v>1477</v>
      </c>
      <c r="AK346" s="1299" t="s">
        <v>457</v>
      </c>
      <c r="AL346" s="1299" t="s">
        <v>178</v>
      </c>
      <c r="AM346" s="1299" t="s">
        <v>551</v>
      </c>
      <c r="AN346" s="1301">
        <v>817019</v>
      </c>
      <c r="AO346" s="1301">
        <v>387428</v>
      </c>
      <c r="AP346" s="1301">
        <v>429591</v>
      </c>
      <c r="AQ346" s="1011" t="s">
        <v>459</v>
      </c>
      <c r="AR346" s="1011" t="s">
        <v>459</v>
      </c>
      <c r="AS346" s="1011" t="s">
        <v>459</v>
      </c>
      <c r="AT346" s="1011" t="s">
        <v>459</v>
      </c>
      <c r="AU346" s="1302" t="s">
        <v>459</v>
      </c>
      <c r="AV346" s="1302" t="s">
        <v>459</v>
      </c>
      <c r="AW346" s="1302" t="s">
        <v>459</v>
      </c>
      <c r="AX346" s="1301">
        <v>815262</v>
      </c>
      <c r="AY346" s="1183"/>
    </row>
    <row r="347" spans="1:51" ht="21" customHeight="1" x14ac:dyDescent="0.25">
      <c r="A347" s="1189"/>
      <c r="B347" s="1018"/>
      <c r="C347" s="1018"/>
      <c r="D347" s="164" t="s">
        <v>343</v>
      </c>
      <c r="E347" s="1225"/>
      <c r="F347" s="1225"/>
      <c r="G347" s="1225"/>
      <c r="H347" s="1225"/>
      <c r="I347" s="1225"/>
      <c r="J347" s="1225"/>
      <c r="K347" s="1225"/>
      <c r="L347" s="1225"/>
      <c r="M347" s="1225"/>
      <c r="N347" s="1225"/>
      <c r="O347" s="1225"/>
      <c r="P347" s="1225"/>
      <c r="Q347" s="1225"/>
      <c r="R347" s="1225"/>
      <c r="S347" s="1023"/>
      <c r="T347" s="1023"/>
      <c r="U347" s="1225"/>
      <c r="V347" s="1023"/>
      <c r="W347" s="1225"/>
      <c r="X347" s="1225"/>
      <c r="Y347" s="1316"/>
      <c r="Z347" s="1225"/>
      <c r="AA347" s="1225"/>
      <c r="AB347" s="1059"/>
      <c r="AC347" s="1225"/>
      <c r="AD347" s="1225"/>
      <c r="AE347" s="1225"/>
      <c r="AF347" s="1219"/>
      <c r="AG347" s="1218"/>
      <c r="AH347" s="1219"/>
      <c r="AI347" s="1219"/>
      <c r="AJ347" s="1219"/>
      <c r="AK347" s="1219"/>
      <c r="AL347" s="1219"/>
      <c r="AM347" s="1219"/>
      <c r="AN347" s="1219"/>
      <c r="AO347" s="1219"/>
      <c r="AP347" s="1219"/>
      <c r="AQ347" s="1219"/>
      <c r="AR347" s="1219"/>
      <c r="AS347" s="1219"/>
      <c r="AT347" s="1219"/>
      <c r="AU347" s="1219"/>
      <c r="AV347" s="1219"/>
      <c r="AW347" s="1219"/>
      <c r="AX347" s="1219"/>
      <c r="AY347" s="1183"/>
    </row>
    <row r="348" spans="1:51" ht="21" customHeight="1" x14ac:dyDescent="0.25">
      <c r="A348" s="1189"/>
      <c r="B348" s="1018"/>
      <c r="C348" s="1018"/>
      <c r="D348" s="165" t="s">
        <v>345</v>
      </c>
      <c r="E348" s="1225"/>
      <c r="F348" s="1225"/>
      <c r="G348" s="1225"/>
      <c r="H348" s="1225"/>
      <c r="I348" s="1225"/>
      <c r="J348" s="1225"/>
      <c r="K348" s="1225"/>
      <c r="L348" s="1225"/>
      <c r="M348" s="1225"/>
      <c r="N348" s="1023"/>
      <c r="O348" s="1059"/>
      <c r="P348" s="1225"/>
      <c r="Q348" s="1225"/>
      <c r="R348" s="1225"/>
      <c r="S348" s="1023"/>
      <c r="T348" s="1023"/>
      <c r="U348" s="1225"/>
      <c r="V348" s="1023"/>
      <c r="W348" s="1225"/>
      <c r="X348" s="1225"/>
      <c r="Y348" s="1316"/>
      <c r="Z348" s="1225"/>
      <c r="AA348" s="1023"/>
      <c r="AB348" s="1059"/>
      <c r="AC348" s="1225"/>
      <c r="AD348" s="1225"/>
      <c r="AE348" s="1225"/>
      <c r="AF348" s="1219"/>
      <c r="AG348" s="1218"/>
      <c r="AH348" s="1219"/>
      <c r="AI348" s="1219"/>
      <c r="AJ348" s="1219"/>
      <c r="AK348" s="1219"/>
      <c r="AL348" s="1219"/>
      <c r="AM348" s="1219"/>
      <c r="AN348" s="1219"/>
      <c r="AO348" s="1219"/>
      <c r="AP348" s="1219"/>
      <c r="AQ348" s="1219"/>
      <c r="AR348" s="1219"/>
      <c r="AS348" s="1219"/>
      <c r="AT348" s="1219"/>
      <c r="AU348" s="1219"/>
      <c r="AV348" s="1219"/>
      <c r="AW348" s="1219"/>
      <c r="AX348" s="1219"/>
      <c r="AY348" s="1183"/>
    </row>
    <row r="349" spans="1:51" ht="21" customHeight="1" x14ac:dyDescent="0.25">
      <c r="A349" s="1189"/>
      <c r="B349" s="1018"/>
      <c r="C349" s="1018"/>
      <c r="D349" s="164" t="s">
        <v>346</v>
      </c>
      <c r="E349" s="1225"/>
      <c r="F349" s="1225"/>
      <c r="G349" s="1225"/>
      <c r="H349" s="1225"/>
      <c r="I349" s="1225"/>
      <c r="J349" s="1225"/>
      <c r="K349" s="1059"/>
      <c r="L349" s="1059"/>
      <c r="M349" s="1059"/>
      <c r="N349" s="1059"/>
      <c r="O349" s="1059"/>
      <c r="P349" s="1225"/>
      <c r="Q349" s="1225"/>
      <c r="R349" s="1225"/>
      <c r="S349" s="1023"/>
      <c r="T349" s="1023"/>
      <c r="U349" s="1225"/>
      <c r="V349" s="1023"/>
      <c r="W349" s="1225"/>
      <c r="X349" s="1225"/>
      <c r="Y349" s="1316"/>
      <c r="Z349" s="1225"/>
      <c r="AA349" s="1059"/>
      <c r="AB349" s="1059"/>
      <c r="AC349" s="1225"/>
      <c r="AD349" s="1225"/>
      <c r="AE349" s="1225"/>
      <c r="AF349" s="1219"/>
      <c r="AG349" s="1218"/>
      <c r="AH349" s="1219"/>
      <c r="AI349" s="1219"/>
      <c r="AJ349" s="1219"/>
      <c r="AK349" s="1219"/>
      <c r="AL349" s="1219"/>
      <c r="AM349" s="1219"/>
      <c r="AN349" s="1219"/>
      <c r="AO349" s="1219"/>
      <c r="AP349" s="1219"/>
      <c r="AQ349" s="1219"/>
      <c r="AR349" s="1219"/>
      <c r="AS349" s="1219"/>
      <c r="AT349" s="1219"/>
      <c r="AU349" s="1219"/>
      <c r="AV349" s="1219"/>
      <c r="AW349" s="1219"/>
      <c r="AX349" s="1219"/>
      <c r="AY349" s="1183"/>
    </row>
    <row r="350" spans="1:51" ht="21" customHeight="1" x14ac:dyDescent="0.25">
      <c r="A350" s="1189"/>
      <c r="B350" s="1018"/>
      <c r="C350" s="1018"/>
      <c r="D350" s="165" t="s">
        <v>347</v>
      </c>
      <c r="E350" s="1225"/>
      <c r="F350" s="1225"/>
      <c r="G350" s="1225"/>
      <c r="H350" s="1225"/>
      <c r="I350" s="1225"/>
      <c r="J350" s="1225"/>
      <c r="K350" s="1225"/>
      <c r="L350" s="1225"/>
      <c r="M350" s="1225"/>
      <c r="N350" s="1225"/>
      <c r="O350" s="1225"/>
      <c r="P350" s="1225"/>
      <c r="Q350" s="1225"/>
      <c r="R350" s="1225"/>
      <c r="S350" s="1023"/>
      <c r="T350" s="1023"/>
      <c r="U350" s="1225"/>
      <c r="V350" s="1023"/>
      <c r="W350" s="1225"/>
      <c r="X350" s="1225"/>
      <c r="Y350" s="1316"/>
      <c r="Z350" s="1225"/>
      <c r="AA350" s="1225"/>
      <c r="AB350" s="1059"/>
      <c r="AC350" s="1225"/>
      <c r="AD350" s="1225"/>
      <c r="AE350" s="1225"/>
      <c r="AF350" s="1219"/>
      <c r="AG350" s="1218"/>
      <c r="AH350" s="1219"/>
      <c r="AI350" s="1219"/>
      <c r="AJ350" s="1219"/>
      <c r="AK350" s="1219"/>
      <c r="AL350" s="1219"/>
      <c r="AM350" s="1219"/>
      <c r="AN350" s="1219"/>
      <c r="AO350" s="1219"/>
      <c r="AP350" s="1219"/>
      <c r="AQ350" s="1219"/>
      <c r="AR350" s="1219"/>
      <c r="AS350" s="1219"/>
      <c r="AT350" s="1219"/>
      <c r="AU350" s="1219"/>
      <c r="AV350" s="1219"/>
      <c r="AW350" s="1219"/>
      <c r="AX350" s="1219"/>
      <c r="AY350" s="1183"/>
    </row>
    <row r="351" spans="1:51" ht="21" customHeight="1" x14ac:dyDescent="0.25">
      <c r="A351" s="1189"/>
      <c r="B351" s="1018"/>
      <c r="C351" s="1048"/>
      <c r="D351" s="164" t="s">
        <v>348</v>
      </c>
      <c r="E351" s="1225"/>
      <c r="F351" s="1225"/>
      <c r="G351" s="1225"/>
      <c r="H351" s="1225"/>
      <c r="I351" s="1225"/>
      <c r="J351" s="1225"/>
      <c r="K351" s="1225"/>
      <c r="L351" s="1225"/>
      <c r="M351" s="1225"/>
      <c r="N351" s="1225"/>
      <c r="O351" s="1225"/>
      <c r="P351" s="1225"/>
      <c r="Q351" s="1225"/>
      <c r="R351" s="1225"/>
      <c r="S351" s="1023"/>
      <c r="T351" s="1023"/>
      <c r="U351" s="1225"/>
      <c r="V351" s="1023"/>
      <c r="W351" s="1225"/>
      <c r="X351" s="1225"/>
      <c r="Y351" s="1316"/>
      <c r="Z351" s="1225"/>
      <c r="AA351" s="1225"/>
      <c r="AB351" s="1059"/>
      <c r="AC351" s="1225"/>
      <c r="AD351" s="1225"/>
      <c r="AE351" s="1225"/>
      <c r="AF351" s="1221"/>
      <c r="AG351" s="1220"/>
      <c r="AH351" s="1221"/>
      <c r="AI351" s="1221"/>
      <c r="AJ351" s="1221"/>
      <c r="AK351" s="1221"/>
      <c r="AL351" s="1221"/>
      <c r="AM351" s="1221"/>
      <c r="AN351" s="1221"/>
      <c r="AO351" s="1221"/>
      <c r="AP351" s="1221"/>
      <c r="AQ351" s="1221"/>
      <c r="AR351" s="1221"/>
      <c r="AS351" s="1221"/>
      <c r="AT351" s="1221"/>
      <c r="AU351" s="1221"/>
      <c r="AV351" s="1221"/>
      <c r="AW351" s="1221"/>
      <c r="AX351" s="1221"/>
      <c r="AY351" s="1183"/>
    </row>
    <row r="352" spans="1:51" ht="21" customHeight="1" x14ac:dyDescent="0.25">
      <c r="A352" s="1189"/>
      <c r="B352" s="1018"/>
      <c r="C352" s="1217" t="s">
        <v>586</v>
      </c>
      <c r="D352" s="161" t="s">
        <v>340</v>
      </c>
      <c r="E352" s="1225"/>
      <c r="F352" s="1225"/>
      <c r="G352" s="1225"/>
      <c r="H352" s="1225"/>
      <c r="I352" s="1225"/>
      <c r="J352" s="1225"/>
      <c r="K352" s="1225"/>
      <c r="L352" s="1225"/>
      <c r="M352" s="1225"/>
      <c r="N352" s="1023"/>
      <c r="O352" s="1059"/>
      <c r="P352" s="1225"/>
      <c r="Q352" s="1225"/>
      <c r="R352" s="1225"/>
      <c r="S352" s="1023"/>
      <c r="T352" s="1023"/>
      <c r="U352" s="1225"/>
      <c r="V352" s="1023"/>
      <c r="W352" s="1225"/>
      <c r="X352" s="1225"/>
      <c r="Y352" s="1316"/>
      <c r="Z352" s="1225"/>
      <c r="AA352" s="1023"/>
      <c r="AB352" s="1059"/>
      <c r="AC352" s="1225"/>
      <c r="AD352" s="1225"/>
      <c r="AE352" s="1225"/>
      <c r="AF352" s="1315"/>
      <c r="AG352" s="1298" t="s">
        <v>490</v>
      </c>
      <c r="AH352" s="1299" t="s">
        <v>587</v>
      </c>
      <c r="AI352" s="1299" t="s">
        <v>588</v>
      </c>
      <c r="AJ352" s="1300" t="s">
        <v>1477</v>
      </c>
      <c r="AK352" s="1299" t="s">
        <v>457</v>
      </c>
      <c r="AL352" s="1299" t="s">
        <v>178</v>
      </c>
      <c r="AM352" s="1299" t="s">
        <v>551</v>
      </c>
      <c r="AN352" s="1301">
        <v>817019</v>
      </c>
      <c r="AO352" s="1301">
        <v>387428</v>
      </c>
      <c r="AP352" s="1301">
        <v>429591</v>
      </c>
      <c r="AQ352" s="1011" t="s">
        <v>459</v>
      </c>
      <c r="AR352" s="1011" t="s">
        <v>459</v>
      </c>
      <c r="AS352" s="1011" t="s">
        <v>459</v>
      </c>
      <c r="AT352" s="1011" t="s">
        <v>459</v>
      </c>
      <c r="AU352" s="1302" t="s">
        <v>459</v>
      </c>
      <c r="AV352" s="1302" t="s">
        <v>459</v>
      </c>
      <c r="AW352" s="1302" t="s">
        <v>459</v>
      </c>
      <c r="AX352" s="1301">
        <v>815262</v>
      </c>
      <c r="AY352" s="1183"/>
    </row>
    <row r="353" spans="1:51" ht="21" customHeight="1" x14ac:dyDescent="0.25">
      <c r="A353" s="1189"/>
      <c r="B353" s="1018"/>
      <c r="C353" s="1018"/>
      <c r="D353" s="164" t="s">
        <v>343</v>
      </c>
      <c r="E353" s="1225"/>
      <c r="F353" s="1225"/>
      <c r="G353" s="1225"/>
      <c r="H353" s="1225"/>
      <c r="I353" s="1225"/>
      <c r="J353" s="1225"/>
      <c r="K353" s="1225"/>
      <c r="L353" s="1225"/>
      <c r="M353" s="1225"/>
      <c r="N353" s="1225"/>
      <c r="O353" s="1225"/>
      <c r="P353" s="1225"/>
      <c r="Q353" s="1225"/>
      <c r="R353" s="1225"/>
      <c r="S353" s="1023"/>
      <c r="T353" s="1023"/>
      <c r="U353" s="1225"/>
      <c r="V353" s="1023"/>
      <c r="W353" s="1225"/>
      <c r="X353" s="1225"/>
      <c r="Y353" s="1316"/>
      <c r="Z353" s="1225"/>
      <c r="AA353" s="1225"/>
      <c r="AB353" s="1059"/>
      <c r="AC353" s="1225"/>
      <c r="AD353" s="1225"/>
      <c r="AE353" s="1225"/>
      <c r="AF353" s="1219"/>
      <c r="AG353" s="1218"/>
      <c r="AH353" s="1219"/>
      <c r="AI353" s="1219"/>
      <c r="AJ353" s="1219"/>
      <c r="AK353" s="1219"/>
      <c r="AL353" s="1219"/>
      <c r="AM353" s="1219"/>
      <c r="AN353" s="1219"/>
      <c r="AO353" s="1219"/>
      <c r="AP353" s="1219"/>
      <c r="AQ353" s="1219"/>
      <c r="AR353" s="1219"/>
      <c r="AS353" s="1219"/>
      <c r="AT353" s="1219"/>
      <c r="AU353" s="1219"/>
      <c r="AV353" s="1219"/>
      <c r="AW353" s="1219"/>
      <c r="AX353" s="1219"/>
      <c r="AY353" s="1183"/>
    </row>
    <row r="354" spans="1:51" ht="21" customHeight="1" x14ac:dyDescent="0.25">
      <c r="A354" s="1189"/>
      <c r="B354" s="1018"/>
      <c r="C354" s="1018"/>
      <c r="D354" s="165" t="s">
        <v>345</v>
      </c>
      <c r="E354" s="1225"/>
      <c r="F354" s="1225"/>
      <c r="G354" s="1225"/>
      <c r="H354" s="1225"/>
      <c r="I354" s="1225"/>
      <c r="J354" s="1225"/>
      <c r="K354" s="1225"/>
      <c r="L354" s="1225"/>
      <c r="M354" s="1225"/>
      <c r="N354" s="1023"/>
      <c r="O354" s="1059"/>
      <c r="P354" s="1225"/>
      <c r="Q354" s="1225"/>
      <c r="R354" s="1225"/>
      <c r="S354" s="1023"/>
      <c r="T354" s="1023"/>
      <c r="U354" s="1225"/>
      <c r="V354" s="1023"/>
      <c r="W354" s="1225"/>
      <c r="X354" s="1225"/>
      <c r="Y354" s="1316"/>
      <c r="Z354" s="1225"/>
      <c r="AA354" s="1023"/>
      <c r="AB354" s="1059"/>
      <c r="AC354" s="1225"/>
      <c r="AD354" s="1225"/>
      <c r="AE354" s="1225"/>
      <c r="AF354" s="1219"/>
      <c r="AG354" s="1218"/>
      <c r="AH354" s="1219"/>
      <c r="AI354" s="1219"/>
      <c r="AJ354" s="1219"/>
      <c r="AK354" s="1219"/>
      <c r="AL354" s="1219"/>
      <c r="AM354" s="1219"/>
      <c r="AN354" s="1219"/>
      <c r="AO354" s="1219"/>
      <c r="AP354" s="1219"/>
      <c r="AQ354" s="1219"/>
      <c r="AR354" s="1219"/>
      <c r="AS354" s="1219"/>
      <c r="AT354" s="1219"/>
      <c r="AU354" s="1219"/>
      <c r="AV354" s="1219"/>
      <c r="AW354" s="1219"/>
      <c r="AX354" s="1219"/>
      <c r="AY354" s="1183"/>
    </row>
    <row r="355" spans="1:51" ht="21" customHeight="1" x14ac:dyDescent="0.25">
      <c r="A355" s="1189"/>
      <c r="B355" s="1018"/>
      <c r="C355" s="1018"/>
      <c r="D355" s="164" t="s">
        <v>346</v>
      </c>
      <c r="E355" s="1225"/>
      <c r="F355" s="1225"/>
      <c r="G355" s="1225"/>
      <c r="H355" s="1225"/>
      <c r="I355" s="1225"/>
      <c r="J355" s="1225"/>
      <c r="K355" s="1059"/>
      <c r="L355" s="1059"/>
      <c r="M355" s="1059"/>
      <c r="N355" s="1059"/>
      <c r="O355" s="1059"/>
      <c r="P355" s="1059"/>
      <c r="Q355" s="1225"/>
      <c r="R355" s="1225"/>
      <c r="S355" s="1023"/>
      <c r="T355" s="1023"/>
      <c r="U355" s="1225"/>
      <c r="V355" s="1023"/>
      <c r="W355" s="1225"/>
      <c r="X355" s="1225"/>
      <c r="Y355" s="1316"/>
      <c r="Z355" s="1225"/>
      <c r="AA355" s="1059"/>
      <c r="AB355" s="1059"/>
      <c r="AC355" s="1225"/>
      <c r="AD355" s="1225"/>
      <c r="AE355" s="1225"/>
      <c r="AF355" s="1219"/>
      <c r="AG355" s="1218"/>
      <c r="AH355" s="1219"/>
      <c r="AI355" s="1219"/>
      <c r="AJ355" s="1219"/>
      <c r="AK355" s="1219"/>
      <c r="AL355" s="1219"/>
      <c r="AM355" s="1219"/>
      <c r="AN355" s="1219"/>
      <c r="AO355" s="1219"/>
      <c r="AP355" s="1219"/>
      <c r="AQ355" s="1219"/>
      <c r="AR355" s="1219"/>
      <c r="AS355" s="1219"/>
      <c r="AT355" s="1219"/>
      <c r="AU355" s="1219"/>
      <c r="AV355" s="1219"/>
      <c r="AW355" s="1219"/>
      <c r="AX355" s="1219"/>
      <c r="AY355" s="1183"/>
    </row>
    <row r="356" spans="1:51" ht="21" customHeight="1" x14ac:dyDescent="0.25">
      <c r="A356" s="1189"/>
      <c r="B356" s="1018"/>
      <c r="C356" s="1018"/>
      <c r="D356" s="165" t="s">
        <v>347</v>
      </c>
      <c r="E356" s="1225"/>
      <c r="F356" s="1225"/>
      <c r="G356" s="1225"/>
      <c r="H356" s="1225"/>
      <c r="I356" s="1225"/>
      <c r="J356" s="1225"/>
      <c r="K356" s="1225"/>
      <c r="L356" s="1225"/>
      <c r="M356" s="1225"/>
      <c r="N356" s="1225"/>
      <c r="O356" s="1225"/>
      <c r="P356" s="1225"/>
      <c r="Q356" s="1225"/>
      <c r="R356" s="1225"/>
      <c r="S356" s="1023"/>
      <c r="T356" s="1023"/>
      <c r="U356" s="1225"/>
      <c r="V356" s="1023"/>
      <c r="W356" s="1225"/>
      <c r="X356" s="1225"/>
      <c r="Y356" s="1316"/>
      <c r="Z356" s="1225"/>
      <c r="AA356" s="1225"/>
      <c r="AB356" s="1059"/>
      <c r="AC356" s="1225"/>
      <c r="AD356" s="1225"/>
      <c r="AE356" s="1225"/>
      <c r="AF356" s="1219"/>
      <c r="AG356" s="1218"/>
      <c r="AH356" s="1219"/>
      <c r="AI356" s="1219"/>
      <c r="AJ356" s="1219"/>
      <c r="AK356" s="1219"/>
      <c r="AL356" s="1219"/>
      <c r="AM356" s="1219"/>
      <c r="AN356" s="1219"/>
      <c r="AO356" s="1219"/>
      <c r="AP356" s="1219"/>
      <c r="AQ356" s="1219"/>
      <c r="AR356" s="1219"/>
      <c r="AS356" s="1219"/>
      <c r="AT356" s="1219"/>
      <c r="AU356" s="1219"/>
      <c r="AV356" s="1219"/>
      <c r="AW356" s="1219"/>
      <c r="AX356" s="1219"/>
      <c r="AY356" s="1183"/>
    </row>
    <row r="357" spans="1:51" ht="21" customHeight="1" x14ac:dyDescent="0.25">
      <c r="A357" s="1189"/>
      <c r="B357" s="1018"/>
      <c r="C357" s="1048"/>
      <c r="D357" s="164" t="s">
        <v>348</v>
      </c>
      <c r="E357" s="1225"/>
      <c r="F357" s="1225"/>
      <c r="G357" s="1225"/>
      <c r="H357" s="1225"/>
      <c r="I357" s="1225"/>
      <c r="J357" s="1225"/>
      <c r="K357" s="1225"/>
      <c r="L357" s="1225"/>
      <c r="M357" s="1225"/>
      <c r="N357" s="1225"/>
      <c r="O357" s="1225"/>
      <c r="P357" s="1225"/>
      <c r="Q357" s="1225"/>
      <c r="R357" s="1225"/>
      <c r="S357" s="1023"/>
      <c r="T357" s="1023"/>
      <c r="U357" s="1225"/>
      <c r="V357" s="1023"/>
      <c r="W357" s="1225"/>
      <c r="X357" s="1225"/>
      <c r="Y357" s="1316"/>
      <c r="Z357" s="1225"/>
      <c r="AA357" s="1225"/>
      <c r="AB357" s="1059"/>
      <c r="AC357" s="1225"/>
      <c r="AD357" s="1225"/>
      <c r="AE357" s="1225"/>
      <c r="AF357" s="1221"/>
      <c r="AG357" s="1220"/>
      <c r="AH357" s="1221"/>
      <c r="AI357" s="1221"/>
      <c r="AJ357" s="1221"/>
      <c r="AK357" s="1221"/>
      <c r="AL357" s="1221"/>
      <c r="AM357" s="1221"/>
      <c r="AN357" s="1221"/>
      <c r="AO357" s="1221"/>
      <c r="AP357" s="1221"/>
      <c r="AQ357" s="1221"/>
      <c r="AR357" s="1221"/>
      <c r="AS357" s="1221"/>
      <c r="AT357" s="1221"/>
      <c r="AU357" s="1221"/>
      <c r="AV357" s="1221"/>
      <c r="AW357" s="1221"/>
      <c r="AX357" s="1221"/>
      <c r="AY357" s="1183"/>
    </row>
    <row r="358" spans="1:51" ht="21" customHeight="1" x14ac:dyDescent="0.25">
      <c r="A358" s="1189"/>
      <c r="B358" s="1018"/>
      <c r="C358" s="1217" t="s">
        <v>589</v>
      </c>
      <c r="D358" s="161" t="s">
        <v>340</v>
      </c>
      <c r="E358" s="1318"/>
      <c r="F358" s="1319"/>
      <c r="G358" s="1319"/>
      <c r="H358" s="1319"/>
      <c r="I358" s="1306"/>
      <c r="J358" s="1306"/>
      <c r="K358" s="1316"/>
      <c r="L358" s="1316"/>
      <c r="M358" s="1316"/>
      <c r="N358" s="1023"/>
      <c r="O358" s="1320"/>
      <c r="P358" s="1316"/>
      <c r="Q358" s="1225"/>
      <c r="R358" s="1225"/>
      <c r="S358" s="1023"/>
      <c r="T358" s="1023"/>
      <c r="U358" s="1316"/>
      <c r="V358" s="1316"/>
      <c r="W358" s="1316"/>
      <c r="X358" s="1316"/>
      <c r="Y358" s="1316"/>
      <c r="Z358" s="1225"/>
      <c r="AA358" s="1023"/>
      <c r="AB358" s="1059"/>
      <c r="AC358" s="1225"/>
      <c r="AD358" s="1225"/>
      <c r="AE358" s="1225"/>
      <c r="AF358" s="1321"/>
      <c r="AG358" s="1298" t="s">
        <v>490</v>
      </c>
      <c r="AH358" s="1299" t="s">
        <v>584</v>
      </c>
      <c r="AI358" s="1299" t="s">
        <v>585</v>
      </c>
      <c r="AJ358" s="1300" t="s">
        <v>1477</v>
      </c>
      <c r="AK358" s="1299" t="s">
        <v>457</v>
      </c>
      <c r="AL358" s="1299" t="s">
        <v>178</v>
      </c>
      <c r="AM358" s="1299" t="s">
        <v>551</v>
      </c>
      <c r="AN358" s="1322">
        <v>817019</v>
      </c>
      <c r="AO358" s="1322">
        <v>387428</v>
      </c>
      <c r="AP358" s="1322">
        <v>429591</v>
      </c>
      <c r="AQ358" s="1011" t="s">
        <v>459</v>
      </c>
      <c r="AR358" s="1011" t="s">
        <v>459</v>
      </c>
      <c r="AS358" s="1011" t="s">
        <v>459</v>
      </c>
      <c r="AT358" s="1011" t="s">
        <v>459</v>
      </c>
      <c r="AU358" s="1302" t="s">
        <v>459</v>
      </c>
      <c r="AV358" s="1302" t="s">
        <v>459</v>
      </c>
      <c r="AW358" s="1302" t="s">
        <v>459</v>
      </c>
      <c r="AX358" s="1322">
        <v>817019</v>
      </c>
      <c r="AY358" s="1183"/>
    </row>
    <row r="359" spans="1:51" ht="21" customHeight="1" x14ac:dyDescent="0.25">
      <c r="A359" s="1189"/>
      <c r="B359" s="1018"/>
      <c r="C359" s="1018"/>
      <c r="D359" s="164" t="s">
        <v>343</v>
      </c>
      <c r="E359" s="1318"/>
      <c r="F359" s="1319"/>
      <c r="G359" s="1319"/>
      <c r="H359" s="1319"/>
      <c r="I359" s="1306"/>
      <c r="J359" s="1306"/>
      <c r="K359" s="1225"/>
      <c r="L359" s="1225"/>
      <c r="M359" s="1225"/>
      <c r="N359" s="1225"/>
      <c r="O359" s="1225"/>
      <c r="P359" s="1225"/>
      <c r="Q359" s="1225"/>
      <c r="R359" s="1225"/>
      <c r="S359" s="1023"/>
      <c r="T359" s="1023"/>
      <c r="U359" s="1316"/>
      <c r="V359" s="1316"/>
      <c r="W359" s="1316"/>
      <c r="X359" s="1316"/>
      <c r="Y359" s="1316"/>
      <c r="Z359" s="1225"/>
      <c r="AA359" s="1225"/>
      <c r="AB359" s="1059"/>
      <c r="AC359" s="1225"/>
      <c r="AD359" s="1225"/>
      <c r="AE359" s="1225"/>
      <c r="AF359" s="1230"/>
      <c r="AG359" s="1218"/>
      <c r="AH359" s="1219"/>
      <c r="AI359" s="1219"/>
      <c r="AJ359" s="1219"/>
      <c r="AK359" s="1219"/>
      <c r="AL359" s="1219"/>
      <c r="AM359" s="1219"/>
      <c r="AN359" s="1219"/>
      <c r="AO359" s="1219"/>
      <c r="AP359" s="1219"/>
      <c r="AQ359" s="1219"/>
      <c r="AR359" s="1219"/>
      <c r="AS359" s="1219"/>
      <c r="AT359" s="1219"/>
      <c r="AU359" s="1219"/>
      <c r="AV359" s="1219"/>
      <c r="AW359" s="1219"/>
      <c r="AX359" s="1219"/>
      <c r="AY359" s="1183"/>
    </row>
    <row r="360" spans="1:51" ht="21" customHeight="1" x14ac:dyDescent="0.25">
      <c r="A360" s="1189"/>
      <c r="B360" s="1018"/>
      <c r="C360" s="1018"/>
      <c r="D360" s="165" t="s">
        <v>345</v>
      </c>
      <c r="E360" s="1318"/>
      <c r="F360" s="1319"/>
      <c r="G360" s="1319"/>
      <c r="H360" s="1319"/>
      <c r="I360" s="1306"/>
      <c r="J360" s="1306"/>
      <c r="K360" s="1316"/>
      <c r="L360" s="1316"/>
      <c r="M360" s="1316"/>
      <c r="N360" s="1023"/>
      <c r="O360" s="1320"/>
      <c r="P360" s="1316"/>
      <c r="Q360" s="1225"/>
      <c r="R360" s="1225"/>
      <c r="S360" s="1023"/>
      <c r="T360" s="1023"/>
      <c r="U360" s="1316"/>
      <c r="V360" s="1316"/>
      <c r="W360" s="1316"/>
      <c r="X360" s="1316"/>
      <c r="Y360" s="1316"/>
      <c r="Z360" s="1225"/>
      <c r="AA360" s="1023"/>
      <c r="AB360" s="1059"/>
      <c r="AC360" s="1225"/>
      <c r="AD360" s="1225"/>
      <c r="AE360" s="1225"/>
      <c r="AF360" s="1230"/>
      <c r="AG360" s="1218"/>
      <c r="AH360" s="1219"/>
      <c r="AI360" s="1219"/>
      <c r="AJ360" s="1219"/>
      <c r="AK360" s="1219"/>
      <c r="AL360" s="1219"/>
      <c r="AM360" s="1219"/>
      <c r="AN360" s="1219"/>
      <c r="AO360" s="1219"/>
      <c r="AP360" s="1219"/>
      <c r="AQ360" s="1219"/>
      <c r="AR360" s="1219"/>
      <c r="AS360" s="1219"/>
      <c r="AT360" s="1219"/>
      <c r="AU360" s="1219"/>
      <c r="AV360" s="1219"/>
      <c r="AW360" s="1219"/>
      <c r="AX360" s="1219"/>
      <c r="AY360" s="1183"/>
    </row>
    <row r="361" spans="1:51" ht="21" customHeight="1" x14ac:dyDescent="0.25">
      <c r="A361" s="1189"/>
      <c r="B361" s="1018"/>
      <c r="C361" s="1018"/>
      <c r="D361" s="164" t="s">
        <v>346</v>
      </c>
      <c r="E361" s="1318"/>
      <c r="F361" s="1319"/>
      <c r="G361" s="1319"/>
      <c r="H361" s="1319"/>
      <c r="I361" s="1306"/>
      <c r="J361" s="1306"/>
      <c r="K361" s="1323"/>
      <c r="L361" s="1323"/>
      <c r="M361" s="1323"/>
      <c r="N361" s="1320"/>
      <c r="O361" s="1320"/>
      <c r="P361" s="1323"/>
      <c r="Q361" s="1225"/>
      <c r="R361" s="1225"/>
      <c r="S361" s="1023"/>
      <c r="T361" s="1023"/>
      <c r="U361" s="1316"/>
      <c r="V361" s="1316"/>
      <c r="W361" s="1316"/>
      <c r="X361" s="1316"/>
      <c r="Y361" s="1316"/>
      <c r="Z361" s="1225"/>
      <c r="AA361" s="1059"/>
      <c r="AB361" s="1059"/>
      <c r="AC361" s="1225"/>
      <c r="AD361" s="1225"/>
      <c r="AE361" s="1225"/>
      <c r="AF361" s="1230"/>
      <c r="AG361" s="1218"/>
      <c r="AH361" s="1219"/>
      <c r="AI361" s="1219"/>
      <c r="AJ361" s="1219"/>
      <c r="AK361" s="1219"/>
      <c r="AL361" s="1219"/>
      <c r="AM361" s="1219"/>
      <c r="AN361" s="1219"/>
      <c r="AO361" s="1219"/>
      <c r="AP361" s="1219"/>
      <c r="AQ361" s="1219"/>
      <c r="AR361" s="1219"/>
      <c r="AS361" s="1219"/>
      <c r="AT361" s="1219"/>
      <c r="AU361" s="1219"/>
      <c r="AV361" s="1219"/>
      <c r="AW361" s="1219"/>
      <c r="AX361" s="1219"/>
      <c r="AY361" s="1183"/>
    </row>
    <row r="362" spans="1:51" ht="21" customHeight="1" x14ac:dyDescent="0.25">
      <c r="A362" s="1189"/>
      <c r="B362" s="1018"/>
      <c r="C362" s="1018"/>
      <c r="D362" s="165" t="s">
        <v>347</v>
      </c>
      <c r="E362" s="1318"/>
      <c r="F362" s="1319"/>
      <c r="G362" s="1319"/>
      <c r="H362" s="1319"/>
      <c r="I362" s="1306"/>
      <c r="J362" s="1306"/>
      <c r="K362" s="1316"/>
      <c r="L362" s="1316"/>
      <c r="M362" s="1316"/>
      <c r="N362" s="1324"/>
      <c r="O362" s="1324"/>
      <c r="P362" s="1316"/>
      <c r="Q362" s="1316"/>
      <c r="R362" s="1316"/>
      <c r="S362" s="1023"/>
      <c r="T362" s="1023"/>
      <c r="U362" s="1316"/>
      <c r="V362" s="1316"/>
      <c r="W362" s="1316"/>
      <c r="X362" s="1316"/>
      <c r="Y362" s="1316"/>
      <c r="Z362" s="1225"/>
      <c r="AA362" s="1225"/>
      <c r="AB362" s="1059"/>
      <c r="AC362" s="1225"/>
      <c r="AD362" s="1225"/>
      <c r="AE362" s="1225"/>
      <c r="AF362" s="1230"/>
      <c r="AG362" s="1218"/>
      <c r="AH362" s="1219"/>
      <c r="AI362" s="1219"/>
      <c r="AJ362" s="1219"/>
      <c r="AK362" s="1219"/>
      <c r="AL362" s="1219"/>
      <c r="AM362" s="1219"/>
      <c r="AN362" s="1219"/>
      <c r="AO362" s="1219"/>
      <c r="AP362" s="1219"/>
      <c r="AQ362" s="1219"/>
      <c r="AR362" s="1219"/>
      <c r="AS362" s="1219"/>
      <c r="AT362" s="1219"/>
      <c r="AU362" s="1219"/>
      <c r="AV362" s="1219"/>
      <c r="AW362" s="1219"/>
      <c r="AX362" s="1219"/>
      <c r="AY362" s="1183"/>
    </row>
    <row r="363" spans="1:51" ht="21" customHeight="1" x14ac:dyDescent="0.25">
      <c r="A363" s="1189"/>
      <c r="B363" s="1018"/>
      <c r="C363" s="1048"/>
      <c r="D363" s="164" t="s">
        <v>348</v>
      </c>
      <c r="E363" s="1318"/>
      <c r="F363" s="1319"/>
      <c r="G363" s="1319"/>
      <c r="H363" s="1319"/>
      <c r="I363" s="1306"/>
      <c r="J363" s="1306"/>
      <c r="K363" s="1225"/>
      <c r="L363" s="1225"/>
      <c r="M363" s="1225"/>
      <c r="N363" s="1225"/>
      <c r="O363" s="1225"/>
      <c r="P363" s="1225"/>
      <c r="Q363" s="1225"/>
      <c r="R363" s="1225"/>
      <c r="S363" s="1023"/>
      <c r="T363" s="1023"/>
      <c r="U363" s="1316"/>
      <c r="V363" s="1316"/>
      <c r="W363" s="1316"/>
      <c r="X363" s="1316"/>
      <c r="Y363" s="1316"/>
      <c r="Z363" s="1225"/>
      <c r="AA363" s="1225"/>
      <c r="AB363" s="1059"/>
      <c r="AC363" s="1225"/>
      <c r="AD363" s="1225"/>
      <c r="AE363" s="1225"/>
      <c r="AF363" s="1231"/>
      <c r="AG363" s="1220"/>
      <c r="AH363" s="1221"/>
      <c r="AI363" s="1221"/>
      <c r="AJ363" s="1221"/>
      <c r="AK363" s="1221"/>
      <c r="AL363" s="1221"/>
      <c r="AM363" s="1221"/>
      <c r="AN363" s="1221"/>
      <c r="AO363" s="1221"/>
      <c r="AP363" s="1221"/>
      <c r="AQ363" s="1221"/>
      <c r="AR363" s="1221"/>
      <c r="AS363" s="1221"/>
      <c r="AT363" s="1221"/>
      <c r="AU363" s="1221"/>
      <c r="AV363" s="1221"/>
      <c r="AW363" s="1221"/>
      <c r="AX363" s="1221"/>
      <c r="AY363" s="1183"/>
    </row>
    <row r="364" spans="1:51" ht="21" customHeight="1" x14ac:dyDescent="0.25">
      <c r="A364" s="1189"/>
      <c r="B364" s="1018"/>
      <c r="C364" s="1217" t="s">
        <v>590</v>
      </c>
      <c r="D364" s="161" t="s">
        <v>340</v>
      </c>
      <c r="E364" s="1225"/>
      <c r="F364" s="1225"/>
      <c r="G364" s="1225"/>
      <c r="H364" s="1225"/>
      <c r="I364" s="1225"/>
      <c r="J364" s="1225"/>
      <c r="K364" s="1225"/>
      <c r="L364" s="1225"/>
      <c r="M364" s="1225"/>
      <c r="N364" s="1023"/>
      <c r="O364" s="1059"/>
      <c r="P364" s="1225"/>
      <c r="Q364" s="1225"/>
      <c r="R364" s="1225"/>
      <c r="S364" s="1023"/>
      <c r="T364" s="1023"/>
      <c r="U364" s="1225"/>
      <c r="V364" s="1225"/>
      <c r="W364" s="1225"/>
      <c r="X364" s="1225"/>
      <c r="Y364" s="1316"/>
      <c r="Z364" s="1225"/>
      <c r="AA364" s="1023"/>
      <c r="AB364" s="1059"/>
      <c r="AC364" s="1225"/>
      <c r="AD364" s="1225"/>
      <c r="AE364" s="1225"/>
      <c r="AF364" s="1315"/>
      <c r="AG364" s="1298" t="s">
        <v>490</v>
      </c>
      <c r="AH364" s="1299" t="s">
        <v>584</v>
      </c>
      <c r="AI364" s="1299" t="s">
        <v>585</v>
      </c>
      <c r="AJ364" s="1300" t="s">
        <v>1477</v>
      </c>
      <c r="AK364" s="1299" t="s">
        <v>457</v>
      </c>
      <c r="AL364" s="1299" t="s">
        <v>178</v>
      </c>
      <c r="AM364" s="1299" t="s">
        <v>551</v>
      </c>
      <c r="AN364" s="1301">
        <v>817019</v>
      </c>
      <c r="AO364" s="1301">
        <v>387428</v>
      </c>
      <c r="AP364" s="1301">
        <v>429591</v>
      </c>
      <c r="AQ364" s="1011" t="s">
        <v>459</v>
      </c>
      <c r="AR364" s="1011" t="s">
        <v>459</v>
      </c>
      <c r="AS364" s="1011" t="s">
        <v>459</v>
      </c>
      <c r="AT364" s="1011" t="s">
        <v>459</v>
      </c>
      <c r="AU364" s="1302" t="s">
        <v>459</v>
      </c>
      <c r="AV364" s="1302" t="s">
        <v>459</v>
      </c>
      <c r="AW364" s="1302" t="s">
        <v>459</v>
      </c>
      <c r="AX364" s="1301">
        <v>817019</v>
      </c>
      <c r="AY364" s="1183"/>
    </row>
    <row r="365" spans="1:51" ht="21" customHeight="1" x14ac:dyDescent="0.25">
      <c r="A365" s="1189"/>
      <c r="B365" s="1018"/>
      <c r="C365" s="1018"/>
      <c r="D365" s="164" t="s">
        <v>343</v>
      </c>
      <c r="E365" s="1225"/>
      <c r="F365" s="1225"/>
      <c r="G365" s="1225"/>
      <c r="H365" s="1225"/>
      <c r="I365" s="1225"/>
      <c r="J365" s="1225"/>
      <c r="K365" s="1225"/>
      <c r="L365" s="1225"/>
      <c r="M365" s="1225"/>
      <c r="N365" s="1225"/>
      <c r="O365" s="1225"/>
      <c r="P365" s="1225"/>
      <c r="Q365" s="1225"/>
      <c r="R365" s="1225"/>
      <c r="S365" s="1023"/>
      <c r="T365" s="1023"/>
      <c r="U365" s="1225"/>
      <c r="V365" s="1225"/>
      <c r="W365" s="1225"/>
      <c r="X365" s="1225"/>
      <c r="Y365" s="1316"/>
      <c r="Z365" s="1225"/>
      <c r="AA365" s="1225"/>
      <c r="AB365" s="1059"/>
      <c r="AC365" s="1225"/>
      <c r="AD365" s="1225"/>
      <c r="AE365" s="1225"/>
      <c r="AF365" s="1219"/>
      <c r="AG365" s="1218"/>
      <c r="AH365" s="1219"/>
      <c r="AI365" s="1219"/>
      <c r="AJ365" s="1219"/>
      <c r="AK365" s="1219"/>
      <c r="AL365" s="1219"/>
      <c r="AM365" s="1219"/>
      <c r="AN365" s="1219"/>
      <c r="AO365" s="1219"/>
      <c r="AP365" s="1219"/>
      <c r="AQ365" s="1219"/>
      <c r="AR365" s="1219"/>
      <c r="AS365" s="1219"/>
      <c r="AT365" s="1219"/>
      <c r="AU365" s="1219"/>
      <c r="AV365" s="1219"/>
      <c r="AW365" s="1219"/>
      <c r="AX365" s="1219"/>
      <c r="AY365" s="1183"/>
    </row>
    <row r="366" spans="1:51" ht="21" customHeight="1" x14ac:dyDescent="0.25">
      <c r="A366" s="1189"/>
      <c r="B366" s="1018"/>
      <c r="C366" s="1018"/>
      <c r="D366" s="165" t="s">
        <v>345</v>
      </c>
      <c r="E366" s="1225"/>
      <c r="F366" s="1225"/>
      <c r="G366" s="1225"/>
      <c r="H366" s="1225"/>
      <c r="I366" s="1225"/>
      <c r="J366" s="1225"/>
      <c r="K366" s="1225"/>
      <c r="L366" s="1225"/>
      <c r="M366" s="1225"/>
      <c r="N366" s="1023"/>
      <c r="O366" s="1059"/>
      <c r="P366" s="1225"/>
      <c r="Q366" s="1225"/>
      <c r="R366" s="1225"/>
      <c r="S366" s="1023"/>
      <c r="T366" s="1023"/>
      <c r="U366" s="1225"/>
      <c r="V366" s="1225"/>
      <c r="W366" s="1225"/>
      <c r="X366" s="1225"/>
      <c r="Y366" s="1316"/>
      <c r="Z366" s="1225"/>
      <c r="AA366" s="1023"/>
      <c r="AB366" s="1059"/>
      <c r="AC366" s="1225"/>
      <c r="AD366" s="1225"/>
      <c r="AE366" s="1225"/>
      <c r="AF366" s="1219"/>
      <c r="AG366" s="1218"/>
      <c r="AH366" s="1219"/>
      <c r="AI366" s="1219"/>
      <c r="AJ366" s="1219"/>
      <c r="AK366" s="1219"/>
      <c r="AL366" s="1219"/>
      <c r="AM366" s="1219"/>
      <c r="AN366" s="1219"/>
      <c r="AO366" s="1219"/>
      <c r="AP366" s="1219"/>
      <c r="AQ366" s="1219"/>
      <c r="AR366" s="1219"/>
      <c r="AS366" s="1219"/>
      <c r="AT366" s="1219"/>
      <c r="AU366" s="1219"/>
      <c r="AV366" s="1219"/>
      <c r="AW366" s="1219"/>
      <c r="AX366" s="1219"/>
      <c r="AY366" s="1183"/>
    </row>
    <row r="367" spans="1:51" ht="21" customHeight="1" x14ac:dyDescent="0.25">
      <c r="A367" s="1189"/>
      <c r="B367" s="1018"/>
      <c r="C367" s="1018"/>
      <c r="D367" s="164" t="s">
        <v>346</v>
      </c>
      <c r="E367" s="1225"/>
      <c r="F367" s="1225"/>
      <c r="G367" s="1225"/>
      <c r="H367" s="1225"/>
      <c r="I367" s="1225"/>
      <c r="J367" s="1225"/>
      <c r="K367" s="1225"/>
      <c r="L367" s="1225"/>
      <c r="M367" s="1225"/>
      <c r="N367" s="1225"/>
      <c r="O367" s="1225"/>
      <c r="P367" s="1225"/>
      <c r="Q367" s="1225"/>
      <c r="R367" s="1225"/>
      <c r="S367" s="1023"/>
      <c r="T367" s="1023"/>
      <c r="U367" s="1225"/>
      <c r="V367" s="1225"/>
      <c r="W367" s="1225"/>
      <c r="X367" s="1225"/>
      <c r="Y367" s="1316"/>
      <c r="Z367" s="1225"/>
      <c r="AA367" s="1225"/>
      <c r="AB367" s="1059"/>
      <c r="AC367" s="1225"/>
      <c r="AD367" s="1225"/>
      <c r="AE367" s="1225"/>
      <c r="AF367" s="1219"/>
      <c r="AG367" s="1218"/>
      <c r="AH367" s="1219"/>
      <c r="AI367" s="1219"/>
      <c r="AJ367" s="1219"/>
      <c r="AK367" s="1219"/>
      <c r="AL367" s="1219"/>
      <c r="AM367" s="1219"/>
      <c r="AN367" s="1219"/>
      <c r="AO367" s="1219"/>
      <c r="AP367" s="1219"/>
      <c r="AQ367" s="1219"/>
      <c r="AR367" s="1219"/>
      <c r="AS367" s="1219"/>
      <c r="AT367" s="1219"/>
      <c r="AU367" s="1219"/>
      <c r="AV367" s="1219"/>
      <c r="AW367" s="1219"/>
      <c r="AX367" s="1219"/>
      <c r="AY367" s="1183"/>
    </row>
    <row r="368" spans="1:51" ht="21" customHeight="1" x14ac:dyDescent="0.25">
      <c r="A368" s="1189"/>
      <c r="B368" s="1018"/>
      <c r="C368" s="1018"/>
      <c r="D368" s="165" t="s">
        <v>347</v>
      </c>
      <c r="E368" s="1225"/>
      <c r="F368" s="1225"/>
      <c r="G368" s="1225"/>
      <c r="H368" s="1225"/>
      <c r="I368" s="1225"/>
      <c r="J368" s="1225"/>
      <c r="K368" s="1225"/>
      <c r="L368" s="1225"/>
      <c r="M368" s="1225"/>
      <c r="N368" s="1225"/>
      <c r="O368" s="1225"/>
      <c r="P368" s="1225"/>
      <c r="Q368" s="1225"/>
      <c r="R368" s="1225"/>
      <c r="S368" s="1023"/>
      <c r="T368" s="1023"/>
      <c r="U368" s="1225"/>
      <c r="V368" s="1225"/>
      <c r="W368" s="1225"/>
      <c r="X368" s="1225"/>
      <c r="Y368" s="1316"/>
      <c r="Z368" s="1225"/>
      <c r="AA368" s="1225"/>
      <c r="AB368" s="1059"/>
      <c r="AC368" s="1225"/>
      <c r="AD368" s="1225"/>
      <c r="AE368" s="1225"/>
      <c r="AF368" s="1219"/>
      <c r="AG368" s="1218"/>
      <c r="AH368" s="1219"/>
      <c r="AI368" s="1219"/>
      <c r="AJ368" s="1219"/>
      <c r="AK368" s="1219"/>
      <c r="AL368" s="1219"/>
      <c r="AM368" s="1219"/>
      <c r="AN368" s="1219"/>
      <c r="AO368" s="1219"/>
      <c r="AP368" s="1219"/>
      <c r="AQ368" s="1219"/>
      <c r="AR368" s="1219"/>
      <c r="AS368" s="1219"/>
      <c r="AT368" s="1219"/>
      <c r="AU368" s="1219"/>
      <c r="AV368" s="1219"/>
      <c r="AW368" s="1219"/>
      <c r="AX368" s="1219"/>
      <c r="AY368" s="1183"/>
    </row>
    <row r="369" spans="1:51" ht="21" customHeight="1" x14ac:dyDescent="0.25">
      <c r="A369" s="1189"/>
      <c r="B369" s="1018"/>
      <c r="C369" s="1048"/>
      <c r="D369" s="164" t="s">
        <v>348</v>
      </c>
      <c r="E369" s="1225"/>
      <c r="F369" s="1225"/>
      <c r="G369" s="1225"/>
      <c r="H369" s="1225"/>
      <c r="I369" s="1225"/>
      <c r="J369" s="1225"/>
      <c r="K369" s="1225"/>
      <c r="L369" s="1225"/>
      <c r="M369" s="1225"/>
      <c r="N369" s="1225"/>
      <c r="O369" s="1225"/>
      <c r="P369" s="1225"/>
      <c r="Q369" s="1225"/>
      <c r="R369" s="1225"/>
      <c r="S369" s="1023"/>
      <c r="T369" s="1023"/>
      <c r="U369" s="1225"/>
      <c r="V369" s="1225"/>
      <c r="W369" s="1225"/>
      <c r="X369" s="1225"/>
      <c r="Y369" s="1316"/>
      <c r="Z369" s="1225"/>
      <c r="AA369" s="1225"/>
      <c r="AB369" s="1059"/>
      <c r="AC369" s="1225"/>
      <c r="AD369" s="1225"/>
      <c r="AE369" s="1225"/>
      <c r="AF369" s="1221"/>
      <c r="AG369" s="1220"/>
      <c r="AH369" s="1221"/>
      <c r="AI369" s="1221"/>
      <c r="AJ369" s="1221"/>
      <c r="AK369" s="1221"/>
      <c r="AL369" s="1221"/>
      <c r="AM369" s="1221"/>
      <c r="AN369" s="1221"/>
      <c r="AO369" s="1221"/>
      <c r="AP369" s="1221"/>
      <c r="AQ369" s="1221"/>
      <c r="AR369" s="1221"/>
      <c r="AS369" s="1221"/>
      <c r="AT369" s="1221"/>
      <c r="AU369" s="1221"/>
      <c r="AV369" s="1221"/>
      <c r="AW369" s="1221"/>
      <c r="AX369" s="1221"/>
      <c r="AY369" s="1183"/>
    </row>
    <row r="370" spans="1:51" ht="21" customHeight="1" x14ac:dyDescent="0.25">
      <c r="A370" s="1189"/>
      <c r="B370" s="1018"/>
      <c r="C370" s="1217" t="s">
        <v>591</v>
      </c>
      <c r="D370" s="161" t="s">
        <v>340</v>
      </c>
      <c r="E370" s="1225"/>
      <c r="F370" s="1225"/>
      <c r="G370" s="1225"/>
      <c r="H370" s="1225"/>
      <c r="I370" s="1225"/>
      <c r="J370" s="1225"/>
      <c r="K370" s="1225"/>
      <c r="L370" s="1225"/>
      <c r="M370" s="1225"/>
      <c r="N370" s="1023"/>
      <c r="O370" s="1059"/>
      <c r="P370" s="1225"/>
      <c r="Q370" s="1225"/>
      <c r="R370" s="1225"/>
      <c r="S370" s="1023"/>
      <c r="T370" s="1023"/>
      <c r="U370" s="1225"/>
      <c r="V370" s="1225"/>
      <c r="W370" s="1225"/>
      <c r="X370" s="1225"/>
      <c r="Y370" s="1316"/>
      <c r="Z370" s="1225"/>
      <c r="AA370" s="1023"/>
      <c r="AB370" s="1059"/>
      <c r="AC370" s="1225"/>
      <c r="AD370" s="1225"/>
      <c r="AE370" s="1225"/>
      <c r="AF370" s="1315"/>
      <c r="AG370" s="1298" t="s">
        <v>490</v>
      </c>
      <c r="AH370" s="1299" t="s">
        <v>584</v>
      </c>
      <c r="AI370" s="1299" t="s">
        <v>585</v>
      </c>
      <c r="AJ370" s="1300" t="s">
        <v>1477</v>
      </c>
      <c r="AK370" s="1299" t="s">
        <v>457</v>
      </c>
      <c r="AL370" s="1299" t="s">
        <v>178</v>
      </c>
      <c r="AM370" s="1299" t="s">
        <v>551</v>
      </c>
      <c r="AN370" s="1301">
        <v>817019</v>
      </c>
      <c r="AO370" s="1301">
        <v>387428</v>
      </c>
      <c r="AP370" s="1301">
        <v>429591</v>
      </c>
      <c r="AQ370" s="1011" t="s">
        <v>459</v>
      </c>
      <c r="AR370" s="1011" t="s">
        <v>459</v>
      </c>
      <c r="AS370" s="1011" t="s">
        <v>459</v>
      </c>
      <c r="AT370" s="1011" t="s">
        <v>459</v>
      </c>
      <c r="AU370" s="1302" t="s">
        <v>459</v>
      </c>
      <c r="AV370" s="1302" t="s">
        <v>459</v>
      </c>
      <c r="AW370" s="1302" t="s">
        <v>459</v>
      </c>
      <c r="AX370" s="1301">
        <v>817019</v>
      </c>
      <c r="AY370" s="1183"/>
    </row>
    <row r="371" spans="1:51" ht="21" customHeight="1" x14ac:dyDescent="0.25">
      <c r="A371" s="1189"/>
      <c r="B371" s="1018"/>
      <c r="C371" s="1018"/>
      <c r="D371" s="164" t="s">
        <v>343</v>
      </c>
      <c r="E371" s="1225"/>
      <c r="F371" s="1225"/>
      <c r="G371" s="1225"/>
      <c r="H371" s="1225"/>
      <c r="I371" s="1225"/>
      <c r="J371" s="1225"/>
      <c r="K371" s="1225"/>
      <c r="L371" s="1225"/>
      <c r="M371" s="1225"/>
      <c r="N371" s="1225"/>
      <c r="O371" s="1225"/>
      <c r="P371" s="1225"/>
      <c r="Q371" s="1225"/>
      <c r="R371" s="1225"/>
      <c r="S371" s="1023"/>
      <c r="T371" s="1023"/>
      <c r="U371" s="1225"/>
      <c r="V371" s="1225"/>
      <c r="W371" s="1225"/>
      <c r="X371" s="1225"/>
      <c r="Y371" s="1316"/>
      <c r="Z371" s="1225"/>
      <c r="AA371" s="1225"/>
      <c r="AB371" s="1059"/>
      <c r="AC371" s="1225"/>
      <c r="AD371" s="1225"/>
      <c r="AE371" s="1225"/>
      <c r="AF371" s="1219"/>
      <c r="AG371" s="1218"/>
      <c r="AH371" s="1219"/>
      <c r="AI371" s="1219"/>
      <c r="AJ371" s="1219"/>
      <c r="AK371" s="1219"/>
      <c r="AL371" s="1219"/>
      <c r="AM371" s="1219"/>
      <c r="AN371" s="1219"/>
      <c r="AO371" s="1219"/>
      <c r="AP371" s="1219"/>
      <c r="AQ371" s="1219"/>
      <c r="AR371" s="1219"/>
      <c r="AS371" s="1219"/>
      <c r="AT371" s="1219"/>
      <c r="AU371" s="1219"/>
      <c r="AV371" s="1219"/>
      <c r="AW371" s="1219"/>
      <c r="AX371" s="1219"/>
      <c r="AY371" s="1183"/>
    </row>
    <row r="372" spans="1:51" ht="21" customHeight="1" x14ac:dyDescent="0.25">
      <c r="A372" s="1189"/>
      <c r="B372" s="1018"/>
      <c r="C372" s="1018"/>
      <c r="D372" s="165" t="s">
        <v>345</v>
      </c>
      <c r="E372" s="1225"/>
      <c r="F372" s="1225"/>
      <c r="G372" s="1225"/>
      <c r="H372" s="1225"/>
      <c r="I372" s="1225"/>
      <c r="J372" s="1225"/>
      <c r="K372" s="1225"/>
      <c r="L372" s="1225"/>
      <c r="M372" s="1225"/>
      <c r="N372" s="1023"/>
      <c r="O372" s="1059"/>
      <c r="P372" s="1225"/>
      <c r="Q372" s="1225"/>
      <c r="R372" s="1225"/>
      <c r="S372" s="1023"/>
      <c r="T372" s="1023"/>
      <c r="U372" s="1225"/>
      <c r="V372" s="1225"/>
      <c r="W372" s="1225"/>
      <c r="X372" s="1225"/>
      <c r="Y372" s="1316"/>
      <c r="Z372" s="1225"/>
      <c r="AA372" s="1023"/>
      <c r="AB372" s="1059"/>
      <c r="AC372" s="1225"/>
      <c r="AD372" s="1225"/>
      <c r="AE372" s="1225"/>
      <c r="AF372" s="1219"/>
      <c r="AG372" s="1218"/>
      <c r="AH372" s="1219"/>
      <c r="AI372" s="1219"/>
      <c r="AJ372" s="1219"/>
      <c r="AK372" s="1219"/>
      <c r="AL372" s="1219"/>
      <c r="AM372" s="1219"/>
      <c r="AN372" s="1219"/>
      <c r="AO372" s="1219"/>
      <c r="AP372" s="1219"/>
      <c r="AQ372" s="1219"/>
      <c r="AR372" s="1219"/>
      <c r="AS372" s="1219"/>
      <c r="AT372" s="1219"/>
      <c r="AU372" s="1219"/>
      <c r="AV372" s="1219"/>
      <c r="AW372" s="1219"/>
      <c r="AX372" s="1219"/>
      <c r="AY372" s="1183"/>
    </row>
    <row r="373" spans="1:51" ht="21" customHeight="1" x14ac:dyDescent="0.25">
      <c r="A373" s="1189"/>
      <c r="B373" s="1018"/>
      <c r="C373" s="1018"/>
      <c r="D373" s="164" t="s">
        <v>346</v>
      </c>
      <c r="E373" s="1225"/>
      <c r="F373" s="1225"/>
      <c r="G373" s="1225"/>
      <c r="H373" s="1225"/>
      <c r="I373" s="1225"/>
      <c r="J373" s="1225"/>
      <c r="K373" s="1225"/>
      <c r="L373" s="1225"/>
      <c r="M373" s="1225"/>
      <c r="N373" s="1225"/>
      <c r="O373" s="1225"/>
      <c r="P373" s="1225"/>
      <c r="Q373" s="1225"/>
      <c r="R373" s="1225"/>
      <c r="S373" s="1023"/>
      <c r="T373" s="1023"/>
      <c r="U373" s="1225"/>
      <c r="V373" s="1225"/>
      <c r="W373" s="1225"/>
      <c r="X373" s="1225"/>
      <c r="Y373" s="1316"/>
      <c r="Z373" s="1225"/>
      <c r="AA373" s="1225"/>
      <c r="AB373" s="1059"/>
      <c r="AC373" s="1225"/>
      <c r="AD373" s="1225"/>
      <c r="AE373" s="1225"/>
      <c r="AF373" s="1219"/>
      <c r="AG373" s="1218"/>
      <c r="AH373" s="1219"/>
      <c r="AI373" s="1219"/>
      <c r="AJ373" s="1219"/>
      <c r="AK373" s="1219"/>
      <c r="AL373" s="1219"/>
      <c r="AM373" s="1219"/>
      <c r="AN373" s="1219"/>
      <c r="AO373" s="1219"/>
      <c r="AP373" s="1219"/>
      <c r="AQ373" s="1219"/>
      <c r="AR373" s="1219"/>
      <c r="AS373" s="1219"/>
      <c r="AT373" s="1219"/>
      <c r="AU373" s="1219"/>
      <c r="AV373" s="1219"/>
      <c r="AW373" s="1219"/>
      <c r="AX373" s="1219"/>
      <c r="AY373" s="1183"/>
    </row>
    <row r="374" spans="1:51" ht="21" customHeight="1" x14ac:dyDescent="0.25">
      <c r="A374" s="1189"/>
      <c r="B374" s="1018"/>
      <c r="C374" s="1018"/>
      <c r="D374" s="165" t="s">
        <v>347</v>
      </c>
      <c r="E374" s="1225"/>
      <c r="F374" s="1225"/>
      <c r="G374" s="1225"/>
      <c r="H374" s="1225"/>
      <c r="I374" s="1225"/>
      <c r="J374" s="1225"/>
      <c r="K374" s="1225"/>
      <c r="L374" s="1225"/>
      <c r="M374" s="1225"/>
      <c r="N374" s="1225"/>
      <c r="O374" s="1225"/>
      <c r="P374" s="1225"/>
      <c r="Q374" s="1225"/>
      <c r="R374" s="1225"/>
      <c r="S374" s="1023"/>
      <c r="T374" s="1023"/>
      <c r="U374" s="1225"/>
      <c r="V374" s="1225"/>
      <c r="W374" s="1225"/>
      <c r="X374" s="1225"/>
      <c r="Y374" s="1316"/>
      <c r="Z374" s="1225"/>
      <c r="AA374" s="1225"/>
      <c r="AB374" s="1059"/>
      <c r="AC374" s="1225"/>
      <c r="AD374" s="1225"/>
      <c r="AE374" s="1225"/>
      <c r="AF374" s="1219"/>
      <c r="AG374" s="1218"/>
      <c r="AH374" s="1219"/>
      <c r="AI374" s="1219"/>
      <c r="AJ374" s="1219"/>
      <c r="AK374" s="1219"/>
      <c r="AL374" s="1219"/>
      <c r="AM374" s="1219"/>
      <c r="AN374" s="1219"/>
      <c r="AO374" s="1219"/>
      <c r="AP374" s="1219"/>
      <c r="AQ374" s="1219"/>
      <c r="AR374" s="1219"/>
      <c r="AS374" s="1219"/>
      <c r="AT374" s="1219"/>
      <c r="AU374" s="1219"/>
      <c r="AV374" s="1219"/>
      <c r="AW374" s="1219"/>
      <c r="AX374" s="1219"/>
      <c r="AY374" s="1183"/>
    </row>
    <row r="375" spans="1:51" ht="21" customHeight="1" x14ac:dyDescent="0.25">
      <c r="A375" s="1189"/>
      <c r="B375" s="1018"/>
      <c r="C375" s="1048"/>
      <c r="D375" s="164" t="s">
        <v>348</v>
      </c>
      <c r="E375" s="1225"/>
      <c r="F375" s="1225"/>
      <c r="G375" s="1225"/>
      <c r="H375" s="1225"/>
      <c r="I375" s="1225"/>
      <c r="J375" s="1225"/>
      <c r="K375" s="1225"/>
      <c r="L375" s="1225"/>
      <c r="M375" s="1225"/>
      <c r="N375" s="1225"/>
      <c r="O375" s="1225"/>
      <c r="P375" s="1225"/>
      <c r="Q375" s="1225"/>
      <c r="R375" s="1225"/>
      <c r="S375" s="1023"/>
      <c r="T375" s="1023"/>
      <c r="U375" s="1225"/>
      <c r="V375" s="1225"/>
      <c r="W375" s="1225"/>
      <c r="X375" s="1225"/>
      <c r="Y375" s="1316"/>
      <c r="Z375" s="1225"/>
      <c r="AA375" s="1225"/>
      <c r="AB375" s="1059"/>
      <c r="AC375" s="1225"/>
      <c r="AD375" s="1225"/>
      <c r="AE375" s="1225"/>
      <c r="AF375" s="1221"/>
      <c r="AG375" s="1220"/>
      <c r="AH375" s="1221"/>
      <c r="AI375" s="1221"/>
      <c r="AJ375" s="1221"/>
      <c r="AK375" s="1221"/>
      <c r="AL375" s="1221"/>
      <c r="AM375" s="1221"/>
      <c r="AN375" s="1221"/>
      <c r="AO375" s="1221"/>
      <c r="AP375" s="1221"/>
      <c r="AQ375" s="1221"/>
      <c r="AR375" s="1221"/>
      <c r="AS375" s="1221"/>
      <c r="AT375" s="1221"/>
      <c r="AU375" s="1221"/>
      <c r="AV375" s="1221"/>
      <c r="AW375" s="1221"/>
      <c r="AX375" s="1221"/>
      <c r="AY375" s="1183"/>
    </row>
    <row r="376" spans="1:51" ht="21" customHeight="1" x14ac:dyDescent="0.25">
      <c r="A376" s="1189"/>
      <c r="B376" s="1018"/>
      <c r="C376" s="1217" t="s">
        <v>592</v>
      </c>
      <c r="D376" s="161" t="s">
        <v>340</v>
      </c>
      <c r="E376" s="1225"/>
      <c r="F376" s="1225"/>
      <c r="G376" s="1225"/>
      <c r="H376" s="1225"/>
      <c r="I376" s="1225"/>
      <c r="J376" s="1225"/>
      <c r="K376" s="1225"/>
      <c r="L376" s="1225"/>
      <c r="M376" s="1225"/>
      <c r="N376" s="1023"/>
      <c r="O376" s="1059"/>
      <c r="P376" s="1225"/>
      <c r="Q376" s="1225"/>
      <c r="R376" s="1225"/>
      <c r="S376" s="1023"/>
      <c r="T376" s="1023"/>
      <c r="U376" s="1225"/>
      <c r="V376" s="1225"/>
      <c r="W376" s="1225"/>
      <c r="X376" s="1225"/>
      <c r="Y376" s="1316"/>
      <c r="Z376" s="1225"/>
      <c r="AA376" s="1023"/>
      <c r="AB376" s="1059"/>
      <c r="AC376" s="1225"/>
      <c r="AD376" s="1225"/>
      <c r="AE376" s="1225"/>
      <c r="AF376" s="1315"/>
      <c r="AG376" s="1298" t="s">
        <v>490</v>
      </c>
      <c r="AH376" s="1299" t="s">
        <v>584</v>
      </c>
      <c r="AI376" s="1299" t="s">
        <v>585</v>
      </c>
      <c r="AJ376" s="1300" t="s">
        <v>1477</v>
      </c>
      <c r="AK376" s="1299" t="s">
        <v>457</v>
      </c>
      <c r="AL376" s="1299" t="s">
        <v>178</v>
      </c>
      <c r="AM376" s="1299" t="s">
        <v>551</v>
      </c>
      <c r="AN376" s="1301">
        <v>817019</v>
      </c>
      <c r="AO376" s="1301">
        <v>387428</v>
      </c>
      <c r="AP376" s="1301">
        <v>429591</v>
      </c>
      <c r="AQ376" s="1011" t="s">
        <v>459</v>
      </c>
      <c r="AR376" s="1011" t="s">
        <v>459</v>
      </c>
      <c r="AS376" s="1011" t="s">
        <v>459</v>
      </c>
      <c r="AT376" s="1011" t="s">
        <v>459</v>
      </c>
      <c r="AU376" s="1302" t="s">
        <v>459</v>
      </c>
      <c r="AV376" s="1302" t="s">
        <v>459</v>
      </c>
      <c r="AW376" s="1302" t="s">
        <v>459</v>
      </c>
      <c r="AX376" s="1301">
        <v>817019</v>
      </c>
      <c r="AY376" s="1183"/>
    </row>
    <row r="377" spans="1:51" ht="21" customHeight="1" x14ac:dyDescent="0.25">
      <c r="A377" s="1189"/>
      <c r="B377" s="1018"/>
      <c r="C377" s="1018"/>
      <c r="D377" s="164" t="s">
        <v>343</v>
      </c>
      <c r="E377" s="1225"/>
      <c r="F377" s="1225"/>
      <c r="G377" s="1225"/>
      <c r="H377" s="1225"/>
      <c r="I377" s="1225"/>
      <c r="J377" s="1225"/>
      <c r="K377" s="1225"/>
      <c r="L377" s="1225"/>
      <c r="M377" s="1225"/>
      <c r="N377" s="1225"/>
      <c r="O377" s="1225"/>
      <c r="P377" s="1225"/>
      <c r="Q377" s="1225"/>
      <c r="R377" s="1225"/>
      <c r="S377" s="1023"/>
      <c r="T377" s="1023"/>
      <c r="U377" s="1225"/>
      <c r="V377" s="1225"/>
      <c r="W377" s="1225"/>
      <c r="X377" s="1225"/>
      <c r="Y377" s="1316"/>
      <c r="Z377" s="1225"/>
      <c r="AA377" s="1225"/>
      <c r="AB377" s="1059"/>
      <c r="AC377" s="1225"/>
      <c r="AD377" s="1225"/>
      <c r="AE377" s="1225"/>
      <c r="AF377" s="1219"/>
      <c r="AG377" s="1218"/>
      <c r="AH377" s="1219"/>
      <c r="AI377" s="1219"/>
      <c r="AJ377" s="1219"/>
      <c r="AK377" s="1219"/>
      <c r="AL377" s="1219"/>
      <c r="AM377" s="1219"/>
      <c r="AN377" s="1219"/>
      <c r="AO377" s="1219"/>
      <c r="AP377" s="1219"/>
      <c r="AQ377" s="1219"/>
      <c r="AR377" s="1219"/>
      <c r="AS377" s="1219"/>
      <c r="AT377" s="1219"/>
      <c r="AU377" s="1219"/>
      <c r="AV377" s="1219"/>
      <c r="AW377" s="1219"/>
      <c r="AX377" s="1219"/>
      <c r="AY377" s="1183"/>
    </row>
    <row r="378" spans="1:51" ht="21" customHeight="1" x14ac:dyDescent="0.25">
      <c r="A378" s="1189"/>
      <c r="B378" s="1018"/>
      <c r="C378" s="1018"/>
      <c r="D378" s="165" t="s">
        <v>345</v>
      </c>
      <c r="E378" s="1225"/>
      <c r="F378" s="1225"/>
      <c r="G378" s="1225"/>
      <c r="H378" s="1225"/>
      <c r="I378" s="1225"/>
      <c r="J378" s="1225"/>
      <c r="K378" s="1225"/>
      <c r="L378" s="1225"/>
      <c r="M378" s="1225"/>
      <c r="N378" s="1023"/>
      <c r="O378" s="1059"/>
      <c r="P378" s="1225"/>
      <c r="Q378" s="1225"/>
      <c r="R378" s="1225"/>
      <c r="S378" s="1023"/>
      <c r="T378" s="1023"/>
      <c r="U378" s="1225"/>
      <c r="V378" s="1225"/>
      <c r="W378" s="1225"/>
      <c r="X378" s="1225"/>
      <c r="Y378" s="1316"/>
      <c r="Z378" s="1225"/>
      <c r="AA378" s="1023"/>
      <c r="AB378" s="1059"/>
      <c r="AC378" s="1225"/>
      <c r="AD378" s="1225"/>
      <c r="AE378" s="1225"/>
      <c r="AF378" s="1219"/>
      <c r="AG378" s="1218"/>
      <c r="AH378" s="1219"/>
      <c r="AI378" s="1219"/>
      <c r="AJ378" s="1219"/>
      <c r="AK378" s="1219"/>
      <c r="AL378" s="1219"/>
      <c r="AM378" s="1219"/>
      <c r="AN378" s="1219"/>
      <c r="AO378" s="1219"/>
      <c r="AP378" s="1219"/>
      <c r="AQ378" s="1219"/>
      <c r="AR378" s="1219"/>
      <c r="AS378" s="1219"/>
      <c r="AT378" s="1219"/>
      <c r="AU378" s="1219"/>
      <c r="AV378" s="1219"/>
      <c r="AW378" s="1219"/>
      <c r="AX378" s="1219"/>
      <c r="AY378" s="1183"/>
    </row>
    <row r="379" spans="1:51" ht="21" customHeight="1" x14ac:dyDescent="0.25">
      <c r="A379" s="1189"/>
      <c r="B379" s="1018"/>
      <c r="C379" s="1018"/>
      <c r="D379" s="164" t="s">
        <v>346</v>
      </c>
      <c r="E379" s="1225"/>
      <c r="F379" s="1225"/>
      <c r="G379" s="1225"/>
      <c r="H379" s="1225"/>
      <c r="I379" s="1225"/>
      <c r="J379" s="1225"/>
      <c r="K379" s="1225"/>
      <c r="L379" s="1225"/>
      <c r="M379" s="1225"/>
      <c r="N379" s="1225"/>
      <c r="O379" s="1225"/>
      <c r="P379" s="1225"/>
      <c r="Q379" s="1225"/>
      <c r="R379" s="1225"/>
      <c r="S379" s="1023"/>
      <c r="T379" s="1023"/>
      <c r="U379" s="1225"/>
      <c r="V379" s="1225"/>
      <c r="W379" s="1225"/>
      <c r="X379" s="1225"/>
      <c r="Y379" s="1316"/>
      <c r="Z379" s="1225"/>
      <c r="AA379" s="1225"/>
      <c r="AB379" s="1059"/>
      <c r="AC379" s="1225"/>
      <c r="AD379" s="1225"/>
      <c r="AE379" s="1225"/>
      <c r="AF379" s="1219"/>
      <c r="AG379" s="1218"/>
      <c r="AH379" s="1219"/>
      <c r="AI379" s="1219"/>
      <c r="AJ379" s="1219"/>
      <c r="AK379" s="1219"/>
      <c r="AL379" s="1219"/>
      <c r="AM379" s="1219"/>
      <c r="AN379" s="1219"/>
      <c r="AO379" s="1219"/>
      <c r="AP379" s="1219"/>
      <c r="AQ379" s="1219"/>
      <c r="AR379" s="1219"/>
      <c r="AS379" s="1219"/>
      <c r="AT379" s="1219"/>
      <c r="AU379" s="1219"/>
      <c r="AV379" s="1219"/>
      <c r="AW379" s="1219"/>
      <c r="AX379" s="1219"/>
      <c r="AY379" s="1183"/>
    </row>
    <row r="380" spans="1:51" ht="21" customHeight="1" x14ac:dyDescent="0.25">
      <c r="A380" s="1189"/>
      <c r="B380" s="1018"/>
      <c r="C380" s="1018"/>
      <c r="D380" s="165" t="s">
        <v>347</v>
      </c>
      <c r="E380" s="1225"/>
      <c r="F380" s="1225"/>
      <c r="G380" s="1225"/>
      <c r="H380" s="1225"/>
      <c r="I380" s="1225"/>
      <c r="J380" s="1225"/>
      <c r="K380" s="1225"/>
      <c r="L380" s="1225"/>
      <c r="M380" s="1225"/>
      <c r="N380" s="1225"/>
      <c r="O380" s="1225"/>
      <c r="P380" s="1225"/>
      <c r="Q380" s="1225"/>
      <c r="R380" s="1225"/>
      <c r="S380" s="1023"/>
      <c r="T380" s="1023"/>
      <c r="U380" s="1225"/>
      <c r="V380" s="1225"/>
      <c r="W380" s="1225"/>
      <c r="X380" s="1225"/>
      <c r="Y380" s="1316"/>
      <c r="Z380" s="1225"/>
      <c r="AA380" s="1225"/>
      <c r="AB380" s="1059"/>
      <c r="AC380" s="1225"/>
      <c r="AD380" s="1225"/>
      <c r="AE380" s="1225"/>
      <c r="AF380" s="1219"/>
      <c r="AG380" s="1218"/>
      <c r="AH380" s="1219"/>
      <c r="AI380" s="1219"/>
      <c r="AJ380" s="1219"/>
      <c r="AK380" s="1219"/>
      <c r="AL380" s="1219"/>
      <c r="AM380" s="1219"/>
      <c r="AN380" s="1219"/>
      <c r="AO380" s="1219"/>
      <c r="AP380" s="1219"/>
      <c r="AQ380" s="1219"/>
      <c r="AR380" s="1219"/>
      <c r="AS380" s="1219"/>
      <c r="AT380" s="1219"/>
      <c r="AU380" s="1219"/>
      <c r="AV380" s="1219"/>
      <c r="AW380" s="1219"/>
      <c r="AX380" s="1219"/>
      <c r="AY380" s="1183"/>
    </row>
    <row r="381" spans="1:51" ht="21" customHeight="1" x14ac:dyDescent="0.25">
      <c r="A381" s="1189"/>
      <c r="B381" s="1018"/>
      <c r="C381" s="1048"/>
      <c r="D381" s="164" t="s">
        <v>348</v>
      </c>
      <c r="E381" s="1225"/>
      <c r="F381" s="1225"/>
      <c r="G381" s="1225"/>
      <c r="H381" s="1225"/>
      <c r="I381" s="1225"/>
      <c r="J381" s="1225"/>
      <c r="K381" s="1225"/>
      <c r="L381" s="1225"/>
      <c r="M381" s="1225"/>
      <c r="N381" s="1225"/>
      <c r="O381" s="1225"/>
      <c r="P381" s="1225"/>
      <c r="Q381" s="1225"/>
      <c r="R381" s="1225"/>
      <c r="S381" s="1023"/>
      <c r="T381" s="1023"/>
      <c r="U381" s="1225"/>
      <c r="V381" s="1225"/>
      <c r="W381" s="1225"/>
      <c r="X381" s="1225"/>
      <c r="Y381" s="1316"/>
      <c r="Z381" s="1225"/>
      <c r="AA381" s="1225"/>
      <c r="AB381" s="1059"/>
      <c r="AC381" s="1225"/>
      <c r="AD381" s="1225"/>
      <c r="AE381" s="1225"/>
      <c r="AF381" s="1221"/>
      <c r="AG381" s="1220"/>
      <c r="AH381" s="1221"/>
      <c r="AI381" s="1221"/>
      <c r="AJ381" s="1221"/>
      <c r="AK381" s="1221"/>
      <c r="AL381" s="1221"/>
      <c r="AM381" s="1221"/>
      <c r="AN381" s="1221"/>
      <c r="AO381" s="1221"/>
      <c r="AP381" s="1221"/>
      <c r="AQ381" s="1221"/>
      <c r="AR381" s="1221"/>
      <c r="AS381" s="1221"/>
      <c r="AT381" s="1221"/>
      <c r="AU381" s="1221"/>
      <c r="AV381" s="1221"/>
      <c r="AW381" s="1221"/>
      <c r="AX381" s="1221"/>
      <c r="AY381" s="1183"/>
    </row>
    <row r="382" spans="1:51" ht="21" customHeight="1" x14ac:dyDescent="0.25">
      <c r="A382" s="1189"/>
      <c r="B382" s="1018"/>
      <c r="C382" s="1217" t="s">
        <v>593</v>
      </c>
      <c r="D382" s="161" t="s">
        <v>340</v>
      </c>
      <c r="E382" s="1225"/>
      <c r="F382" s="1225"/>
      <c r="G382" s="1225"/>
      <c r="H382" s="1225"/>
      <c r="I382" s="1225"/>
      <c r="J382" s="1225"/>
      <c r="K382" s="1225"/>
      <c r="L382" s="1225"/>
      <c r="M382" s="1225"/>
      <c r="N382" s="1023"/>
      <c r="O382" s="1059"/>
      <c r="P382" s="1225"/>
      <c r="Q382" s="1225"/>
      <c r="R382" s="1225"/>
      <c r="S382" s="1023"/>
      <c r="T382" s="1023"/>
      <c r="U382" s="1225"/>
      <c r="V382" s="1023"/>
      <c r="W382" s="1225"/>
      <c r="X382" s="1225"/>
      <c r="Y382" s="1225"/>
      <c r="Z382" s="1023"/>
      <c r="AA382" s="1023"/>
      <c r="AB382" s="1059"/>
      <c r="AC382" s="1225"/>
      <c r="AD382" s="1225"/>
      <c r="AE382" s="1225"/>
      <c r="AF382" s="1315"/>
      <c r="AG382" s="1298" t="s">
        <v>492</v>
      </c>
      <c r="AH382" s="1299" t="s">
        <v>594</v>
      </c>
      <c r="AI382" s="1299" t="s">
        <v>595</v>
      </c>
      <c r="AJ382" s="1300" t="s">
        <v>1477</v>
      </c>
      <c r="AK382" s="1299" t="s">
        <v>457</v>
      </c>
      <c r="AL382" s="1299" t="s">
        <v>178</v>
      </c>
      <c r="AM382" s="1299" t="s">
        <v>458</v>
      </c>
      <c r="AN382" s="1301">
        <v>1294358</v>
      </c>
      <c r="AO382" s="1301">
        <v>610618</v>
      </c>
      <c r="AP382" s="1301">
        <v>683740</v>
      </c>
      <c r="AQ382" s="1011" t="s">
        <v>459</v>
      </c>
      <c r="AR382" s="1011" t="s">
        <v>459</v>
      </c>
      <c r="AS382" s="1011" t="s">
        <v>459</v>
      </c>
      <c r="AT382" s="1011" t="s">
        <v>459</v>
      </c>
      <c r="AU382" s="1302" t="s">
        <v>459</v>
      </c>
      <c r="AV382" s="1302" t="s">
        <v>459</v>
      </c>
      <c r="AW382" s="1302" t="s">
        <v>459</v>
      </c>
      <c r="AX382" s="1301">
        <v>1269831</v>
      </c>
      <c r="AY382" s="1183"/>
    </row>
    <row r="383" spans="1:51" ht="21" customHeight="1" x14ac:dyDescent="0.25">
      <c r="A383" s="1189"/>
      <c r="B383" s="1018"/>
      <c r="C383" s="1018"/>
      <c r="D383" s="164" t="s">
        <v>343</v>
      </c>
      <c r="E383" s="1225"/>
      <c r="F383" s="1225"/>
      <c r="G383" s="1059"/>
      <c r="H383" s="1225"/>
      <c r="I383" s="1225"/>
      <c r="J383" s="1225"/>
      <c r="K383" s="1225"/>
      <c r="L383" s="1225"/>
      <c r="M383" s="1225"/>
      <c r="N383" s="1225"/>
      <c r="O383" s="1059"/>
      <c r="P383" s="1225"/>
      <c r="Q383" s="1225"/>
      <c r="R383" s="1225"/>
      <c r="S383" s="1023"/>
      <c r="T383" s="1059"/>
      <c r="U383" s="1225"/>
      <c r="V383" s="1225"/>
      <c r="W383" s="1225"/>
      <c r="X383" s="1225"/>
      <c r="Y383" s="1225"/>
      <c r="Z383" s="1225"/>
      <c r="AA383" s="1225"/>
      <c r="AB383" s="1059"/>
      <c r="AC383" s="1225"/>
      <c r="AD383" s="1225"/>
      <c r="AE383" s="1225"/>
      <c r="AF383" s="1219"/>
      <c r="AG383" s="1218"/>
      <c r="AH383" s="1219"/>
      <c r="AI383" s="1219"/>
      <c r="AJ383" s="1219"/>
      <c r="AK383" s="1219"/>
      <c r="AL383" s="1219"/>
      <c r="AM383" s="1219"/>
      <c r="AN383" s="1219"/>
      <c r="AO383" s="1219"/>
      <c r="AP383" s="1219"/>
      <c r="AQ383" s="1219"/>
      <c r="AR383" s="1219"/>
      <c r="AS383" s="1219"/>
      <c r="AT383" s="1219"/>
      <c r="AU383" s="1219"/>
      <c r="AV383" s="1219"/>
      <c r="AW383" s="1219"/>
      <c r="AX383" s="1219"/>
      <c r="AY383" s="1183"/>
    </row>
    <row r="384" spans="1:51" ht="21" customHeight="1" x14ac:dyDescent="0.25">
      <c r="A384" s="1189"/>
      <c r="B384" s="1018"/>
      <c r="C384" s="1018"/>
      <c r="D384" s="165" t="s">
        <v>345</v>
      </c>
      <c r="E384" s="1225"/>
      <c r="F384" s="1225"/>
      <c r="G384" s="1225"/>
      <c r="H384" s="1225"/>
      <c r="I384" s="1225"/>
      <c r="J384" s="1225"/>
      <c r="K384" s="1225"/>
      <c r="L384" s="1225"/>
      <c r="M384" s="1225"/>
      <c r="N384" s="1023"/>
      <c r="O384" s="1059"/>
      <c r="P384" s="1225"/>
      <c r="Q384" s="1225"/>
      <c r="R384" s="1225"/>
      <c r="S384" s="1023"/>
      <c r="T384" s="1023"/>
      <c r="U384" s="1023"/>
      <c r="V384" s="1023"/>
      <c r="W384" s="1225"/>
      <c r="X384" s="1225"/>
      <c r="Y384" s="1225"/>
      <c r="Z384" s="1023"/>
      <c r="AA384" s="1023"/>
      <c r="AB384" s="1059"/>
      <c r="AC384" s="1225"/>
      <c r="AD384" s="1225"/>
      <c r="AE384" s="1225"/>
      <c r="AF384" s="1219"/>
      <c r="AG384" s="1218"/>
      <c r="AH384" s="1219"/>
      <c r="AI384" s="1219"/>
      <c r="AJ384" s="1219"/>
      <c r="AK384" s="1219"/>
      <c r="AL384" s="1219"/>
      <c r="AM384" s="1219"/>
      <c r="AN384" s="1219"/>
      <c r="AO384" s="1219"/>
      <c r="AP384" s="1219"/>
      <c r="AQ384" s="1219"/>
      <c r="AR384" s="1219"/>
      <c r="AS384" s="1219"/>
      <c r="AT384" s="1219"/>
      <c r="AU384" s="1219"/>
      <c r="AV384" s="1219"/>
      <c r="AW384" s="1219"/>
      <c r="AX384" s="1219"/>
      <c r="AY384" s="1183"/>
    </row>
    <row r="385" spans="1:51" ht="21" customHeight="1" x14ac:dyDescent="0.25">
      <c r="A385" s="1189"/>
      <c r="B385" s="1018"/>
      <c r="C385" s="1018"/>
      <c r="D385" s="164" t="s">
        <v>346</v>
      </c>
      <c r="E385" s="1225"/>
      <c r="F385" s="1225"/>
      <c r="G385" s="1225"/>
      <c r="H385" s="1225"/>
      <c r="I385" s="1059"/>
      <c r="J385" s="1059"/>
      <c r="K385" s="1059"/>
      <c r="L385" s="1059"/>
      <c r="M385" s="1059"/>
      <c r="N385" s="1059"/>
      <c r="O385" s="1059"/>
      <c r="P385" s="1059"/>
      <c r="Q385" s="1225"/>
      <c r="R385" s="1225"/>
      <c r="S385" s="1023"/>
      <c r="T385" s="1023"/>
      <c r="U385" s="1225"/>
      <c r="V385" s="1225"/>
      <c r="W385" s="1225"/>
      <c r="X385" s="1225"/>
      <c r="Y385" s="1225"/>
      <c r="Z385" s="1059"/>
      <c r="AA385" s="1059"/>
      <c r="AB385" s="1059"/>
      <c r="AC385" s="1225"/>
      <c r="AD385" s="1225"/>
      <c r="AE385" s="1225"/>
      <c r="AF385" s="1219"/>
      <c r="AG385" s="1218"/>
      <c r="AH385" s="1219"/>
      <c r="AI385" s="1219"/>
      <c r="AJ385" s="1219"/>
      <c r="AK385" s="1219"/>
      <c r="AL385" s="1219"/>
      <c r="AM385" s="1219"/>
      <c r="AN385" s="1219"/>
      <c r="AO385" s="1219"/>
      <c r="AP385" s="1219"/>
      <c r="AQ385" s="1219"/>
      <c r="AR385" s="1219"/>
      <c r="AS385" s="1219"/>
      <c r="AT385" s="1219"/>
      <c r="AU385" s="1219"/>
      <c r="AV385" s="1219"/>
      <c r="AW385" s="1219"/>
      <c r="AX385" s="1219"/>
      <c r="AY385" s="1183"/>
    </row>
    <row r="386" spans="1:51" ht="21" customHeight="1" x14ac:dyDescent="0.25">
      <c r="A386" s="1189"/>
      <c r="B386" s="1018"/>
      <c r="C386" s="1018"/>
      <c r="D386" s="165" t="s">
        <v>347</v>
      </c>
      <c r="E386" s="1225"/>
      <c r="F386" s="1225"/>
      <c r="G386" s="1225"/>
      <c r="H386" s="1225"/>
      <c r="I386" s="1225"/>
      <c r="J386" s="1225"/>
      <c r="K386" s="1225"/>
      <c r="L386" s="1225"/>
      <c r="M386" s="1225"/>
      <c r="N386" s="1023"/>
      <c r="O386" s="1059"/>
      <c r="P386" s="1225"/>
      <c r="Q386" s="1225"/>
      <c r="R386" s="1225"/>
      <c r="S386" s="1023"/>
      <c r="T386" s="1059"/>
      <c r="U386" s="1023"/>
      <c r="V386" s="1023"/>
      <c r="W386" s="1225"/>
      <c r="X386" s="1225"/>
      <c r="Y386" s="1225"/>
      <c r="Z386" s="1023"/>
      <c r="AA386" s="1023"/>
      <c r="AB386" s="1059"/>
      <c r="AC386" s="1225"/>
      <c r="AD386" s="1225"/>
      <c r="AE386" s="1225"/>
      <c r="AF386" s="1219"/>
      <c r="AG386" s="1218"/>
      <c r="AH386" s="1219"/>
      <c r="AI386" s="1219"/>
      <c r="AJ386" s="1219"/>
      <c r="AK386" s="1219"/>
      <c r="AL386" s="1219"/>
      <c r="AM386" s="1219"/>
      <c r="AN386" s="1219"/>
      <c r="AO386" s="1219"/>
      <c r="AP386" s="1219"/>
      <c r="AQ386" s="1219"/>
      <c r="AR386" s="1219"/>
      <c r="AS386" s="1219"/>
      <c r="AT386" s="1219"/>
      <c r="AU386" s="1219"/>
      <c r="AV386" s="1219"/>
      <c r="AW386" s="1219"/>
      <c r="AX386" s="1219"/>
      <c r="AY386" s="1183"/>
    </row>
    <row r="387" spans="1:51" ht="21" customHeight="1" x14ac:dyDescent="0.25">
      <c r="A387" s="1189"/>
      <c r="B387" s="1018"/>
      <c r="C387" s="1048"/>
      <c r="D387" s="164" t="s">
        <v>348</v>
      </c>
      <c r="E387" s="1225"/>
      <c r="F387" s="1225"/>
      <c r="G387" s="1059"/>
      <c r="H387" s="1225"/>
      <c r="I387" s="1225"/>
      <c r="J387" s="1225"/>
      <c r="K387" s="1225"/>
      <c r="L387" s="1225"/>
      <c r="M387" s="1225"/>
      <c r="N387" s="1225"/>
      <c r="O387" s="1059"/>
      <c r="P387" s="1059"/>
      <c r="Q387" s="1059"/>
      <c r="R387" s="1059"/>
      <c r="S387" s="1023"/>
      <c r="T387" s="1059"/>
      <c r="U387" s="1225"/>
      <c r="V387" s="1225"/>
      <c r="W387" s="1225"/>
      <c r="X387" s="1225"/>
      <c r="Y387" s="1225"/>
      <c r="Z387" s="1225"/>
      <c r="AA387" s="1225"/>
      <c r="AB387" s="1059"/>
      <c r="AC387" s="1225"/>
      <c r="AD387" s="1225"/>
      <c r="AE387" s="1225"/>
      <c r="AF387" s="1221"/>
      <c r="AG387" s="1220"/>
      <c r="AH387" s="1221"/>
      <c r="AI387" s="1221"/>
      <c r="AJ387" s="1221"/>
      <c r="AK387" s="1221"/>
      <c r="AL387" s="1221"/>
      <c r="AM387" s="1221"/>
      <c r="AN387" s="1221"/>
      <c r="AO387" s="1221"/>
      <c r="AP387" s="1221"/>
      <c r="AQ387" s="1221"/>
      <c r="AR387" s="1221"/>
      <c r="AS387" s="1221"/>
      <c r="AT387" s="1221"/>
      <c r="AU387" s="1221"/>
      <c r="AV387" s="1221"/>
      <c r="AW387" s="1221"/>
      <c r="AX387" s="1221"/>
      <c r="AY387" s="1183"/>
    </row>
    <row r="388" spans="1:51" ht="21" customHeight="1" x14ac:dyDescent="0.25">
      <c r="A388" s="1189"/>
      <c r="B388" s="1018"/>
      <c r="C388" s="1217" t="s">
        <v>596</v>
      </c>
      <c r="D388" s="161" t="s">
        <v>340</v>
      </c>
      <c r="E388" s="1225"/>
      <c r="F388" s="1225"/>
      <c r="G388" s="1225"/>
      <c r="H388" s="1225"/>
      <c r="I388" s="1225"/>
      <c r="J388" s="1225"/>
      <c r="K388" s="1225"/>
      <c r="L388" s="1225"/>
      <c r="M388" s="1225"/>
      <c r="N388" s="1023"/>
      <c r="O388" s="1059"/>
      <c r="P388" s="1225"/>
      <c r="Q388" s="1225"/>
      <c r="R388" s="1225"/>
      <c r="S388" s="1023"/>
      <c r="T388" s="1023"/>
      <c r="U388" s="1225"/>
      <c r="V388" s="1023"/>
      <c r="W388" s="1225"/>
      <c r="X388" s="1225"/>
      <c r="Y388" s="1225"/>
      <c r="Z388" s="1023"/>
      <c r="AA388" s="1023"/>
      <c r="AB388" s="1059"/>
      <c r="AC388" s="1225"/>
      <c r="AD388" s="1225"/>
      <c r="AE388" s="1225"/>
      <c r="AF388" s="1315"/>
      <c r="AG388" s="1298" t="s">
        <v>492</v>
      </c>
      <c r="AH388" s="1299" t="s">
        <v>594</v>
      </c>
      <c r="AI388" s="1299" t="s">
        <v>597</v>
      </c>
      <c r="AJ388" s="1300" t="s">
        <v>1477</v>
      </c>
      <c r="AK388" s="1299" t="s">
        <v>457</v>
      </c>
      <c r="AL388" s="1299" t="s">
        <v>178</v>
      </c>
      <c r="AM388" s="1299" t="s">
        <v>458</v>
      </c>
      <c r="AN388" s="1301">
        <v>1294358</v>
      </c>
      <c r="AO388" s="1301">
        <v>610618</v>
      </c>
      <c r="AP388" s="1301">
        <v>683740</v>
      </c>
      <c r="AQ388" s="1011" t="s">
        <v>459</v>
      </c>
      <c r="AR388" s="1011" t="s">
        <v>459</v>
      </c>
      <c r="AS388" s="1011" t="s">
        <v>459</v>
      </c>
      <c r="AT388" s="1011" t="s">
        <v>459</v>
      </c>
      <c r="AU388" s="1302" t="s">
        <v>459</v>
      </c>
      <c r="AV388" s="1302" t="s">
        <v>459</v>
      </c>
      <c r="AW388" s="1302" t="s">
        <v>459</v>
      </c>
      <c r="AX388" s="1301">
        <v>1269831</v>
      </c>
      <c r="AY388" s="1183"/>
    </row>
    <row r="389" spans="1:51" ht="21" customHeight="1" x14ac:dyDescent="0.25">
      <c r="A389" s="1189"/>
      <c r="B389" s="1018"/>
      <c r="C389" s="1018"/>
      <c r="D389" s="164" t="s">
        <v>343</v>
      </c>
      <c r="E389" s="1225"/>
      <c r="F389" s="1225"/>
      <c r="G389" s="1059"/>
      <c r="H389" s="1225"/>
      <c r="I389" s="1225"/>
      <c r="J389" s="1225"/>
      <c r="K389" s="1225"/>
      <c r="L389" s="1225"/>
      <c r="M389" s="1225"/>
      <c r="N389" s="1225"/>
      <c r="O389" s="1059"/>
      <c r="P389" s="1225"/>
      <c r="Q389" s="1225"/>
      <c r="R389" s="1225"/>
      <c r="S389" s="1023"/>
      <c r="T389" s="1059"/>
      <c r="U389" s="1225"/>
      <c r="V389" s="1225"/>
      <c r="W389" s="1225"/>
      <c r="X389" s="1225"/>
      <c r="Y389" s="1225"/>
      <c r="Z389" s="1225"/>
      <c r="AA389" s="1225"/>
      <c r="AB389" s="1059"/>
      <c r="AC389" s="1225"/>
      <c r="AD389" s="1225"/>
      <c r="AE389" s="1225"/>
      <c r="AF389" s="1219"/>
      <c r="AG389" s="1218"/>
      <c r="AH389" s="1219"/>
      <c r="AI389" s="1219"/>
      <c r="AJ389" s="1219"/>
      <c r="AK389" s="1219"/>
      <c r="AL389" s="1219"/>
      <c r="AM389" s="1219"/>
      <c r="AN389" s="1219"/>
      <c r="AO389" s="1219"/>
      <c r="AP389" s="1219"/>
      <c r="AQ389" s="1219"/>
      <c r="AR389" s="1219"/>
      <c r="AS389" s="1219"/>
      <c r="AT389" s="1219"/>
      <c r="AU389" s="1219"/>
      <c r="AV389" s="1219"/>
      <c r="AW389" s="1219"/>
      <c r="AX389" s="1219"/>
      <c r="AY389" s="1183"/>
    </row>
    <row r="390" spans="1:51" ht="21" customHeight="1" x14ac:dyDescent="0.25">
      <c r="A390" s="1189"/>
      <c r="B390" s="1018"/>
      <c r="C390" s="1018"/>
      <c r="D390" s="165" t="s">
        <v>345</v>
      </c>
      <c r="E390" s="1225"/>
      <c r="F390" s="1225"/>
      <c r="G390" s="1225"/>
      <c r="H390" s="1225"/>
      <c r="I390" s="1225"/>
      <c r="J390" s="1225"/>
      <c r="K390" s="1225"/>
      <c r="L390" s="1225"/>
      <c r="M390" s="1225"/>
      <c r="N390" s="1023"/>
      <c r="O390" s="1059"/>
      <c r="P390" s="1225"/>
      <c r="Q390" s="1225"/>
      <c r="R390" s="1225"/>
      <c r="S390" s="1023"/>
      <c r="T390" s="1023"/>
      <c r="U390" s="1023"/>
      <c r="V390" s="1023"/>
      <c r="W390" s="1023"/>
      <c r="X390" s="1023"/>
      <c r="Y390" s="1225"/>
      <c r="Z390" s="1023"/>
      <c r="AA390" s="1023"/>
      <c r="AB390" s="1059"/>
      <c r="AC390" s="1225"/>
      <c r="AD390" s="1225"/>
      <c r="AE390" s="1225"/>
      <c r="AF390" s="1219"/>
      <c r="AG390" s="1218"/>
      <c r="AH390" s="1219"/>
      <c r="AI390" s="1219"/>
      <c r="AJ390" s="1219"/>
      <c r="AK390" s="1219"/>
      <c r="AL390" s="1219"/>
      <c r="AM390" s="1219"/>
      <c r="AN390" s="1219"/>
      <c r="AO390" s="1219"/>
      <c r="AP390" s="1219"/>
      <c r="AQ390" s="1219"/>
      <c r="AR390" s="1219"/>
      <c r="AS390" s="1219"/>
      <c r="AT390" s="1219"/>
      <c r="AU390" s="1219"/>
      <c r="AV390" s="1219"/>
      <c r="AW390" s="1219"/>
      <c r="AX390" s="1219"/>
      <c r="AY390" s="1183"/>
    </row>
    <row r="391" spans="1:51" ht="21" customHeight="1" x14ac:dyDescent="0.25">
      <c r="A391" s="1189"/>
      <c r="B391" s="1018"/>
      <c r="C391" s="1018"/>
      <c r="D391" s="164" t="s">
        <v>346</v>
      </c>
      <c r="E391" s="1225"/>
      <c r="F391" s="1225"/>
      <c r="G391" s="1225"/>
      <c r="H391" s="1225"/>
      <c r="I391" s="1059"/>
      <c r="J391" s="1059"/>
      <c r="K391" s="1059"/>
      <c r="L391" s="1059"/>
      <c r="M391" s="1059"/>
      <c r="N391" s="1059"/>
      <c r="O391" s="1059"/>
      <c r="P391" s="1059"/>
      <c r="Q391" s="1225"/>
      <c r="R391" s="1225"/>
      <c r="S391" s="1023"/>
      <c r="T391" s="1023"/>
      <c r="U391" s="1225"/>
      <c r="V391" s="1225"/>
      <c r="W391" s="1225"/>
      <c r="X391" s="1225"/>
      <c r="Y391" s="1225"/>
      <c r="Z391" s="1059"/>
      <c r="AA391" s="1059"/>
      <c r="AB391" s="1059"/>
      <c r="AC391" s="1225"/>
      <c r="AD391" s="1225"/>
      <c r="AE391" s="1225"/>
      <c r="AF391" s="1219"/>
      <c r="AG391" s="1218"/>
      <c r="AH391" s="1219"/>
      <c r="AI391" s="1219"/>
      <c r="AJ391" s="1219"/>
      <c r="AK391" s="1219"/>
      <c r="AL391" s="1219"/>
      <c r="AM391" s="1219"/>
      <c r="AN391" s="1219"/>
      <c r="AO391" s="1219"/>
      <c r="AP391" s="1219"/>
      <c r="AQ391" s="1219"/>
      <c r="AR391" s="1219"/>
      <c r="AS391" s="1219"/>
      <c r="AT391" s="1219"/>
      <c r="AU391" s="1219"/>
      <c r="AV391" s="1219"/>
      <c r="AW391" s="1219"/>
      <c r="AX391" s="1219"/>
      <c r="AY391" s="1183"/>
    </row>
    <row r="392" spans="1:51" ht="21" customHeight="1" x14ac:dyDescent="0.25">
      <c r="A392" s="1189"/>
      <c r="B392" s="1018"/>
      <c r="C392" s="1018"/>
      <c r="D392" s="165" t="s">
        <v>347</v>
      </c>
      <c r="E392" s="1225"/>
      <c r="F392" s="1225"/>
      <c r="G392" s="1225"/>
      <c r="H392" s="1225"/>
      <c r="I392" s="1225"/>
      <c r="J392" s="1225"/>
      <c r="K392" s="1225"/>
      <c r="L392" s="1225"/>
      <c r="M392" s="1225"/>
      <c r="N392" s="1023"/>
      <c r="O392" s="1059"/>
      <c r="P392" s="1225"/>
      <c r="Q392" s="1225"/>
      <c r="R392" s="1225"/>
      <c r="S392" s="1023"/>
      <c r="T392" s="1059"/>
      <c r="U392" s="1023"/>
      <c r="V392" s="1023"/>
      <c r="W392" s="1023"/>
      <c r="X392" s="1023"/>
      <c r="Y392" s="1023"/>
      <c r="Z392" s="1023"/>
      <c r="AA392" s="1023"/>
      <c r="AB392" s="1059"/>
      <c r="AC392" s="1225"/>
      <c r="AD392" s="1225"/>
      <c r="AE392" s="1225"/>
      <c r="AF392" s="1219"/>
      <c r="AG392" s="1218"/>
      <c r="AH392" s="1219"/>
      <c r="AI392" s="1219"/>
      <c r="AJ392" s="1219"/>
      <c r="AK392" s="1219"/>
      <c r="AL392" s="1219"/>
      <c r="AM392" s="1219"/>
      <c r="AN392" s="1219"/>
      <c r="AO392" s="1219"/>
      <c r="AP392" s="1219"/>
      <c r="AQ392" s="1219"/>
      <c r="AR392" s="1219"/>
      <c r="AS392" s="1219"/>
      <c r="AT392" s="1219"/>
      <c r="AU392" s="1219"/>
      <c r="AV392" s="1219"/>
      <c r="AW392" s="1219"/>
      <c r="AX392" s="1219"/>
      <c r="AY392" s="1183"/>
    </row>
    <row r="393" spans="1:51" ht="21" customHeight="1" x14ac:dyDescent="0.25">
      <c r="A393" s="1189"/>
      <c r="B393" s="1018"/>
      <c r="C393" s="1048"/>
      <c r="D393" s="164" t="s">
        <v>348</v>
      </c>
      <c r="E393" s="1225"/>
      <c r="F393" s="1225"/>
      <c r="G393" s="1059"/>
      <c r="H393" s="1225"/>
      <c r="I393" s="1225"/>
      <c r="J393" s="1225"/>
      <c r="K393" s="1225"/>
      <c r="L393" s="1225"/>
      <c r="M393" s="1225"/>
      <c r="N393" s="1225"/>
      <c r="O393" s="1059"/>
      <c r="P393" s="1059"/>
      <c r="Q393" s="1059"/>
      <c r="R393" s="1059"/>
      <c r="S393" s="1023"/>
      <c r="T393" s="1059"/>
      <c r="U393" s="1225"/>
      <c r="V393" s="1225"/>
      <c r="W393" s="1225"/>
      <c r="X393" s="1225"/>
      <c r="Y393" s="1225"/>
      <c r="Z393" s="1225"/>
      <c r="AA393" s="1225"/>
      <c r="AB393" s="1059"/>
      <c r="AC393" s="1225"/>
      <c r="AD393" s="1225"/>
      <c r="AE393" s="1225"/>
      <c r="AF393" s="1221"/>
      <c r="AG393" s="1220"/>
      <c r="AH393" s="1221"/>
      <c r="AI393" s="1221"/>
      <c r="AJ393" s="1221"/>
      <c r="AK393" s="1221"/>
      <c r="AL393" s="1221"/>
      <c r="AM393" s="1221"/>
      <c r="AN393" s="1221"/>
      <c r="AO393" s="1221"/>
      <c r="AP393" s="1221"/>
      <c r="AQ393" s="1221"/>
      <c r="AR393" s="1221"/>
      <c r="AS393" s="1221"/>
      <c r="AT393" s="1221"/>
      <c r="AU393" s="1221"/>
      <c r="AV393" s="1221"/>
      <c r="AW393" s="1221"/>
      <c r="AX393" s="1221"/>
      <c r="AY393" s="1183"/>
    </row>
    <row r="394" spans="1:51" ht="21" customHeight="1" x14ac:dyDescent="0.25">
      <c r="A394" s="1189"/>
      <c r="B394" s="1018"/>
      <c r="C394" s="1217" t="s">
        <v>511</v>
      </c>
      <c r="D394" s="161" t="s">
        <v>340</v>
      </c>
      <c r="E394" s="1225"/>
      <c r="F394" s="1225"/>
      <c r="G394" s="1225">
        <f t="shared" ref="G394:I395" si="53">+G250-T250</f>
        <v>2376</v>
      </c>
      <c r="H394" s="1225">
        <f t="shared" si="53"/>
        <v>1876</v>
      </c>
      <c r="I394" s="1225">
        <f t="shared" si="53"/>
        <v>1364</v>
      </c>
      <c r="J394" s="1225"/>
      <c r="K394" s="1225"/>
      <c r="L394" s="1225"/>
      <c r="M394" s="1225"/>
      <c r="N394" s="1225"/>
      <c r="O394" s="1059"/>
      <c r="P394" s="1225"/>
      <c r="Q394" s="1225"/>
      <c r="R394" s="1225"/>
      <c r="S394" s="1023"/>
      <c r="T394" s="1023"/>
      <c r="U394" s="1023"/>
      <c r="V394" s="1023"/>
      <c r="W394" s="1023"/>
      <c r="X394" s="1023"/>
      <c r="Y394" s="1023"/>
      <c r="Z394" s="1023"/>
      <c r="AA394" s="1023"/>
      <c r="AB394" s="1225"/>
      <c r="AC394" s="1225"/>
      <c r="AD394" s="1059"/>
      <c r="AE394" s="1225"/>
      <c r="AF394" s="1023"/>
      <c r="AG394" s="1298"/>
      <c r="AH394" s="1299"/>
      <c r="AI394" s="1299"/>
      <c r="AJ394" s="1300"/>
      <c r="AK394" s="1299"/>
      <c r="AL394" s="1299"/>
      <c r="AM394" s="1299"/>
      <c r="AN394" s="1301">
        <v>7936532</v>
      </c>
      <c r="AO394" s="1301">
        <v>3799681</v>
      </c>
      <c r="AP394" s="1301">
        <v>4136851</v>
      </c>
      <c r="AQ394" s="1302" t="s">
        <v>459</v>
      </c>
      <c r="AR394" s="1302" t="s">
        <v>459</v>
      </c>
      <c r="AS394" s="1302" t="s">
        <v>459</v>
      </c>
      <c r="AT394" s="1302" t="s">
        <v>459</v>
      </c>
      <c r="AU394" s="1302" t="s">
        <v>459</v>
      </c>
      <c r="AV394" s="1302" t="s">
        <v>459</v>
      </c>
      <c r="AW394" s="1302" t="s">
        <v>459</v>
      </c>
      <c r="AX394" s="1301">
        <v>7936532</v>
      </c>
      <c r="AY394" s="1183"/>
    </row>
    <row r="395" spans="1:51" ht="21" customHeight="1" x14ac:dyDescent="0.25">
      <c r="A395" s="1189"/>
      <c r="B395" s="1018"/>
      <c r="C395" s="1018"/>
      <c r="D395" s="164" t="s">
        <v>343</v>
      </c>
      <c r="E395" s="1225"/>
      <c r="F395" s="1225"/>
      <c r="G395" s="1225">
        <f t="shared" si="53"/>
        <v>71143000</v>
      </c>
      <c r="H395" s="1225">
        <f t="shared" si="53"/>
        <v>53891000</v>
      </c>
      <c r="I395" s="1225">
        <f t="shared" si="53"/>
        <v>53891000</v>
      </c>
      <c r="J395" s="1225"/>
      <c r="K395" s="1225"/>
      <c r="L395" s="1225"/>
      <c r="M395" s="1225"/>
      <c r="N395" s="1225"/>
      <c r="O395" s="1225"/>
      <c r="P395" s="1225"/>
      <c r="Q395" s="1225"/>
      <c r="R395" s="1225"/>
      <c r="S395" s="1023"/>
      <c r="T395" s="1023"/>
      <c r="U395" s="1225"/>
      <c r="V395" s="1023"/>
      <c r="W395" s="1023"/>
      <c r="X395" s="1023"/>
      <c r="Y395" s="1023"/>
      <c r="Z395" s="1023"/>
      <c r="AA395" s="1023"/>
      <c r="AB395" s="1023"/>
      <c r="AC395" s="1225"/>
      <c r="AD395" s="1059"/>
      <c r="AE395" s="1225"/>
      <c r="AF395" s="1023"/>
      <c r="AG395" s="1218"/>
      <c r="AH395" s="1219"/>
      <c r="AI395" s="1219"/>
      <c r="AJ395" s="1219"/>
      <c r="AK395" s="1219"/>
      <c r="AL395" s="1219"/>
      <c r="AM395" s="1219"/>
      <c r="AN395" s="1219"/>
      <c r="AO395" s="1219"/>
      <c r="AP395" s="1219"/>
      <c r="AQ395" s="1219"/>
      <c r="AR395" s="1219"/>
      <c r="AS395" s="1219"/>
      <c r="AT395" s="1219"/>
      <c r="AU395" s="1219"/>
      <c r="AV395" s="1219"/>
      <c r="AW395" s="1219"/>
      <c r="AX395" s="1219"/>
      <c r="AY395" s="1183"/>
    </row>
    <row r="396" spans="1:51" ht="21" customHeight="1" x14ac:dyDescent="0.25">
      <c r="A396" s="1189"/>
      <c r="B396" s="1018"/>
      <c r="C396" s="1018"/>
      <c r="D396" s="165" t="s">
        <v>345</v>
      </c>
      <c r="E396" s="1225"/>
      <c r="F396" s="1225"/>
      <c r="G396" s="1225">
        <v>0</v>
      </c>
      <c r="H396" s="1225">
        <v>0</v>
      </c>
      <c r="I396" s="1225">
        <v>0</v>
      </c>
      <c r="J396" s="1225"/>
      <c r="K396" s="1225"/>
      <c r="L396" s="1225"/>
      <c r="M396" s="1225"/>
      <c r="N396" s="1023"/>
      <c r="O396" s="1059"/>
      <c r="P396" s="1225"/>
      <c r="Q396" s="1225"/>
      <c r="R396" s="1225"/>
      <c r="S396" s="1023"/>
      <c r="T396" s="1023"/>
      <c r="U396" s="1023"/>
      <c r="V396" s="1023"/>
      <c r="W396" s="1023"/>
      <c r="X396" s="1023"/>
      <c r="Y396" s="1023"/>
      <c r="Z396" s="1023"/>
      <c r="AA396" s="1023"/>
      <c r="AB396" s="1023"/>
      <c r="AC396" s="1225"/>
      <c r="AD396" s="1059"/>
      <c r="AE396" s="1225"/>
      <c r="AF396" s="1023"/>
      <c r="AG396" s="1218"/>
      <c r="AH396" s="1219"/>
      <c r="AI396" s="1219"/>
      <c r="AJ396" s="1219"/>
      <c r="AK396" s="1219"/>
      <c r="AL396" s="1219"/>
      <c r="AM396" s="1219"/>
      <c r="AN396" s="1219"/>
      <c r="AO396" s="1219"/>
      <c r="AP396" s="1219"/>
      <c r="AQ396" s="1219"/>
      <c r="AR396" s="1219"/>
      <c r="AS396" s="1219"/>
      <c r="AT396" s="1219"/>
      <c r="AU396" s="1219"/>
      <c r="AV396" s="1219"/>
      <c r="AW396" s="1219"/>
      <c r="AX396" s="1219"/>
      <c r="AY396" s="1183"/>
    </row>
    <row r="397" spans="1:51" ht="21" customHeight="1" x14ac:dyDescent="0.25">
      <c r="A397" s="1189"/>
      <c r="B397" s="1018"/>
      <c r="C397" s="1018"/>
      <c r="D397" s="164" t="s">
        <v>346</v>
      </c>
      <c r="E397" s="1225"/>
      <c r="F397" s="1225"/>
      <c r="G397" s="1225">
        <f>+G253-T253</f>
        <v>3210667</v>
      </c>
      <c r="H397" s="1225">
        <f>+H253-U253</f>
        <v>0</v>
      </c>
      <c r="I397" s="1225">
        <f>+I253-V253</f>
        <v>0</v>
      </c>
      <c r="J397" s="1059"/>
      <c r="K397" s="1059"/>
      <c r="L397" s="1059"/>
      <c r="M397" s="1059"/>
      <c r="N397" s="1059"/>
      <c r="O397" s="1059"/>
      <c r="P397" s="1225"/>
      <c r="Q397" s="1225"/>
      <c r="R397" s="1225"/>
      <c r="S397" s="1023"/>
      <c r="T397" s="1023"/>
      <c r="U397" s="1023"/>
      <c r="V397" s="1023"/>
      <c r="W397" s="1023"/>
      <c r="X397" s="1023"/>
      <c r="Y397" s="1023"/>
      <c r="Z397" s="1023"/>
      <c r="AA397" s="1023"/>
      <c r="AB397" s="1023"/>
      <c r="AC397" s="1225"/>
      <c r="AD397" s="1059"/>
      <c r="AE397" s="1225"/>
      <c r="AF397" s="1023"/>
      <c r="AG397" s="1218"/>
      <c r="AH397" s="1219"/>
      <c r="AI397" s="1219"/>
      <c r="AJ397" s="1219"/>
      <c r="AK397" s="1219"/>
      <c r="AL397" s="1219"/>
      <c r="AM397" s="1219"/>
      <c r="AN397" s="1219"/>
      <c r="AO397" s="1219"/>
      <c r="AP397" s="1219"/>
      <c r="AQ397" s="1219"/>
      <c r="AR397" s="1219"/>
      <c r="AS397" s="1219"/>
      <c r="AT397" s="1219"/>
      <c r="AU397" s="1219"/>
      <c r="AV397" s="1219"/>
      <c r="AW397" s="1219"/>
      <c r="AX397" s="1219"/>
      <c r="AY397" s="1183"/>
    </row>
    <row r="398" spans="1:51" ht="21" customHeight="1" x14ac:dyDescent="0.25">
      <c r="A398" s="1189"/>
      <c r="B398" s="1018"/>
      <c r="C398" s="1018"/>
      <c r="D398" s="165" t="s">
        <v>347</v>
      </c>
      <c r="E398" s="1225"/>
      <c r="F398" s="1225"/>
      <c r="G398" s="1225">
        <f t="shared" ref="G398:I399" si="54">+G394+G396</f>
        <v>2376</v>
      </c>
      <c r="H398" s="1225">
        <f t="shared" si="54"/>
        <v>1876</v>
      </c>
      <c r="I398" s="1225">
        <f t="shared" si="54"/>
        <v>1364</v>
      </c>
      <c r="J398" s="1225"/>
      <c r="K398" s="1225"/>
      <c r="L398" s="1225"/>
      <c r="M398" s="1225"/>
      <c r="N398" s="1225"/>
      <c r="O398" s="1225"/>
      <c r="P398" s="1225"/>
      <c r="Q398" s="1225"/>
      <c r="R398" s="1225"/>
      <c r="S398" s="1023"/>
      <c r="T398" s="1023"/>
      <c r="U398" s="1023"/>
      <c r="V398" s="1023"/>
      <c r="W398" s="1023"/>
      <c r="X398" s="1023"/>
      <c r="Y398" s="1023"/>
      <c r="Z398" s="1023"/>
      <c r="AA398" s="1023"/>
      <c r="AB398" s="1023"/>
      <c r="AC398" s="1225"/>
      <c r="AD398" s="1059"/>
      <c r="AE398" s="1225"/>
      <c r="AF398" s="1023"/>
      <c r="AG398" s="1218"/>
      <c r="AH398" s="1219"/>
      <c r="AI398" s="1219"/>
      <c r="AJ398" s="1219"/>
      <c r="AK398" s="1219"/>
      <c r="AL398" s="1219"/>
      <c r="AM398" s="1219"/>
      <c r="AN398" s="1219"/>
      <c r="AO398" s="1219"/>
      <c r="AP398" s="1219"/>
      <c r="AQ398" s="1219"/>
      <c r="AR398" s="1219"/>
      <c r="AS398" s="1219"/>
      <c r="AT398" s="1219"/>
      <c r="AU398" s="1219"/>
      <c r="AV398" s="1219"/>
      <c r="AW398" s="1219"/>
      <c r="AX398" s="1219"/>
      <c r="AY398" s="1183"/>
    </row>
    <row r="399" spans="1:51" ht="21" customHeight="1" x14ac:dyDescent="0.25">
      <c r="A399" s="1189"/>
      <c r="B399" s="1018"/>
      <c r="C399" s="1048"/>
      <c r="D399" s="164" t="s">
        <v>348</v>
      </c>
      <c r="E399" s="1225"/>
      <c r="F399" s="1225"/>
      <c r="G399" s="1225">
        <f t="shared" si="54"/>
        <v>74353667</v>
      </c>
      <c r="H399" s="1225">
        <f t="shared" si="54"/>
        <v>53891000</v>
      </c>
      <c r="I399" s="1225">
        <f t="shared" si="54"/>
        <v>53891000</v>
      </c>
      <c r="J399" s="1225"/>
      <c r="K399" s="1225"/>
      <c r="L399" s="1225"/>
      <c r="M399" s="1225"/>
      <c r="N399" s="1225"/>
      <c r="O399" s="1225"/>
      <c r="P399" s="1225"/>
      <c r="Q399" s="1225"/>
      <c r="R399" s="1225"/>
      <c r="S399" s="1023"/>
      <c r="T399" s="1023"/>
      <c r="U399" s="1023"/>
      <c r="V399" s="1023"/>
      <c r="W399" s="1023"/>
      <c r="X399" s="1023"/>
      <c r="Y399" s="1023"/>
      <c r="Z399" s="1023"/>
      <c r="AA399" s="1023"/>
      <c r="AB399" s="1023"/>
      <c r="AC399" s="1225"/>
      <c r="AD399" s="1059"/>
      <c r="AE399" s="1225"/>
      <c r="AF399" s="1023"/>
      <c r="AG399" s="1220"/>
      <c r="AH399" s="1221"/>
      <c r="AI399" s="1221"/>
      <c r="AJ399" s="1221"/>
      <c r="AK399" s="1221"/>
      <c r="AL399" s="1221"/>
      <c r="AM399" s="1221"/>
      <c r="AN399" s="1221"/>
      <c r="AO399" s="1221"/>
      <c r="AP399" s="1221"/>
      <c r="AQ399" s="1221"/>
      <c r="AR399" s="1221"/>
      <c r="AS399" s="1221"/>
      <c r="AT399" s="1221"/>
      <c r="AU399" s="1221"/>
      <c r="AV399" s="1221"/>
      <c r="AW399" s="1221"/>
      <c r="AX399" s="1221"/>
      <c r="AY399" s="1183"/>
    </row>
    <row r="400" spans="1:51" ht="19.149999999999999" customHeight="1" x14ac:dyDescent="0.25">
      <c r="A400" s="1189"/>
      <c r="B400" s="1018"/>
      <c r="C400" s="1217" t="s">
        <v>512</v>
      </c>
      <c r="D400" s="161" t="s">
        <v>340</v>
      </c>
      <c r="E400" s="1225">
        <f t="shared" ref="E400:F405" si="55">+E250</f>
        <v>2898</v>
      </c>
      <c r="F400" s="1225">
        <f t="shared" si="55"/>
        <v>2898</v>
      </c>
      <c r="G400" s="1225">
        <f t="shared" ref="G400:G405" si="56">+G322+G394</f>
        <v>2898</v>
      </c>
      <c r="H400" s="1225">
        <f>+H316+H322+H394</f>
        <v>2898</v>
      </c>
      <c r="I400" s="1225">
        <f>I256+I262+I316+I322+I328+I394</f>
        <v>2898</v>
      </c>
      <c r="J400" s="1225"/>
      <c r="K400" s="1225"/>
      <c r="L400" s="1225"/>
      <c r="M400" s="1225"/>
      <c r="N400" s="1225"/>
      <c r="O400" s="1225"/>
      <c r="P400" s="1225"/>
      <c r="Q400" s="1225"/>
      <c r="R400" s="1225"/>
      <c r="S400" s="1023"/>
      <c r="T400" s="1225">
        <f t="shared" ref="T400:T405" si="57">+T322</f>
        <v>522</v>
      </c>
      <c r="U400" s="1225">
        <f t="shared" ref="U400:U405" si="58">+U316+U322+U394</f>
        <v>1022</v>
      </c>
      <c r="V400" s="1225">
        <f>V256+V262+V316+V322+V328+V394</f>
        <v>1534</v>
      </c>
      <c r="W400" s="1225"/>
      <c r="X400" s="1225">
        <f t="shared" ref="W400:Z405" si="59">X274+X280+X286+X298+X304+X334+X346+X352+X358+X364+X370+X376</f>
        <v>0</v>
      </c>
      <c r="Y400" s="1225">
        <f t="shared" si="59"/>
        <v>0</v>
      </c>
      <c r="Z400" s="1225">
        <f t="shared" si="59"/>
        <v>0</v>
      </c>
      <c r="AA400" s="1225">
        <f t="shared" ref="AA400:AA405" si="60">AA274+AA280+AA286+AA298+AA304+AA310+AA334+AA346+AA352+AA358+AA364+AA370+AA376+AA394</f>
        <v>0</v>
      </c>
      <c r="AB400" s="1225">
        <f t="shared" ref="AB400:AB405" si="61">AB268+AB274+AB280+AB286+AB298+AB304+AB310+AB334+AB346+AB352+AB358+AB364+AB370+AB376+AB394</f>
        <v>0</v>
      </c>
      <c r="AC400" s="1225">
        <f t="shared" ref="AC400:AC405" si="62">AC268+AC274+AC280+AC286+AC298+AC304+AC310+AC334+AC346+AC352+AC358+AC364+AC370+AC376+AC382+AC388+AC394</f>
        <v>0</v>
      </c>
      <c r="AD400" s="1225">
        <f t="shared" ref="AD400:AD405" si="63">AD268+AD274+AD280+AD286+AD298+AD304+AD310+AD334+AD346+AD328+AD352+AD358+AD364+AD370+AD376+AD382+AD388+AD394</f>
        <v>0</v>
      </c>
      <c r="AE400" s="1225">
        <f t="shared" ref="AE400:AE405" si="64">AE268+AE274+AE280+AE286+AE292+AE298+AE304+AE310+AE328+AE334+AE340+AE346+AE352+AE358+AE364+AE370+AE376+AE382+AE388+AE394</f>
        <v>0</v>
      </c>
      <c r="AF400" s="1023"/>
      <c r="AG400" s="1298" t="s">
        <v>456</v>
      </c>
      <c r="AH400" s="1299" t="s">
        <v>178</v>
      </c>
      <c r="AI400" s="1299" t="s">
        <v>178</v>
      </c>
      <c r="AJ400" s="1299" t="s">
        <v>178</v>
      </c>
      <c r="AK400" s="1299" t="s">
        <v>457</v>
      </c>
      <c r="AL400" s="1299" t="s">
        <v>178</v>
      </c>
      <c r="AM400" s="1299" t="s">
        <v>551</v>
      </c>
      <c r="AN400" s="1301">
        <v>7968095</v>
      </c>
      <c r="AO400" s="1301">
        <v>3815676</v>
      </c>
      <c r="AP400" s="1301">
        <v>4152419</v>
      </c>
      <c r="AQ400" s="1302" t="s">
        <v>459</v>
      </c>
      <c r="AR400" s="1302" t="s">
        <v>459</v>
      </c>
      <c r="AS400" s="1302" t="s">
        <v>459</v>
      </c>
      <c r="AT400" s="1302" t="s">
        <v>459</v>
      </c>
      <c r="AU400" s="1302" t="s">
        <v>459</v>
      </c>
      <c r="AV400" s="1302" t="s">
        <v>459</v>
      </c>
      <c r="AW400" s="1302" t="s">
        <v>459</v>
      </c>
      <c r="AX400" s="1301">
        <v>7936532</v>
      </c>
      <c r="AY400" s="1183"/>
    </row>
    <row r="401" spans="1:51" ht="19.149999999999999" customHeight="1" x14ac:dyDescent="0.25">
      <c r="A401" s="1189"/>
      <c r="B401" s="1018"/>
      <c r="C401" s="1018"/>
      <c r="D401" s="164" t="s">
        <v>343</v>
      </c>
      <c r="E401" s="1225">
        <f t="shared" si="55"/>
        <v>71143000</v>
      </c>
      <c r="F401" s="1225">
        <f t="shared" si="55"/>
        <v>71143000</v>
      </c>
      <c r="G401" s="1225">
        <f t="shared" si="56"/>
        <v>71143000</v>
      </c>
      <c r="H401" s="1225">
        <f t="shared" ref="H400:R405" si="65">+H317+H323+H395</f>
        <v>71143000</v>
      </c>
      <c r="I401" s="1225">
        <f t="shared" ref="I401:I405" si="66">I257+I263+I317+I323+I329+I395</f>
        <v>71143000</v>
      </c>
      <c r="J401" s="1225"/>
      <c r="K401" s="1225"/>
      <c r="L401" s="1225"/>
      <c r="M401" s="1225"/>
      <c r="N401" s="1225"/>
      <c r="O401" s="1225"/>
      <c r="P401" s="1225"/>
      <c r="Q401" s="1225"/>
      <c r="R401" s="1225"/>
      <c r="S401" s="1059"/>
      <c r="T401" s="1225">
        <f t="shared" si="57"/>
        <v>0</v>
      </c>
      <c r="U401" s="1225">
        <f t="shared" si="58"/>
        <v>17252000</v>
      </c>
      <c r="V401" s="1225">
        <f t="shared" ref="V401:V405" si="67">V257+V263+V317+V323+V329+V395</f>
        <v>17252000</v>
      </c>
      <c r="W401" s="1225"/>
      <c r="X401" s="1225">
        <f t="shared" si="59"/>
        <v>0</v>
      </c>
      <c r="Y401" s="1225">
        <f t="shared" si="59"/>
        <v>0</v>
      </c>
      <c r="Z401" s="1225">
        <f t="shared" si="59"/>
        <v>0</v>
      </c>
      <c r="AA401" s="1225">
        <f t="shared" si="60"/>
        <v>0</v>
      </c>
      <c r="AB401" s="1225">
        <f t="shared" si="61"/>
        <v>0</v>
      </c>
      <c r="AC401" s="1225">
        <f t="shared" si="62"/>
        <v>0</v>
      </c>
      <c r="AD401" s="1225">
        <f t="shared" si="63"/>
        <v>0</v>
      </c>
      <c r="AE401" s="1225">
        <f t="shared" si="64"/>
        <v>0</v>
      </c>
      <c r="AF401" s="1023"/>
      <c r="AG401" s="1218"/>
      <c r="AH401" s="1219"/>
      <c r="AI401" s="1219"/>
      <c r="AJ401" s="1219"/>
      <c r="AK401" s="1219"/>
      <c r="AL401" s="1219"/>
      <c r="AM401" s="1219"/>
      <c r="AN401" s="1219"/>
      <c r="AO401" s="1219"/>
      <c r="AP401" s="1219"/>
      <c r="AQ401" s="1219"/>
      <c r="AR401" s="1219"/>
      <c r="AS401" s="1219"/>
      <c r="AT401" s="1219"/>
      <c r="AU401" s="1219"/>
      <c r="AV401" s="1219"/>
      <c r="AW401" s="1219"/>
      <c r="AX401" s="1219"/>
      <c r="AY401" s="1183"/>
    </row>
    <row r="402" spans="1:51" ht="28.9" customHeight="1" x14ac:dyDescent="0.25">
      <c r="A402" s="1189"/>
      <c r="B402" s="1018"/>
      <c r="C402" s="1018"/>
      <c r="D402" s="165" t="s">
        <v>345</v>
      </c>
      <c r="E402" s="1225">
        <f t="shared" si="55"/>
        <v>78</v>
      </c>
      <c r="F402" s="1225">
        <f t="shared" si="55"/>
        <v>78</v>
      </c>
      <c r="G402" s="1225">
        <f t="shared" si="56"/>
        <v>78</v>
      </c>
      <c r="H402" s="1225">
        <f t="shared" si="65"/>
        <v>78</v>
      </c>
      <c r="I402" s="1225">
        <f t="shared" si="66"/>
        <v>78</v>
      </c>
      <c r="J402" s="1225"/>
      <c r="K402" s="1225"/>
      <c r="L402" s="1225"/>
      <c r="M402" s="1225"/>
      <c r="N402" s="1225"/>
      <c r="O402" s="1225"/>
      <c r="P402" s="1225"/>
      <c r="Q402" s="1225"/>
      <c r="R402" s="1225"/>
      <c r="S402" s="1023"/>
      <c r="T402" s="1225">
        <f t="shared" si="57"/>
        <v>78</v>
      </c>
      <c r="U402" s="1225">
        <f t="shared" si="58"/>
        <v>78</v>
      </c>
      <c r="V402" s="1225">
        <f t="shared" si="67"/>
        <v>78</v>
      </c>
      <c r="W402" s="1225"/>
      <c r="X402" s="1225">
        <f t="shared" si="59"/>
        <v>0</v>
      </c>
      <c r="Y402" s="1225">
        <f t="shared" si="59"/>
        <v>0</v>
      </c>
      <c r="Z402" s="1225">
        <f t="shared" si="59"/>
        <v>0</v>
      </c>
      <c r="AA402" s="1225">
        <f t="shared" si="60"/>
        <v>0</v>
      </c>
      <c r="AB402" s="1225">
        <f t="shared" si="61"/>
        <v>0</v>
      </c>
      <c r="AC402" s="1225">
        <f t="shared" si="62"/>
        <v>0</v>
      </c>
      <c r="AD402" s="1225">
        <f t="shared" si="63"/>
        <v>0</v>
      </c>
      <c r="AE402" s="1225">
        <f t="shared" si="64"/>
        <v>0</v>
      </c>
      <c r="AF402" s="1023"/>
      <c r="AG402" s="1218"/>
      <c r="AH402" s="1219"/>
      <c r="AI402" s="1219"/>
      <c r="AJ402" s="1219"/>
      <c r="AK402" s="1219"/>
      <c r="AL402" s="1219"/>
      <c r="AM402" s="1219"/>
      <c r="AN402" s="1219"/>
      <c r="AO402" s="1219"/>
      <c r="AP402" s="1219"/>
      <c r="AQ402" s="1219"/>
      <c r="AR402" s="1219"/>
      <c r="AS402" s="1219"/>
      <c r="AT402" s="1219"/>
      <c r="AU402" s="1219"/>
      <c r="AV402" s="1219"/>
      <c r="AW402" s="1219"/>
      <c r="AX402" s="1219"/>
      <c r="AY402" s="1183"/>
    </row>
    <row r="403" spans="1:51" ht="28.9" customHeight="1" x14ac:dyDescent="0.25">
      <c r="A403" s="1189"/>
      <c r="B403" s="1018"/>
      <c r="C403" s="1018"/>
      <c r="D403" s="164" t="s">
        <v>346</v>
      </c>
      <c r="E403" s="1225">
        <f t="shared" si="55"/>
        <v>6220667</v>
      </c>
      <c r="F403" s="1225">
        <f t="shared" si="55"/>
        <v>3010000</v>
      </c>
      <c r="G403" s="1225">
        <f t="shared" si="56"/>
        <v>6220667</v>
      </c>
      <c r="H403" s="1225">
        <f t="shared" si="65"/>
        <v>6220667</v>
      </c>
      <c r="I403" s="1225">
        <f t="shared" si="66"/>
        <v>6220667</v>
      </c>
      <c r="J403" s="1225"/>
      <c r="K403" s="1225"/>
      <c r="L403" s="1225"/>
      <c r="M403" s="1225"/>
      <c r="N403" s="1225"/>
      <c r="O403" s="1225"/>
      <c r="P403" s="1225"/>
      <c r="Q403" s="1225"/>
      <c r="R403" s="1225"/>
      <c r="S403" s="1023"/>
      <c r="T403" s="1225">
        <f t="shared" si="57"/>
        <v>3010000</v>
      </c>
      <c r="U403" s="1225">
        <f t="shared" si="58"/>
        <v>6220667</v>
      </c>
      <c r="V403" s="1225">
        <f t="shared" si="67"/>
        <v>6220667</v>
      </c>
      <c r="W403" s="1225"/>
      <c r="X403" s="1225">
        <f t="shared" si="59"/>
        <v>0</v>
      </c>
      <c r="Y403" s="1225">
        <f t="shared" si="59"/>
        <v>0</v>
      </c>
      <c r="Z403" s="1225">
        <f t="shared" si="59"/>
        <v>0</v>
      </c>
      <c r="AA403" s="1225">
        <f t="shared" si="60"/>
        <v>0</v>
      </c>
      <c r="AB403" s="1225">
        <f t="shared" si="61"/>
        <v>0</v>
      </c>
      <c r="AC403" s="1225">
        <f t="shared" si="62"/>
        <v>0</v>
      </c>
      <c r="AD403" s="1225">
        <f t="shared" si="63"/>
        <v>0</v>
      </c>
      <c r="AE403" s="1225">
        <f t="shared" si="64"/>
        <v>0</v>
      </c>
      <c r="AF403" s="1023"/>
      <c r="AG403" s="1218"/>
      <c r="AH403" s="1219"/>
      <c r="AI403" s="1219"/>
      <c r="AJ403" s="1219"/>
      <c r="AK403" s="1219"/>
      <c r="AL403" s="1219"/>
      <c r="AM403" s="1219"/>
      <c r="AN403" s="1219"/>
      <c r="AO403" s="1219"/>
      <c r="AP403" s="1219"/>
      <c r="AQ403" s="1219"/>
      <c r="AR403" s="1219"/>
      <c r="AS403" s="1219"/>
      <c r="AT403" s="1219"/>
      <c r="AU403" s="1219"/>
      <c r="AV403" s="1219"/>
      <c r="AW403" s="1219"/>
      <c r="AX403" s="1219"/>
      <c r="AY403" s="1183"/>
    </row>
    <row r="404" spans="1:51" ht="28.9" customHeight="1" x14ac:dyDescent="0.25">
      <c r="A404" s="1189"/>
      <c r="B404" s="1018"/>
      <c r="C404" s="1018"/>
      <c r="D404" s="165" t="s">
        <v>347</v>
      </c>
      <c r="E404" s="1225">
        <f t="shared" si="55"/>
        <v>2976</v>
      </c>
      <c r="F404" s="1225">
        <f t="shared" si="55"/>
        <v>2976</v>
      </c>
      <c r="G404" s="1225">
        <f t="shared" si="56"/>
        <v>2976</v>
      </c>
      <c r="H404" s="1225">
        <f t="shared" si="65"/>
        <v>2976</v>
      </c>
      <c r="I404" s="1225">
        <f t="shared" si="66"/>
        <v>2976</v>
      </c>
      <c r="J404" s="1225"/>
      <c r="K404" s="1225"/>
      <c r="L404" s="1225"/>
      <c r="M404" s="1225"/>
      <c r="N404" s="1225"/>
      <c r="O404" s="1225"/>
      <c r="P404" s="1225"/>
      <c r="Q404" s="1225"/>
      <c r="R404" s="1225"/>
      <c r="S404" s="1023"/>
      <c r="T404" s="1225">
        <f t="shared" si="57"/>
        <v>600</v>
      </c>
      <c r="U404" s="1225">
        <f t="shared" si="58"/>
        <v>1100</v>
      </c>
      <c r="V404" s="1225">
        <f t="shared" si="67"/>
        <v>1612</v>
      </c>
      <c r="W404" s="1225"/>
      <c r="X404" s="1225">
        <f t="shared" si="59"/>
        <v>0</v>
      </c>
      <c r="Y404" s="1225">
        <f t="shared" si="59"/>
        <v>0</v>
      </c>
      <c r="Z404" s="1225">
        <f t="shared" si="59"/>
        <v>0</v>
      </c>
      <c r="AA404" s="1225">
        <f t="shared" si="60"/>
        <v>0</v>
      </c>
      <c r="AB404" s="1225">
        <f t="shared" si="61"/>
        <v>0</v>
      </c>
      <c r="AC404" s="1225">
        <f t="shared" si="62"/>
        <v>0</v>
      </c>
      <c r="AD404" s="1225">
        <f t="shared" si="63"/>
        <v>0</v>
      </c>
      <c r="AE404" s="1225">
        <f t="shared" si="64"/>
        <v>0</v>
      </c>
      <c r="AF404" s="1023"/>
      <c r="AG404" s="1218"/>
      <c r="AH404" s="1219"/>
      <c r="AI404" s="1219"/>
      <c r="AJ404" s="1219"/>
      <c r="AK404" s="1219"/>
      <c r="AL404" s="1219"/>
      <c r="AM404" s="1219"/>
      <c r="AN404" s="1219"/>
      <c r="AO404" s="1219"/>
      <c r="AP404" s="1219"/>
      <c r="AQ404" s="1219"/>
      <c r="AR404" s="1219"/>
      <c r="AS404" s="1219"/>
      <c r="AT404" s="1219"/>
      <c r="AU404" s="1219"/>
      <c r="AV404" s="1219"/>
      <c r="AW404" s="1219"/>
      <c r="AX404" s="1219"/>
      <c r="AY404" s="1183"/>
    </row>
    <row r="405" spans="1:51" ht="28.9" customHeight="1" thickBot="1" x14ac:dyDescent="0.3">
      <c r="A405" s="1190"/>
      <c r="B405" s="1376"/>
      <c r="C405" s="1048"/>
      <c r="D405" s="164" t="s">
        <v>348</v>
      </c>
      <c r="E405" s="1225">
        <f t="shared" si="55"/>
        <v>77363667</v>
      </c>
      <c r="F405" s="1225">
        <f t="shared" si="55"/>
        <v>74153000</v>
      </c>
      <c r="G405" s="1225">
        <f t="shared" si="56"/>
        <v>77363667</v>
      </c>
      <c r="H405" s="1225">
        <f t="shared" si="65"/>
        <v>77363667</v>
      </c>
      <c r="I405" s="1225">
        <f t="shared" si="66"/>
        <v>77363667</v>
      </c>
      <c r="J405" s="1225"/>
      <c r="K405" s="1225"/>
      <c r="L405" s="1225"/>
      <c r="M405" s="1225"/>
      <c r="N405" s="1225"/>
      <c r="O405" s="1225"/>
      <c r="P405" s="1225"/>
      <c r="Q405" s="1225"/>
      <c r="R405" s="1225"/>
      <c r="S405" s="1023"/>
      <c r="T405" s="1225">
        <f t="shared" si="57"/>
        <v>3010000</v>
      </c>
      <c r="U405" s="1225">
        <f t="shared" si="58"/>
        <v>23472667</v>
      </c>
      <c r="V405" s="1225">
        <f t="shared" si="67"/>
        <v>23472667</v>
      </c>
      <c r="W405" s="1225"/>
      <c r="X405" s="1225">
        <f t="shared" si="59"/>
        <v>0</v>
      </c>
      <c r="Y405" s="1225">
        <f t="shared" si="59"/>
        <v>0</v>
      </c>
      <c r="Z405" s="1225">
        <f t="shared" si="59"/>
        <v>0</v>
      </c>
      <c r="AA405" s="1225">
        <f t="shared" si="60"/>
        <v>0</v>
      </c>
      <c r="AB405" s="1225">
        <f t="shared" si="61"/>
        <v>0</v>
      </c>
      <c r="AC405" s="1225">
        <f t="shared" si="62"/>
        <v>0</v>
      </c>
      <c r="AD405" s="1225">
        <f t="shared" si="63"/>
        <v>0</v>
      </c>
      <c r="AE405" s="1225">
        <f t="shared" si="64"/>
        <v>0</v>
      </c>
      <c r="AF405" s="1023"/>
      <c r="AG405" s="1220"/>
      <c r="AH405" s="1221"/>
      <c r="AI405" s="1221"/>
      <c r="AJ405" s="1221"/>
      <c r="AK405" s="1221"/>
      <c r="AL405" s="1221"/>
      <c r="AM405" s="1221"/>
      <c r="AN405" s="1221"/>
      <c r="AO405" s="1221"/>
      <c r="AP405" s="1221"/>
      <c r="AQ405" s="1221"/>
      <c r="AR405" s="1221"/>
      <c r="AS405" s="1221"/>
      <c r="AT405" s="1221"/>
      <c r="AU405" s="1221"/>
      <c r="AV405" s="1221"/>
      <c r="AW405" s="1221"/>
      <c r="AX405" s="1221"/>
      <c r="AY405" s="1183"/>
    </row>
    <row r="406" spans="1:51" ht="19.149999999999999" customHeight="1" x14ac:dyDescent="0.25">
      <c r="A406" s="1216">
        <v>4</v>
      </c>
      <c r="B406" s="1374" t="s">
        <v>354</v>
      </c>
      <c r="C406" s="1377" t="s">
        <v>598</v>
      </c>
      <c r="D406" s="161" t="s">
        <v>340</v>
      </c>
      <c r="E406" s="1225">
        <f>+INVERSIÓN!DN31</f>
        <v>1</v>
      </c>
      <c r="F406" s="1225">
        <v>1</v>
      </c>
      <c r="G406" s="1225">
        <v>1</v>
      </c>
      <c r="H406" s="1225">
        <v>1</v>
      </c>
      <c r="I406" s="1225">
        <v>1</v>
      </c>
      <c r="J406" s="1225"/>
      <c r="K406" s="1225"/>
      <c r="L406" s="1225"/>
      <c r="M406" s="1225"/>
      <c r="N406" s="1225"/>
      <c r="O406" s="1225"/>
      <c r="P406" s="1225"/>
      <c r="Q406" s="1225"/>
      <c r="R406" s="1225"/>
      <c r="S406" s="1325"/>
      <c r="T406" s="1006">
        <v>0.91</v>
      </c>
      <c r="U406" s="1006">
        <v>0.93000000000000016</v>
      </c>
      <c r="V406" s="1006">
        <v>0.95000000000000018</v>
      </c>
      <c r="W406" s="1006"/>
      <c r="X406" s="1006"/>
      <c r="Y406" s="1006"/>
      <c r="Z406" s="1006"/>
      <c r="AA406" s="1006"/>
      <c r="AB406" s="1006"/>
      <c r="AC406" s="1006"/>
      <c r="AD406" s="1326"/>
      <c r="AE406" s="1225"/>
      <c r="AF406" s="1325"/>
      <c r="AG406" s="1298" t="s">
        <v>456</v>
      </c>
      <c r="AH406" s="1299" t="s">
        <v>178</v>
      </c>
      <c r="AI406" s="1299" t="s">
        <v>178</v>
      </c>
      <c r="AJ406" s="1299" t="s">
        <v>178</v>
      </c>
      <c r="AK406" s="1300" t="s">
        <v>457</v>
      </c>
      <c r="AL406" s="1299" t="s">
        <v>178</v>
      </c>
      <c r="AM406" s="1299" t="s">
        <v>551</v>
      </c>
      <c r="AN406" s="1301">
        <v>7968095</v>
      </c>
      <c r="AO406" s="1301">
        <v>3815676</v>
      </c>
      <c r="AP406" s="1301">
        <v>4152419</v>
      </c>
      <c r="AQ406" s="1302" t="s">
        <v>459</v>
      </c>
      <c r="AR406" s="1302" t="s">
        <v>459</v>
      </c>
      <c r="AS406" s="1302" t="s">
        <v>459</v>
      </c>
      <c r="AT406" s="1302" t="s">
        <v>459</v>
      </c>
      <c r="AU406" s="1302" t="s">
        <v>459</v>
      </c>
      <c r="AV406" s="1302" t="s">
        <v>459</v>
      </c>
      <c r="AW406" s="1302" t="s">
        <v>459</v>
      </c>
      <c r="AX406" s="1301">
        <v>7936533</v>
      </c>
      <c r="AY406" s="1114" t="s">
        <v>599</v>
      </c>
    </row>
    <row r="407" spans="1:51" ht="19.149999999999999" customHeight="1" x14ac:dyDescent="0.25">
      <c r="A407" s="1189"/>
      <c r="B407" s="1018"/>
      <c r="C407" s="1018"/>
      <c r="D407" s="164" t="s">
        <v>343</v>
      </c>
      <c r="E407" s="1225">
        <f>+INVERSIÓN!DN32</f>
        <v>129390000</v>
      </c>
      <c r="F407" s="1225">
        <v>129390000</v>
      </c>
      <c r="G407" s="1225">
        <v>129390000</v>
      </c>
      <c r="H407" s="1225">
        <v>129390000</v>
      </c>
      <c r="I407" s="1225">
        <v>129390000</v>
      </c>
      <c r="J407" s="1225"/>
      <c r="K407" s="1020"/>
      <c r="L407" s="1225"/>
      <c r="M407" s="1225"/>
      <c r="N407" s="1225"/>
      <c r="O407" s="1006"/>
      <c r="P407" s="1225"/>
      <c r="Q407" s="1225"/>
      <c r="R407" s="1225"/>
      <c r="S407" s="1219"/>
      <c r="T407" s="1006">
        <v>7826000</v>
      </c>
      <c r="U407" s="1006">
        <v>7826000</v>
      </c>
      <c r="V407" s="1006">
        <v>25078000</v>
      </c>
      <c r="W407" s="1006"/>
      <c r="X407" s="1059"/>
      <c r="Y407" s="1059"/>
      <c r="Z407" s="1006"/>
      <c r="AA407" s="1006"/>
      <c r="AB407" s="1006"/>
      <c r="AC407" s="1006"/>
      <c r="AD407" s="1020"/>
      <c r="AE407" s="1225"/>
      <c r="AF407" s="1219"/>
      <c r="AG407" s="1218"/>
      <c r="AH407" s="1219"/>
      <c r="AI407" s="1219"/>
      <c r="AJ407" s="1219"/>
      <c r="AK407" s="1219"/>
      <c r="AL407" s="1219"/>
      <c r="AM407" s="1219"/>
      <c r="AN407" s="1219"/>
      <c r="AO407" s="1219"/>
      <c r="AP407" s="1219"/>
      <c r="AQ407" s="1219"/>
      <c r="AR407" s="1219"/>
      <c r="AS407" s="1219"/>
      <c r="AT407" s="1219"/>
      <c r="AU407" s="1219"/>
      <c r="AV407" s="1219"/>
      <c r="AW407" s="1219"/>
      <c r="AX407" s="1219"/>
      <c r="AY407" s="1219"/>
    </row>
    <row r="408" spans="1:51" ht="28.9" customHeight="1" x14ac:dyDescent="0.25">
      <c r="A408" s="1189"/>
      <c r="B408" s="1018"/>
      <c r="C408" s="1018"/>
      <c r="D408" s="165" t="s">
        <v>345</v>
      </c>
      <c r="E408" s="1225">
        <f>+INVERSIÓN!DN34</f>
        <v>0</v>
      </c>
      <c r="F408" s="1225">
        <v>0</v>
      </c>
      <c r="G408" s="1225">
        <v>0</v>
      </c>
      <c r="H408" s="1225">
        <v>0</v>
      </c>
      <c r="I408" s="1225">
        <v>0</v>
      </c>
      <c r="J408" s="1225"/>
      <c r="K408" s="1020"/>
      <c r="L408" s="1020"/>
      <c r="M408" s="1020"/>
      <c r="N408" s="1020"/>
      <c r="O408" s="1006"/>
      <c r="P408" s="1006"/>
      <c r="Q408" s="1006"/>
      <c r="R408" s="1225"/>
      <c r="S408" s="1219"/>
      <c r="T408" s="1006">
        <v>0</v>
      </c>
      <c r="U408" s="1006">
        <v>0</v>
      </c>
      <c r="V408" s="1006">
        <v>0</v>
      </c>
      <c r="W408" s="1006"/>
      <c r="X408" s="1059"/>
      <c r="Y408" s="1059"/>
      <c r="Z408" s="1006"/>
      <c r="AA408" s="1006"/>
      <c r="AB408" s="1006"/>
      <c r="AC408" s="1006"/>
      <c r="AD408" s="1020"/>
      <c r="AE408" s="1225"/>
      <c r="AF408" s="1219"/>
      <c r="AG408" s="1218"/>
      <c r="AH408" s="1219"/>
      <c r="AI408" s="1219"/>
      <c r="AJ408" s="1219"/>
      <c r="AK408" s="1219"/>
      <c r="AL408" s="1219"/>
      <c r="AM408" s="1219"/>
      <c r="AN408" s="1219"/>
      <c r="AO408" s="1219"/>
      <c r="AP408" s="1219"/>
      <c r="AQ408" s="1219"/>
      <c r="AR408" s="1219"/>
      <c r="AS408" s="1219"/>
      <c r="AT408" s="1219"/>
      <c r="AU408" s="1219"/>
      <c r="AV408" s="1219"/>
      <c r="AW408" s="1219"/>
      <c r="AX408" s="1219"/>
      <c r="AY408" s="1219"/>
    </row>
    <row r="409" spans="1:51" ht="28.9" customHeight="1" x14ac:dyDescent="0.25">
      <c r="A409" s="1189"/>
      <c r="B409" s="1018"/>
      <c r="C409" s="1018"/>
      <c r="D409" s="164" t="s">
        <v>346</v>
      </c>
      <c r="E409" s="1225">
        <f>+INVERSIÓN!DN35</f>
        <v>9912933</v>
      </c>
      <c r="F409" s="1225">
        <v>9912933</v>
      </c>
      <c r="G409" s="1225">
        <v>9912933</v>
      </c>
      <c r="H409" s="1225">
        <v>9912933</v>
      </c>
      <c r="I409" s="1225">
        <v>9912933</v>
      </c>
      <c r="J409" s="1225"/>
      <c r="K409" s="1020"/>
      <c r="L409" s="1020"/>
      <c r="M409" s="1020"/>
      <c r="N409" s="1020"/>
      <c r="O409" s="1020"/>
      <c r="P409" s="1006"/>
      <c r="Q409" s="1006"/>
      <c r="R409" s="1225"/>
      <c r="S409" s="1219"/>
      <c r="T409" s="1006">
        <v>0</v>
      </c>
      <c r="U409" s="1006">
        <v>3521700</v>
      </c>
      <c r="V409" s="1006">
        <v>3521700</v>
      </c>
      <c r="W409" s="1006"/>
      <c r="X409" s="1059"/>
      <c r="Y409" s="1059"/>
      <c r="Z409" s="1006"/>
      <c r="AA409" s="1006"/>
      <c r="AB409" s="1006"/>
      <c r="AC409" s="1006"/>
      <c r="AD409" s="1006"/>
      <c r="AE409" s="1006"/>
      <c r="AF409" s="1219"/>
      <c r="AG409" s="1218"/>
      <c r="AH409" s="1219"/>
      <c r="AI409" s="1219"/>
      <c r="AJ409" s="1219"/>
      <c r="AK409" s="1219"/>
      <c r="AL409" s="1219"/>
      <c r="AM409" s="1219"/>
      <c r="AN409" s="1219"/>
      <c r="AO409" s="1219"/>
      <c r="AP409" s="1219"/>
      <c r="AQ409" s="1219"/>
      <c r="AR409" s="1219"/>
      <c r="AS409" s="1219"/>
      <c r="AT409" s="1219"/>
      <c r="AU409" s="1219"/>
      <c r="AV409" s="1219"/>
      <c r="AW409" s="1219"/>
      <c r="AX409" s="1219"/>
      <c r="AY409" s="1219"/>
    </row>
    <row r="410" spans="1:51" ht="28.9" customHeight="1" x14ac:dyDescent="0.25">
      <c r="A410" s="1189"/>
      <c r="B410" s="1018"/>
      <c r="C410" s="1018"/>
      <c r="D410" s="165" t="s">
        <v>347</v>
      </c>
      <c r="E410" s="1225">
        <f>+INVERSIÓN!DN36</f>
        <v>1</v>
      </c>
      <c r="F410" s="1225">
        <v>1</v>
      </c>
      <c r="G410" s="1225">
        <v>1</v>
      </c>
      <c r="H410" s="1225">
        <v>1</v>
      </c>
      <c r="I410" s="1225">
        <v>1</v>
      </c>
      <c r="J410" s="1225"/>
      <c r="K410" s="1225"/>
      <c r="L410" s="1006"/>
      <c r="M410" s="1006"/>
      <c r="N410" s="1006"/>
      <c r="O410" s="1006"/>
      <c r="P410" s="1225"/>
      <c r="Q410" s="1225"/>
      <c r="R410" s="1225"/>
      <c r="S410" s="1219"/>
      <c r="T410" s="1006">
        <v>0.91</v>
      </c>
      <c r="U410" s="1006">
        <v>0.93000000000000016</v>
      </c>
      <c r="V410" s="1006">
        <v>0.95</v>
      </c>
      <c r="W410" s="1006"/>
      <c r="X410" s="1006"/>
      <c r="Y410" s="1006"/>
      <c r="Z410" s="1006"/>
      <c r="AA410" s="1006"/>
      <c r="AB410" s="1006"/>
      <c r="AC410" s="1006"/>
      <c r="AD410" s="1028"/>
      <c r="AE410" s="1028"/>
      <c r="AF410" s="1219"/>
      <c r="AG410" s="1218"/>
      <c r="AH410" s="1219"/>
      <c r="AI410" s="1219"/>
      <c r="AJ410" s="1219"/>
      <c r="AK410" s="1219"/>
      <c r="AL410" s="1219"/>
      <c r="AM410" s="1219"/>
      <c r="AN410" s="1219"/>
      <c r="AO410" s="1219"/>
      <c r="AP410" s="1219"/>
      <c r="AQ410" s="1219"/>
      <c r="AR410" s="1219"/>
      <c r="AS410" s="1219"/>
      <c r="AT410" s="1219"/>
      <c r="AU410" s="1219"/>
      <c r="AV410" s="1219"/>
      <c r="AW410" s="1219"/>
      <c r="AX410" s="1219"/>
      <c r="AY410" s="1219"/>
    </row>
    <row r="411" spans="1:51" ht="28.9" customHeight="1" x14ac:dyDescent="0.25">
      <c r="A411" s="1189"/>
      <c r="B411" s="1018"/>
      <c r="C411" s="1048"/>
      <c r="D411" s="164" t="s">
        <v>348</v>
      </c>
      <c r="E411" s="1225">
        <f>+INVERSIÓN!DN37</f>
        <v>139302933</v>
      </c>
      <c r="F411" s="1059">
        <v>139302933</v>
      </c>
      <c r="G411" s="1059">
        <v>139302933</v>
      </c>
      <c r="H411" s="1059">
        <v>139302933</v>
      </c>
      <c r="I411" s="1059">
        <v>139302933</v>
      </c>
      <c r="J411" s="1059"/>
      <c r="K411" s="1026"/>
      <c r="L411" s="1020"/>
      <c r="M411" s="1020"/>
      <c r="N411" s="1020"/>
      <c r="O411" s="1020"/>
      <c r="P411" s="1006"/>
      <c r="Q411" s="1006"/>
      <c r="R411" s="1006"/>
      <c r="S411" s="1221"/>
      <c r="T411" s="1006">
        <v>7826000</v>
      </c>
      <c r="U411" s="1006">
        <v>11347700</v>
      </c>
      <c r="V411" s="1006">
        <f>+V407+V409</f>
        <v>28599700</v>
      </c>
      <c r="W411" s="1006"/>
      <c r="X411" s="1006"/>
      <c r="Y411" s="1006"/>
      <c r="Z411" s="1225"/>
      <c r="AA411" s="1225"/>
      <c r="AB411" s="1225"/>
      <c r="AC411" s="1006"/>
      <c r="AD411" s="1006"/>
      <c r="AE411" s="1006"/>
      <c r="AF411" s="1219"/>
      <c r="AG411" s="1220"/>
      <c r="AH411" s="1221"/>
      <c r="AI411" s="1221"/>
      <c r="AJ411" s="1221"/>
      <c r="AK411" s="1221"/>
      <c r="AL411" s="1221"/>
      <c r="AM411" s="1221"/>
      <c r="AN411" s="1221"/>
      <c r="AO411" s="1221"/>
      <c r="AP411" s="1221"/>
      <c r="AQ411" s="1221"/>
      <c r="AR411" s="1221"/>
      <c r="AS411" s="1221"/>
      <c r="AT411" s="1221"/>
      <c r="AU411" s="1221"/>
      <c r="AV411" s="1221"/>
      <c r="AW411" s="1221"/>
      <c r="AX411" s="1221"/>
      <c r="AY411" s="1221"/>
    </row>
    <row r="412" spans="1:51" ht="19.149999999999999" customHeight="1" x14ac:dyDescent="0.25">
      <c r="A412" s="1189"/>
      <c r="B412" s="1018"/>
      <c r="C412" s="1217" t="s">
        <v>512</v>
      </c>
      <c r="D412" s="161" t="s">
        <v>340</v>
      </c>
      <c r="E412" s="1225">
        <f t="shared" ref="E412:L412" si="68">+E406</f>
        <v>1</v>
      </c>
      <c r="F412" s="1225">
        <f t="shared" si="68"/>
        <v>1</v>
      </c>
      <c r="G412" s="1225">
        <f t="shared" si="68"/>
        <v>1</v>
      </c>
      <c r="H412" s="1225">
        <f t="shared" si="68"/>
        <v>1</v>
      </c>
      <c r="I412" s="1225">
        <f t="shared" si="68"/>
        <v>1</v>
      </c>
      <c r="J412" s="1225"/>
      <c r="K412" s="1225"/>
      <c r="L412" s="1225"/>
      <c r="M412" s="1225"/>
      <c r="N412" s="1225"/>
      <c r="O412" s="1225"/>
      <c r="P412" s="1225"/>
      <c r="Q412" s="1225"/>
      <c r="R412" s="1225"/>
      <c r="S412" s="1225"/>
      <c r="T412" s="1225">
        <f t="shared" ref="T412:Y412" si="69">+T406</f>
        <v>0.91</v>
      </c>
      <c r="U412" s="1225">
        <f t="shared" si="69"/>
        <v>0.93000000000000016</v>
      </c>
      <c r="V412" s="1225">
        <f t="shared" si="69"/>
        <v>0.95000000000000018</v>
      </c>
      <c r="W412" s="1225"/>
      <c r="X412" s="1225">
        <f t="shared" si="69"/>
        <v>0</v>
      </c>
      <c r="Y412" s="1225">
        <f t="shared" si="69"/>
        <v>0</v>
      </c>
      <c r="Z412" s="1225">
        <f t="shared" ref="Z412:AE412" si="70">+Z406</f>
        <v>0</v>
      </c>
      <c r="AA412" s="1225">
        <f t="shared" si="70"/>
        <v>0</v>
      </c>
      <c r="AB412" s="1225">
        <f t="shared" si="70"/>
        <v>0</v>
      </c>
      <c r="AC412" s="1006">
        <f t="shared" si="70"/>
        <v>0</v>
      </c>
      <c r="AD412" s="1028">
        <f t="shared" si="70"/>
        <v>0</v>
      </c>
      <c r="AE412" s="1006">
        <f t="shared" si="70"/>
        <v>0</v>
      </c>
      <c r="AF412" s="1219"/>
      <c r="AG412" s="1298" t="s">
        <v>456</v>
      </c>
      <c r="AH412" s="1299" t="s">
        <v>178</v>
      </c>
      <c r="AI412" s="1299" t="s">
        <v>178</v>
      </c>
      <c r="AJ412" s="1299" t="s">
        <v>178</v>
      </c>
      <c r="AK412" s="1300" t="s">
        <v>457</v>
      </c>
      <c r="AL412" s="1299"/>
      <c r="AM412" s="1299" t="s">
        <v>551</v>
      </c>
      <c r="AN412" s="1301">
        <v>7968095</v>
      </c>
      <c r="AO412" s="1301">
        <v>3815676</v>
      </c>
      <c r="AP412" s="1301">
        <v>4152419</v>
      </c>
      <c r="AQ412" s="1302" t="s">
        <v>459</v>
      </c>
      <c r="AR412" s="1302" t="s">
        <v>459</v>
      </c>
      <c r="AS412" s="1302" t="s">
        <v>459</v>
      </c>
      <c r="AT412" s="1302" t="s">
        <v>459</v>
      </c>
      <c r="AU412" s="1302" t="s">
        <v>459</v>
      </c>
      <c r="AV412" s="1302" t="s">
        <v>459</v>
      </c>
      <c r="AW412" s="1302" t="s">
        <v>459</v>
      </c>
      <c r="AX412" s="1301">
        <v>7936534</v>
      </c>
      <c r="AY412" s="1183"/>
    </row>
    <row r="413" spans="1:51" ht="19.149999999999999" customHeight="1" x14ac:dyDescent="0.25">
      <c r="A413" s="1189"/>
      <c r="B413" s="1018"/>
      <c r="C413" s="1018"/>
      <c r="D413" s="164" t="s">
        <v>343</v>
      </c>
      <c r="E413" s="1225">
        <f t="shared" ref="E413:L413" si="71">+E407</f>
        <v>129390000</v>
      </c>
      <c r="F413" s="1225">
        <f t="shared" si="71"/>
        <v>129390000</v>
      </c>
      <c r="G413" s="1225">
        <f t="shared" si="71"/>
        <v>129390000</v>
      </c>
      <c r="H413" s="1225">
        <f t="shared" si="71"/>
        <v>129390000</v>
      </c>
      <c r="I413" s="1225">
        <f t="shared" si="71"/>
        <v>129390000</v>
      </c>
      <c r="J413" s="1225"/>
      <c r="K413" s="1225"/>
      <c r="L413" s="1225"/>
      <c r="M413" s="1225"/>
      <c r="N413" s="1225"/>
      <c r="O413" s="1225"/>
      <c r="P413" s="1225"/>
      <c r="Q413" s="1225"/>
      <c r="R413" s="1225"/>
      <c r="S413" s="1225"/>
      <c r="T413" s="1225">
        <f t="shared" ref="T413:Y413" si="72">+T407</f>
        <v>7826000</v>
      </c>
      <c r="U413" s="1225">
        <f t="shared" si="72"/>
        <v>7826000</v>
      </c>
      <c r="V413" s="1225">
        <f t="shared" si="72"/>
        <v>25078000</v>
      </c>
      <c r="W413" s="1225"/>
      <c r="X413" s="1225">
        <f t="shared" si="72"/>
        <v>0</v>
      </c>
      <c r="Y413" s="1225">
        <f t="shared" si="72"/>
        <v>0</v>
      </c>
      <c r="Z413" s="1225">
        <f t="shared" ref="Z413:AE413" si="73">+Z407</f>
        <v>0</v>
      </c>
      <c r="AA413" s="1225">
        <f t="shared" si="73"/>
        <v>0</v>
      </c>
      <c r="AB413" s="1225">
        <f t="shared" si="73"/>
        <v>0</v>
      </c>
      <c r="AC413" s="1006">
        <f t="shared" si="73"/>
        <v>0</v>
      </c>
      <c r="AD413" s="1006">
        <f t="shared" si="73"/>
        <v>0</v>
      </c>
      <c r="AE413" s="1028">
        <f t="shared" si="73"/>
        <v>0</v>
      </c>
      <c r="AF413" s="1219"/>
      <c r="AG413" s="1218"/>
      <c r="AH413" s="1219"/>
      <c r="AI413" s="1219"/>
      <c r="AJ413" s="1219"/>
      <c r="AK413" s="1219"/>
      <c r="AL413" s="1219"/>
      <c r="AM413" s="1219"/>
      <c r="AN413" s="1219"/>
      <c r="AO413" s="1219"/>
      <c r="AP413" s="1219"/>
      <c r="AQ413" s="1219"/>
      <c r="AR413" s="1219"/>
      <c r="AS413" s="1219"/>
      <c r="AT413" s="1219"/>
      <c r="AU413" s="1219"/>
      <c r="AV413" s="1219"/>
      <c r="AW413" s="1219"/>
      <c r="AX413" s="1219"/>
      <c r="AY413" s="1183"/>
    </row>
    <row r="414" spans="1:51" ht="28.9" customHeight="1" x14ac:dyDescent="0.25">
      <c r="A414" s="1189"/>
      <c r="B414" s="1018"/>
      <c r="C414" s="1018"/>
      <c r="D414" s="165" t="s">
        <v>345</v>
      </c>
      <c r="E414" s="1225">
        <f t="shared" ref="E414:L414" si="74">+E408</f>
        <v>0</v>
      </c>
      <c r="F414" s="1225">
        <f t="shared" si="74"/>
        <v>0</v>
      </c>
      <c r="G414" s="1225">
        <f t="shared" si="74"/>
        <v>0</v>
      </c>
      <c r="H414" s="1225">
        <f t="shared" si="74"/>
        <v>0</v>
      </c>
      <c r="I414" s="1225">
        <f t="shared" si="74"/>
        <v>0</v>
      </c>
      <c r="J414" s="1225"/>
      <c r="K414" s="1225"/>
      <c r="L414" s="1225"/>
      <c r="M414" s="1225"/>
      <c r="N414" s="1225"/>
      <c r="O414" s="1225"/>
      <c r="P414" s="1225"/>
      <c r="Q414" s="1225"/>
      <c r="R414" s="1225"/>
      <c r="S414" s="1225"/>
      <c r="T414" s="1225">
        <f t="shared" ref="T414:Y414" si="75">+T408</f>
        <v>0</v>
      </c>
      <c r="U414" s="1225">
        <f t="shared" si="75"/>
        <v>0</v>
      </c>
      <c r="V414" s="1225">
        <f t="shared" si="75"/>
        <v>0</v>
      </c>
      <c r="W414" s="1225"/>
      <c r="X414" s="1225">
        <f t="shared" si="75"/>
        <v>0</v>
      </c>
      <c r="Y414" s="1225">
        <f t="shared" si="75"/>
        <v>0</v>
      </c>
      <c r="Z414" s="1225">
        <f t="shared" ref="Z414:AE414" si="76">+Z408</f>
        <v>0</v>
      </c>
      <c r="AA414" s="1225">
        <f t="shared" si="76"/>
        <v>0</v>
      </c>
      <c r="AB414" s="1225">
        <f t="shared" si="76"/>
        <v>0</v>
      </c>
      <c r="AC414" s="1006">
        <f t="shared" si="76"/>
        <v>0</v>
      </c>
      <c r="AD414" s="1006">
        <f t="shared" si="76"/>
        <v>0</v>
      </c>
      <c r="AE414" s="1028">
        <f t="shared" si="76"/>
        <v>0</v>
      </c>
      <c r="AF414" s="1219"/>
      <c r="AG414" s="1218"/>
      <c r="AH414" s="1219"/>
      <c r="AI414" s="1219"/>
      <c r="AJ414" s="1219"/>
      <c r="AK414" s="1219"/>
      <c r="AL414" s="1219"/>
      <c r="AM414" s="1219"/>
      <c r="AN414" s="1219"/>
      <c r="AO414" s="1219"/>
      <c r="AP414" s="1219"/>
      <c r="AQ414" s="1219"/>
      <c r="AR414" s="1219"/>
      <c r="AS414" s="1219"/>
      <c r="AT414" s="1219"/>
      <c r="AU414" s="1219"/>
      <c r="AV414" s="1219"/>
      <c r="AW414" s="1219"/>
      <c r="AX414" s="1219"/>
      <c r="AY414" s="1183"/>
    </row>
    <row r="415" spans="1:51" ht="28.9" customHeight="1" x14ac:dyDescent="0.25">
      <c r="A415" s="1189"/>
      <c r="B415" s="1018"/>
      <c r="C415" s="1018"/>
      <c r="D415" s="164" t="s">
        <v>346</v>
      </c>
      <c r="E415" s="1225">
        <f t="shared" ref="E415:L415" si="77">+E409</f>
        <v>9912933</v>
      </c>
      <c r="F415" s="1225">
        <f t="shared" si="77"/>
        <v>9912933</v>
      </c>
      <c r="G415" s="1225">
        <f t="shared" si="77"/>
        <v>9912933</v>
      </c>
      <c r="H415" s="1225">
        <f t="shared" si="77"/>
        <v>9912933</v>
      </c>
      <c r="I415" s="1225">
        <f t="shared" si="77"/>
        <v>9912933</v>
      </c>
      <c r="J415" s="1225"/>
      <c r="K415" s="1225"/>
      <c r="L415" s="1225"/>
      <c r="M415" s="1225"/>
      <c r="N415" s="1225"/>
      <c r="O415" s="1225"/>
      <c r="P415" s="1225"/>
      <c r="Q415" s="1225"/>
      <c r="R415" s="1225"/>
      <c r="S415" s="1225"/>
      <c r="T415" s="1225">
        <f t="shared" ref="T415:Y415" si="78">+T409</f>
        <v>0</v>
      </c>
      <c r="U415" s="1225">
        <f t="shared" si="78"/>
        <v>3521700</v>
      </c>
      <c r="V415" s="1225">
        <f t="shared" si="78"/>
        <v>3521700</v>
      </c>
      <c r="W415" s="1225"/>
      <c r="X415" s="1225">
        <f t="shared" si="78"/>
        <v>0</v>
      </c>
      <c r="Y415" s="1225">
        <f t="shared" si="78"/>
        <v>0</v>
      </c>
      <c r="Z415" s="1225">
        <f t="shared" ref="Z415:AE415" si="79">+Z409</f>
        <v>0</v>
      </c>
      <c r="AA415" s="1225">
        <f t="shared" si="79"/>
        <v>0</v>
      </c>
      <c r="AB415" s="1225">
        <f t="shared" si="79"/>
        <v>0</v>
      </c>
      <c r="AC415" s="1006">
        <f t="shared" si="79"/>
        <v>0</v>
      </c>
      <c r="AD415" s="1006">
        <f t="shared" si="79"/>
        <v>0</v>
      </c>
      <c r="AE415" s="1028">
        <f t="shared" si="79"/>
        <v>0</v>
      </c>
      <c r="AF415" s="1219"/>
      <c r="AG415" s="1218"/>
      <c r="AH415" s="1219"/>
      <c r="AI415" s="1219"/>
      <c r="AJ415" s="1219"/>
      <c r="AK415" s="1219"/>
      <c r="AL415" s="1219"/>
      <c r="AM415" s="1219"/>
      <c r="AN415" s="1219"/>
      <c r="AO415" s="1219"/>
      <c r="AP415" s="1219"/>
      <c r="AQ415" s="1219"/>
      <c r="AR415" s="1219"/>
      <c r="AS415" s="1219"/>
      <c r="AT415" s="1219"/>
      <c r="AU415" s="1219"/>
      <c r="AV415" s="1219"/>
      <c r="AW415" s="1219"/>
      <c r="AX415" s="1219"/>
      <c r="AY415" s="1183"/>
    </row>
    <row r="416" spans="1:51" ht="28.9" customHeight="1" x14ac:dyDescent="0.25">
      <c r="A416" s="1189"/>
      <c r="B416" s="1018"/>
      <c r="C416" s="1018"/>
      <c r="D416" s="165" t="s">
        <v>347</v>
      </c>
      <c r="E416" s="1225">
        <f t="shared" ref="E416:L416" si="80">+E410</f>
        <v>1</v>
      </c>
      <c r="F416" s="1225">
        <f t="shared" si="80"/>
        <v>1</v>
      </c>
      <c r="G416" s="1225">
        <f t="shared" si="80"/>
        <v>1</v>
      </c>
      <c r="H416" s="1225">
        <f t="shared" si="80"/>
        <v>1</v>
      </c>
      <c r="I416" s="1225">
        <f t="shared" si="80"/>
        <v>1</v>
      </c>
      <c r="J416" s="1225"/>
      <c r="K416" s="1225"/>
      <c r="L416" s="1225"/>
      <c r="M416" s="1225"/>
      <c r="N416" s="1225"/>
      <c r="O416" s="1225"/>
      <c r="P416" s="1225"/>
      <c r="Q416" s="1225"/>
      <c r="R416" s="1225"/>
      <c r="S416" s="1225"/>
      <c r="T416" s="1225">
        <f t="shared" ref="T416:Y416" si="81">+T410</f>
        <v>0.91</v>
      </c>
      <c r="U416" s="1225">
        <f t="shared" si="81"/>
        <v>0.93000000000000016</v>
      </c>
      <c r="V416" s="1225">
        <f t="shared" si="81"/>
        <v>0.95</v>
      </c>
      <c r="W416" s="1225"/>
      <c r="X416" s="1225">
        <f t="shared" si="81"/>
        <v>0</v>
      </c>
      <c r="Y416" s="1225">
        <f t="shared" si="81"/>
        <v>0</v>
      </c>
      <c r="Z416" s="1225">
        <f t="shared" ref="Z416:AE416" si="82">+Z410</f>
        <v>0</v>
      </c>
      <c r="AA416" s="1225">
        <f t="shared" si="82"/>
        <v>0</v>
      </c>
      <c r="AB416" s="1225">
        <f t="shared" si="82"/>
        <v>0</v>
      </c>
      <c r="AC416" s="1006">
        <f t="shared" si="82"/>
        <v>0</v>
      </c>
      <c r="AD416" s="1028">
        <f t="shared" si="82"/>
        <v>0</v>
      </c>
      <c r="AE416" s="1028">
        <f t="shared" si="82"/>
        <v>0</v>
      </c>
      <c r="AF416" s="1219"/>
      <c r="AG416" s="1218"/>
      <c r="AH416" s="1219"/>
      <c r="AI416" s="1219"/>
      <c r="AJ416" s="1219"/>
      <c r="AK416" s="1219"/>
      <c r="AL416" s="1219"/>
      <c r="AM416" s="1219"/>
      <c r="AN416" s="1219"/>
      <c r="AO416" s="1219"/>
      <c r="AP416" s="1219"/>
      <c r="AQ416" s="1219"/>
      <c r="AR416" s="1219"/>
      <c r="AS416" s="1219"/>
      <c r="AT416" s="1219"/>
      <c r="AU416" s="1219"/>
      <c r="AV416" s="1219"/>
      <c r="AW416" s="1219"/>
      <c r="AX416" s="1219"/>
      <c r="AY416" s="1183"/>
    </row>
    <row r="417" spans="1:51" ht="28.9" customHeight="1" thickBot="1" x14ac:dyDescent="0.3">
      <c r="A417" s="1190"/>
      <c r="B417" s="1376"/>
      <c r="C417" s="1048"/>
      <c r="D417" s="164" t="s">
        <v>348</v>
      </c>
      <c r="E417" s="1225">
        <f t="shared" ref="E417:L417" si="83">+E411</f>
        <v>139302933</v>
      </c>
      <c r="F417" s="1225">
        <f t="shared" si="83"/>
        <v>139302933</v>
      </c>
      <c r="G417" s="1225">
        <f t="shared" si="83"/>
        <v>139302933</v>
      </c>
      <c r="H417" s="1225">
        <f t="shared" si="83"/>
        <v>139302933</v>
      </c>
      <c r="I417" s="1225">
        <f t="shared" si="83"/>
        <v>139302933</v>
      </c>
      <c r="J417" s="1225"/>
      <c r="K417" s="1225"/>
      <c r="L417" s="1225"/>
      <c r="M417" s="1225"/>
      <c r="N417" s="1225"/>
      <c r="O417" s="1225"/>
      <c r="P417" s="1225"/>
      <c r="Q417" s="1225"/>
      <c r="R417" s="1225"/>
      <c r="S417" s="1225"/>
      <c r="T417" s="1225">
        <f t="shared" ref="T417:Y417" si="84">+T411</f>
        <v>7826000</v>
      </c>
      <c r="U417" s="1225">
        <f t="shared" si="84"/>
        <v>11347700</v>
      </c>
      <c r="V417" s="1225">
        <f t="shared" si="84"/>
        <v>28599700</v>
      </c>
      <c r="W417" s="1225"/>
      <c r="X417" s="1225">
        <f t="shared" si="84"/>
        <v>0</v>
      </c>
      <c r="Y417" s="1225">
        <f t="shared" si="84"/>
        <v>0</v>
      </c>
      <c r="Z417" s="1225">
        <f t="shared" ref="Z417:AE417" si="85">+Z411</f>
        <v>0</v>
      </c>
      <c r="AA417" s="1225">
        <f t="shared" si="85"/>
        <v>0</v>
      </c>
      <c r="AB417" s="1225">
        <f t="shared" si="85"/>
        <v>0</v>
      </c>
      <c r="AC417" s="1006">
        <f t="shared" si="85"/>
        <v>0</v>
      </c>
      <c r="AD417" s="1006">
        <f t="shared" si="85"/>
        <v>0</v>
      </c>
      <c r="AE417" s="1028">
        <f t="shared" si="85"/>
        <v>0</v>
      </c>
      <c r="AF417" s="1221"/>
      <c r="AG417" s="1220"/>
      <c r="AH417" s="1221"/>
      <c r="AI417" s="1221"/>
      <c r="AJ417" s="1221"/>
      <c r="AK417" s="1221"/>
      <c r="AL417" s="1221"/>
      <c r="AM417" s="1221"/>
      <c r="AN417" s="1221"/>
      <c r="AO417" s="1221"/>
      <c r="AP417" s="1221"/>
      <c r="AQ417" s="1221"/>
      <c r="AR417" s="1221"/>
      <c r="AS417" s="1221"/>
      <c r="AT417" s="1221"/>
      <c r="AU417" s="1221"/>
      <c r="AV417" s="1221"/>
      <c r="AW417" s="1221"/>
      <c r="AX417" s="1221"/>
      <c r="AY417" s="1183"/>
    </row>
    <row r="418" spans="1:51" ht="19.149999999999999" customHeight="1" x14ac:dyDescent="0.25">
      <c r="A418" s="1216">
        <v>5</v>
      </c>
      <c r="B418" s="1374" t="s">
        <v>600</v>
      </c>
      <c r="C418" s="1217" t="s">
        <v>601</v>
      </c>
      <c r="D418" s="161" t="s">
        <v>340</v>
      </c>
      <c r="E418" s="1222">
        <f>+INVERSIÓN!DN38</f>
        <v>110</v>
      </c>
      <c r="F418" s="1222">
        <v>110</v>
      </c>
      <c r="G418" s="1222">
        <v>110</v>
      </c>
      <c r="H418" s="1222">
        <v>110</v>
      </c>
      <c r="I418" s="1222">
        <v>110</v>
      </c>
      <c r="J418" s="1222"/>
      <c r="K418" s="1222"/>
      <c r="L418" s="1222"/>
      <c r="M418" s="1222"/>
      <c r="N418" s="1222"/>
      <c r="O418" s="1327"/>
      <c r="P418" s="1222"/>
      <c r="Q418" s="1222"/>
      <c r="R418" s="1222"/>
      <c r="S418" s="1328" t="s">
        <v>1556</v>
      </c>
      <c r="T418" s="1006">
        <v>30</v>
      </c>
      <c r="U418" s="1006">
        <v>40</v>
      </c>
      <c r="V418" s="1006">
        <v>65</v>
      </c>
      <c r="W418" s="1006"/>
      <c r="X418" s="1006"/>
      <c r="Y418" s="1006"/>
      <c r="Z418" s="1006"/>
      <c r="AA418" s="1006"/>
      <c r="AB418" s="1020"/>
      <c r="AC418" s="1006"/>
      <c r="AD418" s="1006"/>
      <c r="AE418" s="1222"/>
      <c r="AF418" s="1329" t="s">
        <v>1557</v>
      </c>
      <c r="AG418" s="1280" t="s">
        <v>456</v>
      </c>
      <c r="AH418" s="1275" t="s">
        <v>178</v>
      </c>
      <c r="AI418" s="1275" t="s">
        <v>178</v>
      </c>
      <c r="AJ418" s="1275" t="s">
        <v>178</v>
      </c>
      <c r="AK418" s="1308" t="s">
        <v>457</v>
      </c>
      <c r="AL418" s="1275"/>
      <c r="AM418" s="1275" t="s">
        <v>551</v>
      </c>
      <c r="AN418" s="1277">
        <v>7968095</v>
      </c>
      <c r="AO418" s="1277">
        <v>3815676</v>
      </c>
      <c r="AP418" s="1277">
        <v>4152419</v>
      </c>
      <c r="AQ418" s="1278" t="s">
        <v>459</v>
      </c>
      <c r="AR418" s="1278" t="s">
        <v>459</v>
      </c>
      <c r="AS418" s="1278" t="s">
        <v>459</v>
      </c>
      <c r="AT418" s="1278" t="s">
        <v>459</v>
      </c>
      <c r="AU418" s="1278" t="s">
        <v>459</v>
      </c>
      <c r="AV418" s="1278" t="s">
        <v>459</v>
      </c>
      <c r="AW418" s="1278" t="s">
        <v>459</v>
      </c>
      <c r="AX418" s="1277">
        <v>7968095</v>
      </c>
      <c r="AY418" s="1232"/>
    </row>
    <row r="419" spans="1:51" ht="19.149999999999999" customHeight="1" x14ac:dyDescent="0.25">
      <c r="A419" s="1189"/>
      <c r="B419" s="1018"/>
      <c r="C419" s="1018"/>
      <c r="D419" s="164" t="s">
        <v>343</v>
      </c>
      <c r="E419" s="1222">
        <f>+INVERSIÓN!DN39</f>
        <v>1054761000</v>
      </c>
      <c r="F419" s="1222">
        <v>1054761000</v>
      </c>
      <c r="G419" s="1222">
        <v>1054761000</v>
      </c>
      <c r="H419" s="1222">
        <v>1054761000</v>
      </c>
      <c r="I419" s="1222">
        <v>1054761000</v>
      </c>
      <c r="J419" s="1222"/>
      <c r="K419" s="1222"/>
      <c r="L419" s="1222"/>
      <c r="M419" s="1222"/>
      <c r="N419" s="1006"/>
      <c r="O419" s="1327"/>
      <c r="P419" s="1222"/>
      <c r="Q419" s="1222"/>
      <c r="R419" s="1222"/>
      <c r="S419" s="1073"/>
      <c r="T419" s="1006">
        <v>31724000</v>
      </c>
      <c r="U419" s="1006">
        <v>185660000</v>
      </c>
      <c r="V419" s="1006">
        <v>240760000</v>
      </c>
      <c r="W419" s="1006"/>
      <c r="X419" s="1059"/>
      <c r="Y419" s="1006"/>
      <c r="Z419" s="1006"/>
      <c r="AA419" s="1006"/>
      <c r="AB419" s="1020"/>
      <c r="AC419" s="1006"/>
      <c r="AD419" s="1006"/>
      <c r="AE419" s="1222"/>
      <c r="AF419" s="1203"/>
      <c r="AG419" s="1204"/>
      <c r="AH419" s="1073"/>
      <c r="AI419" s="1073"/>
      <c r="AJ419" s="1073"/>
      <c r="AK419" s="1073"/>
      <c r="AL419" s="1073"/>
      <c r="AM419" s="1073"/>
      <c r="AN419" s="1073"/>
      <c r="AO419" s="1073"/>
      <c r="AP419" s="1073"/>
      <c r="AQ419" s="1073"/>
      <c r="AR419" s="1073"/>
      <c r="AS419" s="1073"/>
      <c r="AT419" s="1073"/>
      <c r="AU419" s="1073"/>
      <c r="AV419" s="1073"/>
      <c r="AW419" s="1073"/>
      <c r="AX419" s="1073"/>
      <c r="AY419" s="1073"/>
    </row>
    <row r="420" spans="1:51" ht="28.9" customHeight="1" x14ac:dyDescent="0.25">
      <c r="A420" s="1189"/>
      <c r="B420" s="1018"/>
      <c r="C420" s="1018"/>
      <c r="D420" s="165" t="s">
        <v>345</v>
      </c>
      <c r="E420" s="1222">
        <f>+INVERSIÓN!DN41</f>
        <v>0</v>
      </c>
      <c r="F420" s="1222">
        <v>0</v>
      </c>
      <c r="G420" s="1222">
        <v>0</v>
      </c>
      <c r="H420" s="1222">
        <v>0</v>
      </c>
      <c r="I420" s="1222">
        <v>0</v>
      </c>
      <c r="J420" s="1222"/>
      <c r="K420" s="1222"/>
      <c r="L420" s="1225"/>
      <c r="M420" s="1222"/>
      <c r="N420" s="1222"/>
      <c r="O420" s="1327"/>
      <c r="P420" s="1327"/>
      <c r="Q420" s="1222"/>
      <c r="R420" s="1222"/>
      <c r="S420" s="1073"/>
      <c r="T420" s="1006">
        <v>0</v>
      </c>
      <c r="U420" s="1006">
        <v>0</v>
      </c>
      <c r="V420" s="1006">
        <v>0</v>
      </c>
      <c r="W420" s="1006"/>
      <c r="X420" s="1225"/>
      <c r="Y420" s="1225"/>
      <c r="Z420" s="1006"/>
      <c r="AA420" s="1222"/>
      <c r="AB420" s="1020"/>
      <c r="AC420" s="1020"/>
      <c r="AD420" s="1006"/>
      <c r="AE420" s="1222"/>
      <c r="AF420" s="1203"/>
      <c r="AG420" s="1204"/>
      <c r="AH420" s="1073"/>
      <c r="AI420" s="1073"/>
      <c r="AJ420" s="1073"/>
      <c r="AK420" s="1073"/>
      <c r="AL420" s="1073"/>
      <c r="AM420" s="1073"/>
      <c r="AN420" s="1073"/>
      <c r="AO420" s="1073"/>
      <c r="AP420" s="1073"/>
      <c r="AQ420" s="1073"/>
      <c r="AR420" s="1073"/>
      <c r="AS420" s="1073"/>
      <c r="AT420" s="1073"/>
      <c r="AU420" s="1073"/>
      <c r="AV420" s="1073"/>
      <c r="AW420" s="1073"/>
      <c r="AX420" s="1073"/>
      <c r="AY420" s="1073"/>
    </row>
    <row r="421" spans="1:51" ht="28.9" customHeight="1" x14ac:dyDescent="0.25">
      <c r="A421" s="1189"/>
      <c r="B421" s="1018"/>
      <c r="C421" s="1018"/>
      <c r="D421" s="164" t="s">
        <v>346</v>
      </c>
      <c r="E421" s="1222">
        <f>+INVERSIÓN!DN42</f>
        <v>198394355</v>
      </c>
      <c r="F421" s="1222">
        <v>0</v>
      </c>
      <c r="G421" s="1222">
        <v>198394355</v>
      </c>
      <c r="H421" s="1222">
        <v>198394355</v>
      </c>
      <c r="I421" s="1222">
        <v>198394355</v>
      </c>
      <c r="J421" s="1222"/>
      <c r="K421" s="1222"/>
      <c r="L421" s="1222"/>
      <c r="M421" s="1222"/>
      <c r="N421" s="1222"/>
      <c r="O421" s="1222"/>
      <c r="P421" s="1327"/>
      <c r="Q421" s="1327"/>
      <c r="R421" s="1222"/>
      <c r="S421" s="1073"/>
      <c r="T421" s="1006">
        <v>79500803</v>
      </c>
      <c r="U421" s="1006">
        <v>126909605</v>
      </c>
      <c r="V421" s="1006">
        <v>135477648</v>
      </c>
      <c r="W421" s="1006"/>
      <c r="X421" s="1006"/>
      <c r="Y421" s="1225"/>
      <c r="Z421" s="1006"/>
      <c r="AA421" s="1222"/>
      <c r="AB421" s="1222"/>
      <c r="AC421" s="1020"/>
      <c r="AD421" s="1020"/>
      <c r="AE421" s="1222"/>
      <c r="AF421" s="1203"/>
      <c r="AG421" s="1204"/>
      <c r="AH421" s="1073"/>
      <c r="AI421" s="1073"/>
      <c r="AJ421" s="1073"/>
      <c r="AK421" s="1073"/>
      <c r="AL421" s="1073"/>
      <c r="AM421" s="1073"/>
      <c r="AN421" s="1073"/>
      <c r="AO421" s="1073"/>
      <c r="AP421" s="1073"/>
      <c r="AQ421" s="1073"/>
      <c r="AR421" s="1073"/>
      <c r="AS421" s="1073"/>
      <c r="AT421" s="1073"/>
      <c r="AU421" s="1073"/>
      <c r="AV421" s="1073"/>
      <c r="AW421" s="1073"/>
      <c r="AX421" s="1073"/>
      <c r="AY421" s="1073"/>
    </row>
    <row r="422" spans="1:51" ht="28.9" customHeight="1" x14ac:dyDescent="0.25">
      <c r="A422" s="1189"/>
      <c r="B422" s="1018"/>
      <c r="C422" s="1018"/>
      <c r="D422" s="165" t="s">
        <v>347</v>
      </c>
      <c r="E422" s="1222">
        <f>+INVERSIÓN!DN43</f>
        <v>110</v>
      </c>
      <c r="F422" s="1225">
        <v>110</v>
      </c>
      <c r="G422" s="1222">
        <v>110</v>
      </c>
      <c r="H422" s="1222">
        <v>110</v>
      </c>
      <c r="I422" s="1222">
        <v>110</v>
      </c>
      <c r="J422" s="1222"/>
      <c r="K422" s="1222"/>
      <c r="L422" s="1225"/>
      <c r="M422" s="1222"/>
      <c r="N422" s="1222"/>
      <c r="O422" s="1222"/>
      <c r="P422" s="1222"/>
      <c r="Q422" s="1222"/>
      <c r="R422" s="1222"/>
      <c r="S422" s="1073"/>
      <c r="T422" s="1006">
        <v>30</v>
      </c>
      <c r="U422" s="1006">
        <v>40</v>
      </c>
      <c r="V422" s="1006">
        <v>65</v>
      </c>
      <c r="W422" s="1006"/>
      <c r="X422" s="1225"/>
      <c r="Y422" s="1225"/>
      <c r="Z422" s="1006"/>
      <c r="AA422" s="1222"/>
      <c r="AB422" s="1020"/>
      <c r="AC422" s="1006"/>
      <c r="AD422" s="1006"/>
      <c r="AE422" s="1222"/>
      <c r="AF422" s="1203"/>
      <c r="AG422" s="1204"/>
      <c r="AH422" s="1073"/>
      <c r="AI422" s="1073"/>
      <c r="AJ422" s="1073"/>
      <c r="AK422" s="1073"/>
      <c r="AL422" s="1073"/>
      <c r="AM422" s="1073"/>
      <c r="AN422" s="1073"/>
      <c r="AO422" s="1073"/>
      <c r="AP422" s="1073"/>
      <c r="AQ422" s="1073"/>
      <c r="AR422" s="1073"/>
      <c r="AS422" s="1073"/>
      <c r="AT422" s="1073"/>
      <c r="AU422" s="1073"/>
      <c r="AV422" s="1073"/>
      <c r="AW422" s="1073"/>
      <c r="AX422" s="1073"/>
      <c r="AY422" s="1073"/>
    </row>
    <row r="423" spans="1:51" ht="28.9" customHeight="1" x14ac:dyDescent="0.25">
      <c r="A423" s="1189"/>
      <c r="B423" s="1018"/>
      <c r="C423" s="1048"/>
      <c r="D423" s="164" t="s">
        <v>348</v>
      </c>
      <c r="E423" s="1222">
        <f>+E419+E421</f>
        <v>1253155355</v>
      </c>
      <c r="F423" s="1222">
        <f t="shared" ref="F423:I423" si="86">+F419+F421</f>
        <v>1054761000</v>
      </c>
      <c r="G423" s="1222">
        <f t="shared" si="86"/>
        <v>1253155355</v>
      </c>
      <c r="H423" s="1222">
        <f t="shared" si="86"/>
        <v>1253155355</v>
      </c>
      <c r="I423" s="1222">
        <f t="shared" si="86"/>
        <v>1253155355</v>
      </c>
      <c r="J423" s="1222"/>
      <c r="K423" s="1222"/>
      <c r="L423" s="1222"/>
      <c r="M423" s="1026"/>
      <c r="N423" s="1026"/>
      <c r="O423" s="1026"/>
      <c r="P423" s="1026"/>
      <c r="Q423" s="1026"/>
      <c r="R423" s="1026"/>
      <c r="S423" s="1076"/>
      <c r="T423" s="1006">
        <v>111224803</v>
      </c>
      <c r="U423" s="1006">
        <v>312569605</v>
      </c>
      <c r="V423" s="1059">
        <f>+V419+V421</f>
        <v>376237648</v>
      </c>
      <c r="W423" s="1059"/>
      <c r="X423" s="1059"/>
      <c r="Y423" s="1059"/>
      <c r="Z423" s="1026"/>
      <c r="AA423" s="1026"/>
      <c r="AB423" s="1026"/>
      <c r="AC423" s="1026"/>
      <c r="AD423" s="1026"/>
      <c r="AE423" s="1026"/>
      <c r="AF423" s="1173"/>
      <c r="AG423" s="1190"/>
      <c r="AH423" s="1076"/>
      <c r="AI423" s="1076"/>
      <c r="AJ423" s="1076"/>
      <c r="AK423" s="1076"/>
      <c r="AL423" s="1076"/>
      <c r="AM423" s="1076"/>
      <c r="AN423" s="1076"/>
      <c r="AO423" s="1076"/>
      <c r="AP423" s="1076"/>
      <c r="AQ423" s="1076"/>
      <c r="AR423" s="1076"/>
      <c r="AS423" s="1076"/>
      <c r="AT423" s="1076"/>
      <c r="AU423" s="1076"/>
      <c r="AV423" s="1076"/>
      <c r="AW423" s="1076"/>
      <c r="AX423" s="1076"/>
      <c r="AY423" s="1076"/>
    </row>
    <row r="424" spans="1:51" ht="19.149999999999999" customHeight="1" x14ac:dyDescent="0.25">
      <c r="A424" s="1189"/>
      <c r="B424" s="1018"/>
      <c r="C424" s="1378" t="s">
        <v>462</v>
      </c>
      <c r="D424" s="161" t="s">
        <v>340</v>
      </c>
      <c r="E424" s="1225"/>
      <c r="F424" s="1330"/>
      <c r="G424" s="1225">
        <v>3</v>
      </c>
      <c r="H424" s="1225">
        <v>3</v>
      </c>
      <c r="I424" s="1225">
        <v>7</v>
      </c>
      <c r="J424" s="1225"/>
      <c r="K424" s="1331"/>
      <c r="L424" s="1225"/>
      <c r="M424" s="1225"/>
      <c r="N424" s="1006"/>
      <c r="O424" s="1022"/>
      <c r="P424" s="1225"/>
      <c r="Q424" s="1225"/>
      <c r="R424" s="1225"/>
      <c r="S424" s="1225"/>
      <c r="T424" s="1006">
        <f>+G424</f>
        <v>3</v>
      </c>
      <c r="U424" s="1006">
        <f>+H424</f>
        <v>3</v>
      </c>
      <c r="V424" s="1225">
        <f>+I424</f>
        <v>7</v>
      </c>
      <c r="W424" s="1225"/>
      <c r="X424" s="1006"/>
      <c r="Y424" s="1006"/>
      <c r="Z424" s="1225"/>
      <c r="AA424" s="1225"/>
      <c r="AB424" s="1020"/>
      <c r="AC424" s="1020"/>
      <c r="AD424" s="1020"/>
      <c r="AE424" s="1020"/>
      <c r="AF424" s="1332" t="s">
        <v>1558</v>
      </c>
      <c r="AG424" s="1333" t="s">
        <v>602</v>
      </c>
      <c r="AH424" s="1334" t="s">
        <v>1431</v>
      </c>
      <c r="AI424" s="1334" t="s">
        <v>1432</v>
      </c>
      <c r="AJ424" s="1275" t="s">
        <v>1433</v>
      </c>
      <c r="AK424" s="1275" t="s">
        <v>457</v>
      </c>
      <c r="AL424" s="1275"/>
      <c r="AM424" s="1275" t="s">
        <v>603</v>
      </c>
      <c r="AN424" s="1282">
        <v>594611</v>
      </c>
      <c r="AO424" s="1277">
        <v>272967</v>
      </c>
      <c r="AP424" s="1277">
        <v>321644</v>
      </c>
      <c r="AQ424" s="1278" t="s">
        <v>459</v>
      </c>
      <c r="AR424" s="1278" t="s">
        <v>459</v>
      </c>
      <c r="AS424" s="1278" t="s">
        <v>459</v>
      </c>
      <c r="AT424" s="1278" t="s">
        <v>459</v>
      </c>
      <c r="AU424" s="1278" t="s">
        <v>459</v>
      </c>
      <c r="AV424" s="1278" t="s">
        <v>459</v>
      </c>
      <c r="AW424" s="1278" t="s">
        <v>459</v>
      </c>
      <c r="AX424" s="1282">
        <v>586954</v>
      </c>
      <c r="AY424" s="1232" t="s">
        <v>1559</v>
      </c>
    </row>
    <row r="425" spans="1:51" ht="19.149999999999999" customHeight="1" x14ac:dyDescent="0.25">
      <c r="A425" s="1189"/>
      <c r="B425" s="1018"/>
      <c r="C425" s="1379"/>
      <c r="D425" s="164" t="s">
        <v>343</v>
      </c>
      <c r="E425" s="1020"/>
      <c r="F425" s="1330"/>
      <c r="G425" s="1225">
        <f>+G424*$T$419/$T$418</f>
        <v>3172400</v>
      </c>
      <c r="H425" s="1225">
        <f>+H424*$U$419/$U$418</f>
        <v>13924500</v>
      </c>
      <c r="I425" s="1225">
        <f>+I424*$V$419/$V$418</f>
        <v>25928000</v>
      </c>
      <c r="J425" s="1225"/>
      <c r="K425" s="1225"/>
      <c r="L425" s="1225"/>
      <c r="M425" s="1225"/>
      <c r="N425" s="1225"/>
      <c r="O425" s="1225"/>
      <c r="P425" s="1225"/>
      <c r="Q425" s="1225"/>
      <c r="R425" s="1225"/>
      <c r="S425" s="1020"/>
      <c r="T425" s="1006">
        <f t="shared" ref="T425:T487" si="87">+G425</f>
        <v>3172400</v>
      </c>
      <c r="U425" s="1006">
        <f t="shared" ref="U425:U488" si="88">+H425</f>
        <v>13924500</v>
      </c>
      <c r="V425" s="1225">
        <f t="shared" ref="V425:V488" si="89">+I425</f>
        <v>25928000</v>
      </c>
      <c r="W425" s="1225"/>
      <c r="X425" s="1006"/>
      <c r="Y425" s="1006"/>
      <c r="Z425" s="1225"/>
      <c r="AA425" s="1225"/>
      <c r="AB425" s="1020"/>
      <c r="AC425" s="1020"/>
      <c r="AD425" s="1020"/>
      <c r="AE425" s="1020"/>
      <c r="AF425" s="1203"/>
      <c r="AG425" s="1204"/>
      <c r="AH425" s="1073"/>
      <c r="AI425" s="1073"/>
      <c r="AJ425" s="1073"/>
      <c r="AK425" s="1073"/>
      <c r="AL425" s="1073"/>
      <c r="AM425" s="1073"/>
      <c r="AN425" s="1073"/>
      <c r="AO425" s="1073"/>
      <c r="AP425" s="1073"/>
      <c r="AQ425" s="1073"/>
      <c r="AR425" s="1073"/>
      <c r="AS425" s="1073"/>
      <c r="AT425" s="1073"/>
      <c r="AU425" s="1073"/>
      <c r="AV425" s="1073"/>
      <c r="AW425" s="1073"/>
      <c r="AX425" s="1073"/>
      <c r="AY425" s="1073"/>
    </row>
    <row r="426" spans="1:51" ht="28.9" customHeight="1" x14ac:dyDescent="0.25">
      <c r="A426" s="1189"/>
      <c r="B426" s="1018"/>
      <c r="C426" s="1379"/>
      <c r="D426" s="165" t="s">
        <v>345</v>
      </c>
      <c r="E426" s="1020"/>
      <c r="F426" s="1330"/>
      <c r="G426" s="1020"/>
      <c r="H426" s="1020"/>
      <c r="I426" s="1020"/>
      <c r="J426" s="1020"/>
      <c r="K426" s="1020"/>
      <c r="L426" s="1020"/>
      <c r="M426" s="1020"/>
      <c r="N426" s="1059"/>
      <c r="O426" s="1327"/>
      <c r="P426" s="1020"/>
      <c r="Q426" s="1020"/>
      <c r="R426" s="1020"/>
      <c r="S426" s="1020"/>
      <c r="T426" s="1006">
        <f t="shared" si="87"/>
        <v>0</v>
      </c>
      <c r="U426" s="1006">
        <f t="shared" si="88"/>
        <v>0</v>
      </c>
      <c r="V426" s="1225">
        <f t="shared" si="89"/>
        <v>0</v>
      </c>
      <c r="W426" s="1225"/>
      <c r="X426" s="1006"/>
      <c r="Y426" s="1006"/>
      <c r="Z426" s="1225"/>
      <c r="AA426" s="1225"/>
      <c r="AB426" s="1020"/>
      <c r="AC426" s="1020"/>
      <c r="AD426" s="1020"/>
      <c r="AE426" s="1020"/>
      <c r="AF426" s="1203"/>
      <c r="AG426" s="1204"/>
      <c r="AH426" s="1073"/>
      <c r="AI426" s="1073"/>
      <c r="AJ426" s="1073"/>
      <c r="AK426" s="1073"/>
      <c r="AL426" s="1073"/>
      <c r="AM426" s="1073"/>
      <c r="AN426" s="1073"/>
      <c r="AO426" s="1073"/>
      <c r="AP426" s="1073"/>
      <c r="AQ426" s="1073"/>
      <c r="AR426" s="1073"/>
      <c r="AS426" s="1073"/>
      <c r="AT426" s="1073"/>
      <c r="AU426" s="1073"/>
      <c r="AV426" s="1073"/>
      <c r="AW426" s="1073"/>
      <c r="AX426" s="1073"/>
      <c r="AY426" s="1073"/>
    </row>
    <row r="427" spans="1:51" ht="28.9" customHeight="1" x14ac:dyDescent="0.25">
      <c r="A427" s="1189"/>
      <c r="B427" s="1018"/>
      <c r="C427" s="1379"/>
      <c r="D427" s="164" t="s">
        <v>346</v>
      </c>
      <c r="E427" s="1020"/>
      <c r="F427" s="1330"/>
      <c r="G427" s="1020">
        <f>+$T$421/9</f>
        <v>8833422.555555556</v>
      </c>
      <c r="H427" s="1020">
        <f>+$U$421/13</f>
        <v>9762277.307692308</v>
      </c>
      <c r="I427" s="1020">
        <f>+$V$421/13</f>
        <v>10421357.538461538</v>
      </c>
      <c r="J427" s="1020"/>
      <c r="K427" s="1020"/>
      <c r="L427" s="1020"/>
      <c r="M427" s="1020"/>
      <c r="N427" s="1020"/>
      <c r="O427" s="1020"/>
      <c r="P427" s="1327"/>
      <c r="Q427" s="1327"/>
      <c r="R427" s="1327"/>
      <c r="S427" s="1020"/>
      <c r="T427" s="1006">
        <f t="shared" si="87"/>
        <v>8833422.555555556</v>
      </c>
      <c r="U427" s="1006">
        <f t="shared" si="88"/>
        <v>9762277.307692308</v>
      </c>
      <c r="V427" s="1225">
        <f t="shared" si="89"/>
        <v>10421357.538461538</v>
      </c>
      <c r="W427" s="1225"/>
      <c r="X427" s="1006"/>
      <c r="Y427" s="1006"/>
      <c r="Z427" s="1225"/>
      <c r="AA427" s="1225"/>
      <c r="AB427" s="1020"/>
      <c r="AC427" s="1020"/>
      <c r="AD427" s="1020"/>
      <c r="AE427" s="1020"/>
      <c r="AF427" s="1203"/>
      <c r="AG427" s="1204"/>
      <c r="AH427" s="1073"/>
      <c r="AI427" s="1073"/>
      <c r="AJ427" s="1073"/>
      <c r="AK427" s="1073"/>
      <c r="AL427" s="1073"/>
      <c r="AM427" s="1073"/>
      <c r="AN427" s="1073"/>
      <c r="AO427" s="1073"/>
      <c r="AP427" s="1073"/>
      <c r="AQ427" s="1073"/>
      <c r="AR427" s="1073"/>
      <c r="AS427" s="1073"/>
      <c r="AT427" s="1073"/>
      <c r="AU427" s="1073"/>
      <c r="AV427" s="1073"/>
      <c r="AW427" s="1073"/>
      <c r="AX427" s="1073"/>
      <c r="AY427" s="1073"/>
    </row>
    <row r="428" spans="1:51" ht="28.9" customHeight="1" x14ac:dyDescent="0.25">
      <c r="A428" s="1189"/>
      <c r="B428" s="1018"/>
      <c r="C428" s="1379"/>
      <c r="D428" s="165" t="s">
        <v>347</v>
      </c>
      <c r="E428" s="1225"/>
      <c r="F428" s="1330"/>
      <c r="G428" s="1225">
        <v>3</v>
      </c>
      <c r="H428" s="1225">
        <v>3</v>
      </c>
      <c r="I428" s="1225">
        <v>7</v>
      </c>
      <c r="J428" s="1225"/>
      <c r="K428" s="1331"/>
      <c r="L428" s="1225"/>
      <c r="M428" s="1225"/>
      <c r="N428" s="1225"/>
      <c r="O428" s="1022"/>
      <c r="P428" s="1225"/>
      <c r="Q428" s="1225"/>
      <c r="R428" s="1225"/>
      <c r="S428" s="1225"/>
      <c r="T428" s="1006">
        <f>+T424+T426</f>
        <v>3</v>
      </c>
      <c r="U428" s="1006">
        <f t="shared" si="88"/>
        <v>3</v>
      </c>
      <c r="V428" s="1225">
        <f t="shared" si="89"/>
        <v>7</v>
      </c>
      <c r="W428" s="1225"/>
      <c r="X428" s="1006"/>
      <c r="Y428" s="1006"/>
      <c r="Z428" s="1225"/>
      <c r="AA428" s="1225"/>
      <c r="AB428" s="1020"/>
      <c r="AC428" s="1020"/>
      <c r="AD428" s="1020"/>
      <c r="AE428" s="1020"/>
      <c r="AF428" s="1203"/>
      <c r="AG428" s="1204"/>
      <c r="AH428" s="1073"/>
      <c r="AI428" s="1073"/>
      <c r="AJ428" s="1073"/>
      <c r="AK428" s="1073"/>
      <c r="AL428" s="1073"/>
      <c r="AM428" s="1073"/>
      <c r="AN428" s="1073"/>
      <c r="AO428" s="1073"/>
      <c r="AP428" s="1073"/>
      <c r="AQ428" s="1073"/>
      <c r="AR428" s="1073"/>
      <c r="AS428" s="1073"/>
      <c r="AT428" s="1073"/>
      <c r="AU428" s="1073"/>
      <c r="AV428" s="1073"/>
      <c r="AW428" s="1073"/>
      <c r="AX428" s="1073"/>
      <c r="AY428" s="1073"/>
    </row>
    <row r="429" spans="1:51" ht="28.9" customHeight="1" x14ac:dyDescent="0.25">
      <c r="A429" s="1189"/>
      <c r="B429" s="1018"/>
      <c r="C429" s="1169"/>
      <c r="D429" s="164" t="s">
        <v>348</v>
      </c>
      <c r="E429" s="1026"/>
      <c r="F429" s="1330"/>
      <c r="G429" s="1026">
        <f>+G425+G427</f>
        <v>12005822.555555556</v>
      </c>
      <c r="H429" s="1026">
        <f>+H425+H427</f>
        <v>23686777.307692308</v>
      </c>
      <c r="I429" s="1026">
        <f>+I425+I427</f>
        <v>36349357.538461536</v>
      </c>
      <c r="J429" s="1020"/>
      <c r="K429" s="1020"/>
      <c r="L429" s="1026"/>
      <c r="M429" s="1026"/>
      <c r="N429" s="1026"/>
      <c r="O429" s="1026"/>
      <c r="P429" s="1026"/>
      <c r="Q429" s="1026"/>
      <c r="R429" s="1026"/>
      <c r="S429" s="1020"/>
      <c r="T429" s="1006">
        <f>+T425+T427</f>
        <v>12005822.555555556</v>
      </c>
      <c r="U429" s="1006">
        <f t="shared" si="88"/>
        <v>23686777.307692308</v>
      </c>
      <c r="V429" s="1225">
        <f t="shared" si="89"/>
        <v>36349357.538461536</v>
      </c>
      <c r="W429" s="1225"/>
      <c r="X429" s="1006"/>
      <c r="Y429" s="1006"/>
      <c r="Z429" s="1225"/>
      <c r="AA429" s="1225"/>
      <c r="AB429" s="1020"/>
      <c r="AC429" s="1020"/>
      <c r="AD429" s="1020"/>
      <c r="AE429" s="1020"/>
      <c r="AF429" s="1173"/>
      <c r="AG429" s="1190"/>
      <c r="AH429" s="1076"/>
      <c r="AI429" s="1076"/>
      <c r="AJ429" s="1076"/>
      <c r="AK429" s="1076"/>
      <c r="AL429" s="1076"/>
      <c r="AM429" s="1076"/>
      <c r="AN429" s="1076"/>
      <c r="AO429" s="1076"/>
      <c r="AP429" s="1076"/>
      <c r="AQ429" s="1076"/>
      <c r="AR429" s="1076"/>
      <c r="AS429" s="1076"/>
      <c r="AT429" s="1076"/>
      <c r="AU429" s="1076"/>
      <c r="AV429" s="1076"/>
      <c r="AW429" s="1076"/>
      <c r="AX429" s="1076"/>
      <c r="AY429" s="1076"/>
    </row>
    <row r="430" spans="1:51" ht="19.149999999999999" customHeight="1" x14ac:dyDescent="0.25">
      <c r="A430" s="1189"/>
      <c r="B430" s="1018"/>
      <c r="C430" s="1378" t="s">
        <v>473</v>
      </c>
      <c r="D430" s="161" t="s">
        <v>340</v>
      </c>
      <c r="E430" s="1225"/>
      <c r="F430" s="1225"/>
      <c r="G430" s="1225">
        <v>7</v>
      </c>
      <c r="H430" s="1225">
        <v>7</v>
      </c>
      <c r="I430" s="1225">
        <v>10</v>
      </c>
      <c r="J430" s="1225"/>
      <c r="K430" s="1306"/>
      <c r="L430" s="1225"/>
      <c r="M430" s="1225"/>
      <c r="N430" s="1006"/>
      <c r="O430" s="1022"/>
      <c r="P430" s="1225"/>
      <c r="Q430" s="1225"/>
      <c r="R430" s="1225"/>
      <c r="S430" s="1225"/>
      <c r="T430" s="1006">
        <f t="shared" si="87"/>
        <v>7</v>
      </c>
      <c r="U430" s="1006">
        <f t="shared" si="88"/>
        <v>7</v>
      </c>
      <c r="V430" s="1225">
        <f t="shared" si="89"/>
        <v>10</v>
      </c>
      <c r="W430" s="1225"/>
      <c r="X430" s="1006"/>
      <c r="Y430" s="1006"/>
      <c r="Z430" s="1225"/>
      <c r="AA430" s="1225"/>
      <c r="AB430" s="1020"/>
      <c r="AC430" s="1020"/>
      <c r="AD430" s="1020"/>
      <c r="AE430" s="1020"/>
      <c r="AF430" s="1332" t="s">
        <v>1560</v>
      </c>
      <c r="AG430" s="1274" t="str">
        <f>+C430</f>
        <v>2- CHAPINERO</v>
      </c>
      <c r="AH430" s="1334" t="s">
        <v>1434</v>
      </c>
      <c r="AI430" s="1334" t="s">
        <v>1435</v>
      </c>
      <c r="AJ430" s="1275" t="s">
        <v>1433</v>
      </c>
      <c r="AK430" s="1275" t="s">
        <v>457</v>
      </c>
      <c r="AL430" s="1275" t="s">
        <v>178</v>
      </c>
      <c r="AM430" s="1275" t="s">
        <v>603</v>
      </c>
      <c r="AN430" s="1282">
        <v>182103</v>
      </c>
      <c r="AO430" s="1277">
        <v>87517</v>
      </c>
      <c r="AP430" s="1277">
        <v>94586</v>
      </c>
      <c r="AQ430" s="1278" t="s">
        <v>459</v>
      </c>
      <c r="AR430" s="1278" t="s">
        <v>459</v>
      </c>
      <c r="AS430" s="1278" t="s">
        <v>459</v>
      </c>
      <c r="AT430" s="1278" t="s">
        <v>459</v>
      </c>
      <c r="AU430" s="1278" t="s">
        <v>459</v>
      </c>
      <c r="AV430" s="1278" t="s">
        <v>459</v>
      </c>
      <c r="AW430" s="1278" t="s">
        <v>459</v>
      </c>
      <c r="AX430" s="1282">
        <v>179406</v>
      </c>
      <c r="AY430" s="1232" t="s">
        <v>1561</v>
      </c>
    </row>
    <row r="431" spans="1:51" ht="19.149999999999999" customHeight="1" x14ac:dyDescent="0.25">
      <c r="A431" s="1189"/>
      <c r="B431" s="1018"/>
      <c r="C431" s="1379"/>
      <c r="D431" s="164" t="s">
        <v>343</v>
      </c>
      <c r="E431" s="1020"/>
      <c r="F431" s="1020"/>
      <c r="G431" s="1225">
        <f>+G430*$T$419/$T$418</f>
        <v>7402266.666666667</v>
      </c>
      <c r="H431" s="1225">
        <f>+H430*$U$419/$U$418</f>
        <v>32490500</v>
      </c>
      <c r="I431" s="1225">
        <f>+I430*$V$419/$V$418</f>
        <v>37040000</v>
      </c>
      <c r="J431" s="1225"/>
      <c r="K431" s="1225"/>
      <c r="L431" s="1225"/>
      <c r="M431" s="1225"/>
      <c r="N431" s="1225"/>
      <c r="O431" s="1225"/>
      <c r="P431" s="1225"/>
      <c r="Q431" s="1225"/>
      <c r="R431" s="1225"/>
      <c r="S431" s="1020"/>
      <c r="T431" s="1006">
        <f t="shared" si="87"/>
        <v>7402266.666666667</v>
      </c>
      <c r="U431" s="1006">
        <f t="shared" si="88"/>
        <v>32490500</v>
      </c>
      <c r="V431" s="1225">
        <f t="shared" si="89"/>
        <v>37040000</v>
      </c>
      <c r="W431" s="1225"/>
      <c r="X431" s="1006"/>
      <c r="Y431" s="1006"/>
      <c r="Z431" s="1225"/>
      <c r="AA431" s="1225"/>
      <c r="AB431" s="1020"/>
      <c r="AC431" s="1020"/>
      <c r="AD431" s="1020"/>
      <c r="AE431" s="1020"/>
      <c r="AF431" s="1203"/>
      <c r="AG431" s="1204"/>
      <c r="AH431" s="1073"/>
      <c r="AI431" s="1073"/>
      <c r="AJ431" s="1073"/>
      <c r="AK431" s="1073"/>
      <c r="AL431" s="1073"/>
      <c r="AM431" s="1073"/>
      <c r="AN431" s="1073"/>
      <c r="AO431" s="1073"/>
      <c r="AP431" s="1073"/>
      <c r="AQ431" s="1073"/>
      <c r="AR431" s="1073"/>
      <c r="AS431" s="1073"/>
      <c r="AT431" s="1073"/>
      <c r="AU431" s="1073"/>
      <c r="AV431" s="1073"/>
      <c r="AW431" s="1073"/>
      <c r="AX431" s="1073"/>
      <c r="AY431" s="1073"/>
    </row>
    <row r="432" spans="1:51" ht="28.9" customHeight="1" x14ac:dyDescent="0.25">
      <c r="A432" s="1189"/>
      <c r="B432" s="1018"/>
      <c r="C432" s="1379"/>
      <c r="D432" s="165" t="s">
        <v>345</v>
      </c>
      <c r="E432" s="1020"/>
      <c r="F432" s="1020"/>
      <c r="G432" s="1020"/>
      <c r="H432" s="1020"/>
      <c r="I432" s="1020"/>
      <c r="J432" s="1020"/>
      <c r="K432" s="1335"/>
      <c r="L432" s="1020"/>
      <c r="M432" s="1020"/>
      <c r="N432" s="1059"/>
      <c r="O432" s="1327"/>
      <c r="P432" s="1020"/>
      <c r="Q432" s="1020"/>
      <c r="R432" s="1020"/>
      <c r="S432" s="1020"/>
      <c r="T432" s="1006">
        <f t="shared" si="87"/>
        <v>0</v>
      </c>
      <c r="U432" s="1006">
        <f t="shared" si="88"/>
        <v>0</v>
      </c>
      <c r="V432" s="1225">
        <f t="shared" si="89"/>
        <v>0</v>
      </c>
      <c r="W432" s="1225"/>
      <c r="X432" s="1006"/>
      <c r="Y432" s="1006"/>
      <c r="Z432" s="1225"/>
      <c r="AA432" s="1225"/>
      <c r="AB432" s="1020"/>
      <c r="AC432" s="1020"/>
      <c r="AD432" s="1020"/>
      <c r="AE432" s="1020"/>
      <c r="AF432" s="1203"/>
      <c r="AG432" s="1204"/>
      <c r="AH432" s="1073"/>
      <c r="AI432" s="1073"/>
      <c r="AJ432" s="1073"/>
      <c r="AK432" s="1073"/>
      <c r="AL432" s="1073"/>
      <c r="AM432" s="1073"/>
      <c r="AN432" s="1073"/>
      <c r="AO432" s="1073"/>
      <c r="AP432" s="1073"/>
      <c r="AQ432" s="1073"/>
      <c r="AR432" s="1073"/>
      <c r="AS432" s="1073"/>
      <c r="AT432" s="1073"/>
      <c r="AU432" s="1073"/>
      <c r="AV432" s="1073"/>
      <c r="AW432" s="1073"/>
      <c r="AX432" s="1073"/>
      <c r="AY432" s="1073"/>
    </row>
    <row r="433" spans="1:51" ht="28.9" customHeight="1" x14ac:dyDescent="0.25">
      <c r="A433" s="1189"/>
      <c r="B433" s="1018"/>
      <c r="C433" s="1379"/>
      <c r="D433" s="164" t="s">
        <v>346</v>
      </c>
      <c r="E433" s="1020"/>
      <c r="F433" s="1020"/>
      <c r="G433" s="1020">
        <f>+$T$421/9</f>
        <v>8833422.555555556</v>
      </c>
      <c r="H433" s="1020">
        <f>+$U$421/13</f>
        <v>9762277.307692308</v>
      </c>
      <c r="I433" s="1020">
        <f>+$V$421/13</f>
        <v>10421357.538461538</v>
      </c>
      <c r="J433" s="1020"/>
      <c r="K433" s="1020"/>
      <c r="L433" s="1020"/>
      <c r="M433" s="1020"/>
      <c r="N433" s="1020"/>
      <c r="O433" s="1020"/>
      <c r="P433" s="1327"/>
      <c r="Q433" s="1327"/>
      <c r="R433" s="1327"/>
      <c r="S433" s="1020"/>
      <c r="T433" s="1006">
        <f t="shared" si="87"/>
        <v>8833422.555555556</v>
      </c>
      <c r="U433" s="1006">
        <f t="shared" si="88"/>
        <v>9762277.307692308</v>
      </c>
      <c r="V433" s="1225">
        <f t="shared" si="89"/>
        <v>10421357.538461538</v>
      </c>
      <c r="W433" s="1225"/>
      <c r="X433" s="1006"/>
      <c r="Y433" s="1006"/>
      <c r="Z433" s="1225"/>
      <c r="AA433" s="1225"/>
      <c r="AB433" s="1020"/>
      <c r="AC433" s="1020"/>
      <c r="AD433" s="1020"/>
      <c r="AE433" s="1020"/>
      <c r="AF433" s="1203"/>
      <c r="AG433" s="1204"/>
      <c r="AH433" s="1073"/>
      <c r="AI433" s="1073"/>
      <c r="AJ433" s="1073"/>
      <c r="AK433" s="1073"/>
      <c r="AL433" s="1073"/>
      <c r="AM433" s="1073"/>
      <c r="AN433" s="1073"/>
      <c r="AO433" s="1073"/>
      <c r="AP433" s="1073"/>
      <c r="AQ433" s="1073"/>
      <c r="AR433" s="1073"/>
      <c r="AS433" s="1073"/>
      <c r="AT433" s="1073"/>
      <c r="AU433" s="1073"/>
      <c r="AV433" s="1073"/>
      <c r="AW433" s="1073"/>
      <c r="AX433" s="1073"/>
      <c r="AY433" s="1073"/>
    </row>
    <row r="434" spans="1:51" ht="28.9" customHeight="1" x14ac:dyDescent="0.25">
      <c r="A434" s="1189"/>
      <c r="B434" s="1018"/>
      <c r="C434" s="1379"/>
      <c r="D434" s="165" t="s">
        <v>347</v>
      </c>
      <c r="E434" s="1225"/>
      <c r="F434" s="1225"/>
      <c r="G434" s="1225">
        <v>7</v>
      </c>
      <c r="H434" s="1225">
        <v>7</v>
      </c>
      <c r="I434" s="1225">
        <v>10</v>
      </c>
      <c r="J434" s="1225"/>
      <c r="K434" s="1306"/>
      <c r="L434" s="1225"/>
      <c r="M434" s="1225"/>
      <c r="N434" s="1225"/>
      <c r="O434" s="1022"/>
      <c r="P434" s="1225"/>
      <c r="Q434" s="1225"/>
      <c r="R434" s="1225"/>
      <c r="S434" s="1225"/>
      <c r="T434" s="1006">
        <f>+T430+T432</f>
        <v>7</v>
      </c>
      <c r="U434" s="1006">
        <f t="shared" si="88"/>
        <v>7</v>
      </c>
      <c r="V434" s="1225">
        <f t="shared" si="89"/>
        <v>10</v>
      </c>
      <c r="W434" s="1225"/>
      <c r="X434" s="1006"/>
      <c r="Y434" s="1006"/>
      <c r="Z434" s="1225"/>
      <c r="AA434" s="1225"/>
      <c r="AB434" s="1020"/>
      <c r="AC434" s="1020"/>
      <c r="AD434" s="1020"/>
      <c r="AE434" s="1020"/>
      <c r="AF434" s="1203"/>
      <c r="AG434" s="1204"/>
      <c r="AH434" s="1073"/>
      <c r="AI434" s="1073"/>
      <c r="AJ434" s="1073"/>
      <c r="AK434" s="1073"/>
      <c r="AL434" s="1073"/>
      <c r="AM434" s="1073"/>
      <c r="AN434" s="1073"/>
      <c r="AO434" s="1073"/>
      <c r="AP434" s="1073"/>
      <c r="AQ434" s="1073"/>
      <c r="AR434" s="1073"/>
      <c r="AS434" s="1073"/>
      <c r="AT434" s="1073"/>
      <c r="AU434" s="1073"/>
      <c r="AV434" s="1073"/>
      <c r="AW434" s="1073"/>
      <c r="AX434" s="1073"/>
      <c r="AY434" s="1073"/>
    </row>
    <row r="435" spans="1:51" ht="28.9" customHeight="1" x14ac:dyDescent="0.25">
      <c r="A435" s="1189"/>
      <c r="B435" s="1018"/>
      <c r="C435" s="1169"/>
      <c r="D435" s="164" t="s">
        <v>348</v>
      </c>
      <c r="E435" s="1026"/>
      <c r="F435" s="1026"/>
      <c r="G435" s="1026">
        <f>+G431+G433</f>
        <v>16235689.222222224</v>
      </c>
      <c r="H435" s="1026">
        <f>+H431+H433</f>
        <v>42252777.307692304</v>
      </c>
      <c r="I435" s="1026">
        <f>+I431+I433</f>
        <v>47461357.538461536</v>
      </c>
      <c r="J435" s="1020"/>
      <c r="K435" s="1020"/>
      <c r="L435" s="1026"/>
      <c r="M435" s="1026"/>
      <c r="N435" s="1225"/>
      <c r="O435" s="1026"/>
      <c r="P435" s="1026"/>
      <c r="Q435" s="1026"/>
      <c r="R435" s="1026"/>
      <c r="S435" s="1020"/>
      <c r="T435" s="1006">
        <f>+T431+T433</f>
        <v>16235689.222222224</v>
      </c>
      <c r="U435" s="1006">
        <f t="shared" si="88"/>
        <v>42252777.307692304</v>
      </c>
      <c r="V435" s="1225">
        <f t="shared" si="89"/>
        <v>47461357.538461536</v>
      </c>
      <c r="W435" s="1225"/>
      <c r="X435" s="1006"/>
      <c r="Y435" s="1006"/>
      <c r="Z435" s="1225"/>
      <c r="AA435" s="1225"/>
      <c r="AB435" s="1020"/>
      <c r="AC435" s="1020"/>
      <c r="AD435" s="1020"/>
      <c r="AE435" s="1020"/>
      <c r="AF435" s="1173"/>
      <c r="AG435" s="1190"/>
      <c r="AH435" s="1076"/>
      <c r="AI435" s="1076"/>
      <c r="AJ435" s="1076"/>
      <c r="AK435" s="1076"/>
      <c r="AL435" s="1076"/>
      <c r="AM435" s="1076"/>
      <c r="AN435" s="1076"/>
      <c r="AO435" s="1076"/>
      <c r="AP435" s="1076"/>
      <c r="AQ435" s="1076"/>
      <c r="AR435" s="1076"/>
      <c r="AS435" s="1076"/>
      <c r="AT435" s="1076"/>
      <c r="AU435" s="1076"/>
      <c r="AV435" s="1076"/>
      <c r="AW435" s="1076"/>
      <c r="AX435" s="1076"/>
      <c r="AY435" s="1076"/>
    </row>
    <row r="436" spans="1:51" ht="19.149999999999999" customHeight="1" x14ac:dyDescent="0.25">
      <c r="A436" s="1189"/>
      <c r="B436" s="1018"/>
      <c r="C436" s="1153" t="s">
        <v>477</v>
      </c>
      <c r="D436" s="161" t="s">
        <v>340</v>
      </c>
      <c r="E436" s="1026"/>
      <c r="F436" s="1026"/>
      <c r="G436" s="1026"/>
      <c r="H436" s="1020"/>
      <c r="I436" s="1020"/>
      <c r="J436" s="1020"/>
      <c r="K436" s="1225"/>
      <c r="L436" s="1020"/>
      <c r="M436" s="1020"/>
      <c r="N436" s="1225"/>
      <c r="O436" s="1327"/>
      <c r="P436" s="1225"/>
      <c r="Q436" s="1020"/>
      <c r="R436" s="1020"/>
      <c r="S436" s="1020"/>
      <c r="T436" s="1006">
        <f t="shared" si="87"/>
        <v>0</v>
      </c>
      <c r="U436" s="1006">
        <f t="shared" si="88"/>
        <v>0</v>
      </c>
      <c r="V436" s="1225">
        <f t="shared" si="89"/>
        <v>0</v>
      </c>
      <c r="W436" s="1225"/>
      <c r="X436" s="1006"/>
      <c r="Y436" s="1006"/>
      <c r="Z436" s="1225"/>
      <c r="AA436" s="1225"/>
      <c r="AB436" s="1020"/>
      <c r="AC436" s="1020"/>
      <c r="AD436" s="1020"/>
      <c r="AE436" s="1020"/>
      <c r="AF436" s="1332"/>
      <c r="AG436" s="1336" t="s">
        <v>604</v>
      </c>
      <c r="AH436" s="1334" t="s">
        <v>605</v>
      </c>
      <c r="AI436" s="1337" t="s">
        <v>606</v>
      </c>
      <c r="AJ436" s="1275"/>
      <c r="AK436" s="1275" t="s">
        <v>457</v>
      </c>
      <c r="AL436" s="1275" t="s">
        <v>178</v>
      </c>
      <c r="AM436" s="1275" t="s">
        <v>603</v>
      </c>
      <c r="AN436" s="1282">
        <v>406498</v>
      </c>
      <c r="AO436" s="1280">
        <v>195731</v>
      </c>
      <c r="AP436" s="1280">
        <v>210767</v>
      </c>
      <c r="AQ436" s="1278" t="s">
        <v>459</v>
      </c>
      <c r="AR436" s="1278" t="s">
        <v>459</v>
      </c>
      <c r="AS436" s="1278" t="s">
        <v>459</v>
      </c>
      <c r="AT436" s="1278" t="s">
        <v>459</v>
      </c>
      <c r="AU436" s="1278" t="s">
        <v>459</v>
      </c>
      <c r="AV436" s="1278" t="s">
        <v>459</v>
      </c>
      <c r="AW436" s="1278" t="s">
        <v>459</v>
      </c>
      <c r="AX436" s="1282">
        <v>406498</v>
      </c>
      <c r="AY436" s="1338" t="s">
        <v>607</v>
      </c>
    </row>
    <row r="437" spans="1:51" ht="19.149999999999999" customHeight="1" x14ac:dyDescent="0.25">
      <c r="A437" s="1189"/>
      <c r="B437" s="1018"/>
      <c r="C437" s="1018"/>
      <c r="D437" s="164" t="s">
        <v>343</v>
      </c>
      <c r="E437" s="1026"/>
      <c r="F437" s="1026"/>
      <c r="G437" s="1026"/>
      <c r="H437" s="1020"/>
      <c r="I437" s="1020"/>
      <c r="J437" s="1020"/>
      <c r="K437" s="1020"/>
      <c r="L437" s="1020"/>
      <c r="M437" s="1020"/>
      <c r="N437" s="1020"/>
      <c r="O437" s="1327"/>
      <c r="P437" s="1327"/>
      <c r="Q437" s="1020"/>
      <c r="R437" s="1020"/>
      <c r="S437" s="1020"/>
      <c r="T437" s="1006">
        <f t="shared" si="87"/>
        <v>0</v>
      </c>
      <c r="U437" s="1006">
        <f t="shared" si="88"/>
        <v>0</v>
      </c>
      <c r="V437" s="1225">
        <f t="shared" si="89"/>
        <v>0</v>
      </c>
      <c r="W437" s="1225"/>
      <c r="X437" s="1006"/>
      <c r="Y437" s="1006"/>
      <c r="Z437" s="1225"/>
      <c r="AA437" s="1225"/>
      <c r="AB437" s="1020"/>
      <c r="AC437" s="1020"/>
      <c r="AD437" s="1020"/>
      <c r="AE437" s="1020"/>
      <c r="AF437" s="1203"/>
      <c r="AG437" s="1233"/>
      <c r="AH437" s="1073"/>
      <c r="AI437" s="1017"/>
      <c r="AJ437" s="1073"/>
      <c r="AK437" s="1073"/>
      <c r="AL437" s="1073"/>
      <c r="AM437" s="1073"/>
      <c r="AN437" s="1073"/>
      <c r="AO437" s="1204"/>
      <c r="AP437" s="1204"/>
      <c r="AQ437" s="1073"/>
      <c r="AR437" s="1073"/>
      <c r="AS437" s="1073"/>
      <c r="AT437" s="1073"/>
      <c r="AU437" s="1073"/>
      <c r="AV437" s="1073"/>
      <c r="AW437" s="1073"/>
      <c r="AX437" s="1073"/>
      <c r="AY437" s="1203"/>
    </row>
    <row r="438" spans="1:51" ht="28.9" customHeight="1" x14ac:dyDescent="0.25">
      <c r="A438" s="1189"/>
      <c r="B438" s="1018"/>
      <c r="C438" s="1018"/>
      <c r="D438" s="165" t="s">
        <v>345</v>
      </c>
      <c r="E438" s="1026"/>
      <c r="F438" s="1026"/>
      <c r="G438" s="1026"/>
      <c r="H438" s="1020"/>
      <c r="I438" s="1020"/>
      <c r="J438" s="1020"/>
      <c r="K438" s="1225"/>
      <c r="L438" s="1020"/>
      <c r="M438" s="1020"/>
      <c r="N438" s="1020"/>
      <c r="O438" s="1327"/>
      <c r="P438" s="1020"/>
      <c r="Q438" s="1020"/>
      <c r="R438" s="1020"/>
      <c r="S438" s="1020"/>
      <c r="T438" s="1006">
        <f t="shared" si="87"/>
        <v>0</v>
      </c>
      <c r="U438" s="1006">
        <f t="shared" si="88"/>
        <v>0</v>
      </c>
      <c r="V438" s="1225">
        <f t="shared" si="89"/>
        <v>0</v>
      </c>
      <c r="W438" s="1225"/>
      <c r="X438" s="1006"/>
      <c r="Y438" s="1006"/>
      <c r="Z438" s="1225"/>
      <c r="AA438" s="1225"/>
      <c r="AB438" s="1020"/>
      <c r="AC438" s="1020"/>
      <c r="AD438" s="1020"/>
      <c r="AE438" s="1020"/>
      <c r="AF438" s="1203"/>
      <c r="AG438" s="1233"/>
      <c r="AH438" s="1073"/>
      <c r="AI438" s="1017"/>
      <c r="AJ438" s="1073"/>
      <c r="AK438" s="1073"/>
      <c r="AL438" s="1073"/>
      <c r="AM438" s="1073"/>
      <c r="AN438" s="1073"/>
      <c r="AO438" s="1204"/>
      <c r="AP438" s="1204"/>
      <c r="AQ438" s="1073"/>
      <c r="AR438" s="1073"/>
      <c r="AS438" s="1073"/>
      <c r="AT438" s="1073"/>
      <c r="AU438" s="1073"/>
      <c r="AV438" s="1073"/>
      <c r="AW438" s="1073"/>
      <c r="AX438" s="1073"/>
      <c r="AY438" s="1203"/>
    </row>
    <row r="439" spans="1:51" ht="28.9" customHeight="1" x14ac:dyDescent="0.25">
      <c r="A439" s="1189"/>
      <c r="B439" s="1018"/>
      <c r="C439" s="1018"/>
      <c r="D439" s="164" t="s">
        <v>346</v>
      </c>
      <c r="E439" s="1026"/>
      <c r="F439" s="1026"/>
      <c r="G439" s="1026"/>
      <c r="H439" s="1020"/>
      <c r="I439" s="1020"/>
      <c r="J439" s="1020"/>
      <c r="K439" s="1020"/>
      <c r="L439" s="1020"/>
      <c r="M439" s="1020"/>
      <c r="N439" s="1020"/>
      <c r="O439" s="1327"/>
      <c r="P439" s="1327"/>
      <c r="Q439" s="1020"/>
      <c r="R439" s="1020"/>
      <c r="S439" s="1020"/>
      <c r="T439" s="1006">
        <f t="shared" si="87"/>
        <v>0</v>
      </c>
      <c r="U439" s="1006">
        <f t="shared" si="88"/>
        <v>0</v>
      </c>
      <c r="V439" s="1225">
        <f t="shared" si="89"/>
        <v>0</v>
      </c>
      <c r="W439" s="1225"/>
      <c r="X439" s="1006"/>
      <c r="Y439" s="1006"/>
      <c r="Z439" s="1225"/>
      <c r="AA439" s="1225"/>
      <c r="AB439" s="1020"/>
      <c r="AC439" s="1020"/>
      <c r="AD439" s="1020"/>
      <c r="AE439" s="1020"/>
      <c r="AF439" s="1203"/>
      <c r="AG439" s="1233"/>
      <c r="AH439" s="1073"/>
      <c r="AI439" s="1017"/>
      <c r="AJ439" s="1073"/>
      <c r="AK439" s="1073"/>
      <c r="AL439" s="1073"/>
      <c r="AM439" s="1073"/>
      <c r="AN439" s="1073"/>
      <c r="AO439" s="1204"/>
      <c r="AP439" s="1204"/>
      <c r="AQ439" s="1073"/>
      <c r="AR439" s="1073"/>
      <c r="AS439" s="1073"/>
      <c r="AT439" s="1073"/>
      <c r="AU439" s="1073"/>
      <c r="AV439" s="1073"/>
      <c r="AW439" s="1073"/>
      <c r="AX439" s="1073"/>
      <c r="AY439" s="1203"/>
    </row>
    <row r="440" spans="1:51" ht="28.9" customHeight="1" x14ac:dyDescent="0.25">
      <c r="A440" s="1189"/>
      <c r="B440" s="1018"/>
      <c r="C440" s="1018"/>
      <c r="D440" s="165" t="s">
        <v>347</v>
      </c>
      <c r="E440" s="1026"/>
      <c r="F440" s="1026"/>
      <c r="G440" s="1026"/>
      <c r="H440" s="1020"/>
      <c r="I440" s="1020"/>
      <c r="J440" s="1020"/>
      <c r="K440" s="1225"/>
      <c r="L440" s="1020"/>
      <c r="M440" s="1020"/>
      <c r="N440" s="1225"/>
      <c r="O440" s="1327"/>
      <c r="P440" s="1225"/>
      <c r="Q440" s="1020"/>
      <c r="R440" s="1020"/>
      <c r="S440" s="1020"/>
      <c r="T440" s="1006">
        <f t="shared" si="87"/>
        <v>0</v>
      </c>
      <c r="U440" s="1006">
        <f t="shared" si="88"/>
        <v>0</v>
      </c>
      <c r="V440" s="1225">
        <f t="shared" si="89"/>
        <v>0</v>
      </c>
      <c r="W440" s="1225"/>
      <c r="X440" s="1006"/>
      <c r="Y440" s="1006"/>
      <c r="Z440" s="1225"/>
      <c r="AA440" s="1225"/>
      <c r="AB440" s="1020"/>
      <c r="AC440" s="1020"/>
      <c r="AD440" s="1020"/>
      <c r="AE440" s="1020"/>
      <c r="AF440" s="1203"/>
      <c r="AG440" s="1233"/>
      <c r="AH440" s="1073"/>
      <c r="AI440" s="1017"/>
      <c r="AJ440" s="1073"/>
      <c r="AK440" s="1073"/>
      <c r="AL440" s="1073"/>
      <c r="AM440" s="1073"/>
      <c r="AN440" s="1073"/>
      <c r="AO440" s="1204"/>
      <c r="AP440" s="1204"/>
      <c r="AQ440" s="1073"/>
      <c r="AR440" s="1073"/>
      <c r="AS440" s="1073"/>
      <c r="AT440" s="1073"/>
      <c r="AU440" s="1073"/>
      <c r="AV440" s="1073"/>
      <c r="AW440" s="1073"/>
      <c r="AX440" s="1073"/>
      <c r="AY440" s="1203"/>
    </row>
    <row r="441" spans="1:51" ht="28.9" customHeight="1" x14ac:dyDescent="0.25">
      <c r="A441" s="1189"/>
      <c r="B441" s="1018"/>
      <c r="C441" s="1048"/>
      <c r="D441" s="164" t="s">
        <v>348</v>
      </c>
      <c r="E441" s="1026"/>
      <c r="F441" s="1026"/>
      <c r="G441" s="1026"/>
      <c r="H441" s="1020"/>
      <c r="I441" s="1020"/>
      <c r="J441" s="1020"/>
      <c r="K441" s="1026"/>
      <c r="L441" s="1026"/>
      <c r="M441" s="1026"/>
      <c r="N441" s="1026"/>
      <c r="O441" s="1022"/>
      <c r="P441" s="1022"/>
      <c r="Q441" s="1020"/>
      <c r="R441" s="1020"/>
      <c r="S441" s="1020"/>
      <c r="T441" s="1006">
        <f t="shared" si="87"/>
        <v>0</v>
      </c>
      <c r="U441" s="1006">
        <f t="shared" si="88"/>
        <v>0</v>
      </c>
      <c r="V441" s="1225">
        <f t="shared" si="89"/>
        <v>0</v>
      </c>
      <c r="W441" s="1225"/>
      <c r="X441" s="1006"/>
      <c r="Y441" s="1006"/>
      <c r="Z441" s="1225"/>
      <c r="AA441" s="1225"/>
      <c r="AB441" s="1020"/>
      <c r="AC441" s="1020"/>
      <c r="AD441" s="1020"/>
      <c r="AE441" s="1020"/>
      <c r="AF441" s="1173"/>
      <c r="AG441" s="1234"/>
      <c r="AH441" s="1076"/>
      <c r="AI441" s="1047"/>
      <c r="AJ441" s="1076"/>
      <c r="AK441" s="1076"/>
      <c r="AL441" s="1076"/>
      <c r="AM441" s="1076"/>
      <c r="AN441" s="1076"/>
      <c r="AO441" s="1190"/>
      <c r="AP441" s="1190"/>
      <c r="AQ441" s="1076"/>
      <c r="AR441" s="1076"/>
      <c r="AS441" s="1076"/>
      <c r="AT441" s="1076"/>
      <c r="AU441" s="1076"/>
      <c r="AV441" s="1076"/>
      <c r="AW441" s="1076"/>
      <c r="AX441" s="1076"/>
      <c r="AY441" s="1173"/>
    </row>
    <row r="442" spans="1:51" ht="19.149999999999999" customHeight="1" x14ac:dyDescent="0.25">
      <c r="A442" s="1189"/>
      <c r="B442" s="1018"/>
      <c r="C442" s="1153" t="s">
        <v>474</v>
      </c>
      <c r="D442" s="161" t="s">
        <v>340</v>
      </c>
      <c r="E442" s="1225"/>
      <c r="F442" s="1225"/>
      <c r="G442" s="1225"/>
      <c r="H442" s="1225">
        <v>1</v>
      </c>
      <c r="I442" s="1225">
        <v>2</v>
      </c>
      <c r="J442" s="1225"/>
      <c r="K442" s="1306"/>
      <c r="L442" s="1225"/>
      <c r="M442" s="1225"/>
      <c r="N442" s="1006"/>
      <c r="O442" s="1022"/>
      <c r="P442" s="1225"/>
      <c r="Q442" s="1022"/>
      <c r="R442" s="1022"/>
      <c r="S442" s="1022"/>
      <c r="T442" s="1006">
        <f t="shared" si="87"/>
        <v>0</v>
      </c>
      <c r="U442" s="1006">
        <f t="shared" si="88"/>
        <v>1</v>
      </c>
      <c r="V442" s="1225">
        <f t="shared" si="89"/>
        <v>2</v>
      </c>
      <c r="W442" s="1225"/>
      <c r="X442" s="1006"/>
      <c r="Y442" s="1006"/>
      <c r="Z442" s="1225"/>
      <c r="AA442" s="1225"/>
      <c r="AB442" s="1020"/>
      <c r="AC442" s="1020"/>
      <c r="AD442" s="1020"/>
      <c r="AE442" s="1020"/>
      <c r="AF442" s="1332" t="s">
        <v>1562</v>
      </c>
      <c r="AG442" s="1274" t="str">
        <f>+C442</f>
        <v>3- SANTA FE</v>
      </c>
      <c r="AH442" s="1334" t="s">
        <v>608</v>
      </c>
      <c r="AI442" s="1334" t="s">
        <v>609</v>
      </c>
      <c r="AJ442" s="1275"/>
      <c r="AK442" s="1275" t="s">
        <v>457</v>
      </c>
      <c r="AL442" s="1275" t="s">
        <v>610</v>
      </c>
      <c r="AM442" s="1275" t="s">
        <v>603</v>
      </c>
      <c r="AN442" s="1282">
        <v>107677</v>
      </c>
      <c r="AO442" s="1277">
        <v>53035</v>
      </c>
      <c r="AP442" s="1277">
        <v>54642</v>
      </c>
      <c r="AQ442" s="1278" t="s">
        <v>459</v>
      </c>
      <c r="AR442" s="1278" t="s">
        <v>459</v>
      </c>
      <c r="AS442" s="1278" t="s">
        <v>459</v>
      </c>
      <c r="AT442" s="1278" t="s">
        <v>459</v>
      </c>
      <c r="AU442" s="1278" t="s">
        <v>459</v>
      </c>
      <c r="AV442" s="1278" t="s">
        <v>459</v>
      </c>
      <c r="AW442" s="1278" t="s">
        <v>459</v>
      </c>
      <c r="AX442" s="1282">
        <v>107677</v>
      </c>
      <c r="AY442" s="1232" t="s">
        <v>1563</v>
      </c>
    </row>
    <row r="443" spans="1:51" ht="19.149999999999999" customHeight="1" x14ac:dyDescent="0.25">
      <c r="A443" s="1189"/>
      <c r="B443" s="1018"/>
      <c r="C443" s="1018"/>
      <c r="D443" s="164" t="s">
        <v>343</v>
      </c>
      <c r="E443" s="1020"/>
      <c r="F443" s="1020"/>
      <c r="G443" s="1020"/>
      <c r="H443" s="1225">
        <f>+H442*$U$419/$U$418</f>
        <v>4641500</v>
      </c>
      <c r="I443" s="1225">
        <f>+I442*$V$419/$V$418</f>
        <v>7408000</v>
      </c>
      <c r="J443" s="1225"/>
      <c r="K443" s="1225"/>
      <c r="L443" s="1225"/>
      <c r="M443" s="1225"/>
      <c r="N443" s="1225"/>
      <c r="O443" s="1225"/>
      <c r="P443" s="1225"/>
      <c r="Q443" s="1225"/>
      <c r="R443" s="1225"/>
      <c r="S443" s="1327"/>
      <c r="T443" s="1006">
        <f t="shared" si="87"/>
        <v>0</v>
      </c>
      <c r="U443" s="1006">
        <f t="shared" si="88"/>
        <v>4641500</v>
      </c>
      <c r="V443" s="1225">
        <f t="shared" si="89"/>
        <v>7408000</v>
      </c>
      <c r="W443" s="1225"/>
      <c r="X443" s="1006"/>
      <c r="Y443" s="1006"/>
      <c r="Z443" s="1225"/>
      <c r="AA443" s="1225"/>
      <c r="AB443" s="1020"/>
      <c r="AC443" s="1020"/>
      <c r="AD443" s="1020"/>
      <c r="AE443" s="1020"/>
      <c r="AF443" s="1203"/>
      <c r="AG443" s="1204"/>
      <c r="AH443" s="1073"/>
      <c r="AI443" s="1073"/>
      <c r="AJ443" s="1073"/>
      <c r="AK443" s="1073"/>
      <c r="AL443" s="1073"/>
      <c r="AM443" s="1073"/>
      <c r="AN443" s="1073"/>
      <c r="AO443" s="1073"/>
      <c r="AP443" s="1073"/>
      <c r="AQ443" s="1073"/>
      <c r="AR443" s="1073"/>
      <c r="AS443" s="1073"/>
      <c r="AT443" s="1073"/>
      <c r="AU443" s="1073"/>
      <c r="AV443" s="1073"/>
      <c r="AW443" s="1073"/>
      <c r="AX443" s="1073"/>
      <c r="AY443" s="1073"/>
    </row>
    <row r="444" spans="1:51" ht="28.9" customHeight="1" x14ac:dyDescent="0.25">
      <c r="A444" s="1189"/>
      <c r="B444" s="1018"/>
      <c r="C444" s="1018"/>
      <c r="D444" s="165" t="s">
        <v>345</v>
      </c>
      <c r="E444" s="1020"/>
      <c r="F444" s="1020"/>
      <c r="G444" s="1020"/>
      <c r="H444" s="1020"/>
      <c r="I444" s="1020"/>
      <c r="J444" s="1020"/>
      <c r="K444" s="1335"/>
      <c r="L444" s="1020"/>
      <c r="M444" s="1020"/>
      <c r="N444" s="1059"/>
      <c r="O444" s="1327"/>
      <c r="P444" s="1327"/>
      <c r="Q444" s="1327"/>
      <c r="R444" s="1327"/>
      <c r="S444" s="1327"/>
      <c r="T444" s="1006">
        <f t="shared" si="87"/>
        <v>0</v>
      </c>
      <c r="U444" s="1006">
        <f t="shared" si="88"/>
        <v>0</v>
      </c>
      <c r="V444" s="1225">
        <f t="shared" si="89"/>
        <v>0</v>
      </c>
      <c r="W444" s="1225"/>
      <c r="X444" s="1006"/>
      <c r="Y444" s="1006"/>
      <c r="Z444" s="1225"/>
      <c r="AA444" s="1225"/>
      <c r="AB444" s="1020"/>
      <c r="AC444" s="1020"/>
      <c r="AD444" s="1020"/>
      <c r="AE444" s="1020"/>
      <c r="AF444" s="1203"/>
      <c r="AG444" s="1204"/>
      <c r="AH444" s="1073"/>
      <c r="AI444" s="1073"/>
      <c r="AJ444" s="1073"/>
      <c r="AK444" s="1073"/>
      <c r="AL444" s="1073"/>
      <c r="AM444" s="1073"/>
      <c r="AN444" s="1073"/>
      <c r="AO444" s="1073"/>
      <c r="AP444" s="1073"/>
      <c r="AQ444" s="1073"/>
      <c r="AR444" s="1073"/>
      <c r="AS444" s="1073"/>
      <c r="AT444" s="1073"/>
      <c r="AU444" s="1073"/>
      <c r="AV444" s="1073"/>
      <c r="AW444" s="1073"/>
      <c r="AX444" s="1073"/>
      <c r="AY444" s="1073"/>
    </row>
    <row r="445" spans="1:51" ht="28.9" customHeight="1" x14ac:dyDescent="0.25">
      <c r="A445" s="1189"/>
      <c r="B445" s="1018"/>
      <c r="C445" s="1018"/>
      <c r="D445" s="164" t="s">
        <v>346</v>
      </c>
      <c r="E445" s="1020"/>
      <c r="F445" s="1020"/>
      <c r="G445" s="1020"/>
      <c r="H445" s="1020">
        <f>+$U$421/13</f>
        <v>9762277.307692308</v>
      </c>
      <c r="I445" s="1020">
        <f>+$V$421/13</f>
        <v>10421357.538461538</v>
      </c>
      <c r="J445" s="1020"/>
      <c r="K445" s="1020"/>
      <c r="L445" s="1020"/>
      <c r="M445" s="1020"/>
      <c r="N445" s="1020"/>
      <c r="O445" s="1020"/>
      <c r="P445" s="1327"/>
      <c r="Q445" s="1327"/>
      <c r="R445" s="1327"/>
      <c r="S445" s="1327"/>
      <c r="T445" s="1006">
        <f t="shared" si="87"/>
        <v>0</v>
      </c>
      <c r="U445" s="1006">
        <f t="shared" si="88"/>
        <v>9762277.307692308</v>
      </c>
      <c r="V445" s="1225">
        <f t="shared" si="89"/>
        <v>10421357.538461538</v>
      </c>
      <c r="W445" s="1225"/>
      <c r="X445" s="1006"/>
      <c r="Y445" s="1006"/>
      <c r="Z445" s="1225"/>
      <c r="AA445" s="1225"/>
      <c r="AB445" s="1020"/>
      <c r="AC445" s="1020"/>
      <c r="AD445" s="1020"/>
      <c r="AE445" s="1020"/>
      <c r="AF445" s="1203"/>
      <c r="AG445" s="1204"/>
      <c r="AH445" s="1073"/>
      <c r="AI445" s="1073"/>
      <c r="AJ445" s="1073"/>
      <c r="AK445" s="1073"/>
      <c r="AL445" s="1073"/>
      <c r="AM445" s="1073"/>
      <c r="AN445" s="1073"/>
      <c r="AO445" s="1073"/>
      <c r="AP445" s="1073"/>
      <c r="AQ445" s="1073"/>
      <c r="AR445" s="1073"/>
      <c r="AS445" s="1073"/>
      <c r="AT445" s="1073"/>
      <c r="AU445" s="1073"/>
      <c r="AV445" s="1073"/>
      <c r="AW445" s="1073"/>
      <c r="AX445" s="1073"/>
      <c r="AY445" s="1073"/>
    </row>
    <row r="446" spans="1:51" ht="28.9" customHeight="1" x14ac:dyDescent="0.25">
      <c r="A446" s="1189"/>
      <c r="B446" s="1018"/>
      <c r="C446" s="1018"/>
      <c r="D446" s="165" t="s">
        <v>347</v>
      </c>
      <c r="E446" s="1225"/>
      <c r="F446" s="1225"/>
      <c r="G446" s="1225"/>
      <c r="H446" s="1225">
        <v>1</v>
      </c>
      <c r="I446" s="1225">
        <v>2</v>
      </c>
      <c r="J446" s="1225"/>
      <c r="K446" s="1306"/>
      <c r="L446" s="1225"/>
      <c r="M446" s="1225"/>
      <c r="N446" s="1225"/>
      <c r="O446" s="1022"/>
      <c r="P446" s="1225"/>
      <c r="Q446" s="1022"/>
      <c r="R446" s="1022"/>
      <c r="S446" s="1022"/>
      <c r="T446" s="1006">
        <f t="shared" si="87"/>
        <v>0</v>
      </c>
      <c r="U446" s="1006">
        <f t="shared" si="88"/>
        <v>1</v>
      </c>
      <c r="V446" s="1225">
        <f t="shared" si="89"/>
        <v>2</v>
      </c>
      <c r="W446" s="1225"/>
      <c r="X446" s="1006"/>
      <c r="Y446" s="1006"/>
      <c r="Z446" s="1225"/>
      <c r="AA446" s="1225"/>
      <c r="AB446" s="1020"/>
      <c r="AC446" s="1020"/>
      <c r="AD446" s="1020"/>
      <c r="AE446" s="1020"/>
      <c r="AF446" s="1203"/>
      <c r="AG446" s="1204"/>
      <c r="AH446" s="1073"/>
      <c r="AI446" s="1073"/>
      <c r="AJ446" s="1073"/>
      <c r="AK446" s="1073"/>
      <c r="AL446" s="1073"/>
      <c r="AM446" s="1073"/>
      <c r="AN446" s="1073"/>
      <c r="AO446" s="1073"/>
      <c r="AP446" s="1073"/>
      <c r="AQ446" s="1073"/>
      <c r="AR446" s="1073"/>
      <c r="AS446" s="1073"/>
      <c r="AT446" s="1073"/>
      <c r="AU446" s="1073"/>
      <c r="AV446" s="1073"/>
      <c r="AW446" s="1073"/>
      <c r="AX446" s="1073"/>
      <c r="AY446" s="1073"/>
    </row>
    <row r="447" spans="1:51" ht="28.9" customHeight="1" x14ac:dyDescent="0.25">
      <c r="A447" s="1189"/>
      <c r="B447" s="1018"/>
      <c r="C447" s="1048"/>
      <c r="D447" s="164" t="s">
        <v>348</v>
      </c>
      <c r="E447" s="1026"/>
      <c r="F447" s="1026"/>
      <c r="G447" s="1026"/>
      <c r="H447" s="1026">
        <f>+H443+H445</f>
        <v>14403777.307692308</v>
      </c>
      <c r="I447" s="1026">
        <f>+I443+I445</f>
        <v>17829357.538461536</v>
      </c>
      <c r="J447" s="1020"/>
      <c r="K447" s="1020"/>
      <c r="L447" s="1026"/>
      <c r="M447" s="1026"/>
      <c r="N447" s="1225"/>
      <c r="O447" s="1026"/>
      <c r="P447" s="1026"/>
      <c r="Q447" s="1026"/>
      <c r="R447" s="1026"/>
      <c r="S447" s="1327"/>
      <c r="T447" s="1006">
        <f t="shared" si="87"/>
        <v>0</v>
      </c>
      <c r="U447" s="1006">
        <f t="shared" si="88"/>
        <v>14403777.307692308</v>
      </c>
      <c r="V447" s="1225">
        <f t="shared" si="89"/>
        <v>17829357.538461536</v>
      </c>
      <c r="W447" s="1225"/>
      <c r="X447" s="1006"/>
      <c r="Y447" s="1006"/>
      <c r="Z447" s="1225"/>
      <c r="AA447" s="1225"/>
      <c r="AB447" s="1020"/>
      <c r="AC447" s="1020"/>
      <c r="AD447" s="1020"/>
      <c r="AE447" s="1020"/>
      <c r="AF447" s="1173"/>
      <c r="AG447" s="1190"/>
      <c r="AH447" s="1076"/>
      <c r="AI447" s="1076"/>
      <c r="AJ447" s="1076"/>
      <c r="AK447" s="1076"/>
      <c r="AL447" s="1076"/>
      <c r="AM447" s="1076"/>
      <c r="AN447" s="1076"/>
      <c r="AO447" s="1076"/>
      <c r="AP447" s="1076"/>
      <c r="AQ447" s="1076"/>
      <c r="AR447" s="1076"/>
      <c r="AS447" s="1076"/>
      <c r="AT447" s="1076"/>
      <c r="AU447" s="1076"/>
      <c r="AV447" s="1076"/>
      <c r="AW447" s="1076"/>
      <c r="AX447" s="1076"/>
      <c r="AY447" s="1076"/>
    </row>
    <row r="448" spans="1:51" ht="19.149999999999999" customHeight="1" x14ac:dyDescent="0.25">
      <c r="A448" s="1189"/>
      <c r="B448" s="1018"/>
      <c r="C448" s="1378" t="s">
        <v>604</v>
      </c>
      <c r="D448" s="161" t="s">
        <v>340</v>
      </c>
      <c r="E448" s="1225"/>
      <c r="F448" s="1225"/>
      <c r="G448" s="1225"/>
      <c r="H448" s="1225">
        <v>1</v>
      </c>
      <c r="I448" s="1225">
        <v>1</v>
      </c>
      <c r="J448" s="1225"/>
      <c r="K448" s="1225"/>
      <c r="L448" s="1225"/>
      <c r="M448" s="1225"/>
      <c r="N448" s="1006"/>
      <c r="O448" s="1022"/>
      <c r="P448" s="1022"/>
      <c r="Q448" s="1022"/>
      <c r="R448" s="1022"/>
      <c r="S448" s="1327"/>
      <c r="T448" s="1006">
        <f t="shared" si="87"/>
        <v>0</v>
      </c>
      <c r="U448" s="1006">
        <f t="shared" si="88"/>
        <v>1</v>
      </c>
      <c r="V448" s="1225">
        <f t="shared" si="89"/>
        <v>1</v>
      </c>
      <c r="W448" s="1225"/>
      <c r="X448" s="1006"/>
      <c r="Y448" s="1006"/>
      <c r="Z448" s="1225"/>
      <c r="AA448" s="1225"/>
      <c r="AB448" s="1020"/>
      <c r="AC448" s="1020"/>
      <c r="AD448" s="1020"/>
      <c r="AE448" s="1020"/>
      <c r="AF448" s="1332" t="s">
        <v>1480</v>
      </c>
      <c r="AG448" s="1274" t="str">
        <f>+C448</f>
        <v>SAN CRISTOBAL</v>
      </c>
      <c r="AH448" s="1334" t="s">
        <v>611</v>
      </c>
      <c r="AI448" s="1334" t="s">
        <v>612</v>
      </c>
      <c r="AJ448" s="1275"/>
      <c r="AK448" s="1275" t="s">
        <v>457</v>
      </c>
      <c r="AL448" s="1275">
        <v>1</v>
      </c>
      <c r="AM448" s="1275" t="s">
        <v>603</v>
      </c>
      <c r="AN448" s="1282">
        <v>406498</v>
      </c>
      <c r="AO448" s="1277">
        <v>195731</v>
      </c>
      <c r="AP448" s="1277">
        <v>210767</v>
      </c>
      <c r="AQ448" s="1278" t="s">
        <v>459</v>
      </c>
      <c r="AR448" s="1278" t="s">
        <v>459</v>
      </c>
      <c r="AS448" s="1278" t="s">
        <v>459</v>
      </c>
      <c r="AT448" s="1278" t="s">
        <v>459</v>
      </c>
      <c r="AU448" s="1278" t="s">
        <v>459</v>
      </c>
      <c r="AV448" s="1278" t="s">
        <v>459</v>
      </c>
      <c r="AW448" s="1278" t="s">
        <v>459</v>
      </c>
      <c r="AX448" s="1282">
        <v>406574</v>
      </c>
      <c r="AY448" s="1332" t="s">
        <v>1483</v>
      </c>
    </row>
    <row r="449" spans="1:51" ht="19.149999999999999" customHeight="1" x14ac:dyDescent="0.25">
      <c r="A449" s="1189"/>
      <c r="B449" s="1018"/>
      <c r="C449" s="1379"/>
      <c r="D449" s="164" t="s">
        <v>343</v>
      </c>
      <c r="E449" s="1020"/>
      <c r="F449" s="1020"/>
      <c r="G449" s="1020"/>
      <c r="H449" s="1225">
        <f>+H448*$U$419/$U$418</f>
        <v>4641500</v>
      </c>
      <c r="I449" s="1225">
        <f>+I448*$V$419/$V$418</f>
        <v>3704000</v>
      </c>
      <c r="J449" s="1020"/>
      <c r="K449" s="1020"/>
      <c r="L449" s="1020"/>
      <c r="M449" s="1020"/>
      <c r="N449" s="1059"/>
      <c r="O449" s="1327"/>
      <c r="P449" s="1327"/>
      <c r="Q449" s="1327"/>
      <c r="R449" s="1225"/>
      <c r="S449" s="1022"/>
      <c r="T449" s="1006">
        <f t="shared" si="87"/>
        <v>0</v>
      </c>
      <c r="U449" s="1006">
        <f t="shared" si="88"/>
        <v>4641500</v>
      </c>
      <c r="V449" s="1225">
        <f t="shared" si="89"/>
        <v>3704000</v>
      </c>
      <c r="W449" s="1225"/>
      <c r="X449" s="1006"/>
      <c r="Y449" s="1006"/>
      <c r="Z449" s="1225"/>
      <c r="AA449" s="1225"/>
      <c r="AB449" s="1020"/>
      <c r="AC449" s="1020"/>
      <c r="AD449" s="1020"/>
      <c r="AE449" s="1020"/>
      <c r="AF449" s="1203"/>
      <c r="AG449" s="1204"/>
      <c r="AH449" s="1073"/>
      <c r="AI449" s="1073"/>
      <c r="AJ449" s="1073"/>
      <c r="AK449" s="1073"/>
      <c r="AL449" s="1073"/>
      <c r="AM449" s="1073"/>
      <c r="AN449" s="1073"/>
      <c r="AO449" s="1073"/>
      <c r="AP449" s="1073"/>
      <c r="AQ449" s="1073"/>
      <c r="AR449" s="1073"/>
      <c r="AS449" s="1073"/>
      <c r="AT449" s="1073"/>
      <c r="AU449" s="1073"/>
      <c r="AV449" s="1073"/>
      <c r="AW449" s="1073"/>
      <c r="AX449" s="1073"/>
      <c r="AY449" s="1203"/>
    </row>
    <row r="450" spans="1:51" ht="28.9" customHeight="1" x14ac:dyDescent="0.25">
      <c r="A450" s="1189"/>
      <c r="B450" s="1018"/>
      <c r="C450" s="1379"/>
      <c r="D450" s="165" t="s">
        <v>345</v>
      </c>
      <c r="E450" s="1020"/>
      <c r="F450" s="1020"/>
      <c r="G450" s="1020"/>
      <c r="H450" s="1020"/>
      <c r="I450" s="1020"/>
      <c r="J450" s="1020"/>
      <c r="K450" s="1020"/>
      <c r="L450" s="1020"/>
      <c r="M450" s="1020"/>
      <c r="N450" s="1059"/>
      <c r="O450" s="1327"/>
      <c r="P450" s="1327"/>
      <c r="Q450" s="1327"/>
      <c r="R450" s="1327"/>
      <c r="S450" s="1022"/>
      <c r="T450" s="1006">
        <f t="shared" si="87"/>
        <v>0</v>
      </c>
      <c r="U450" s="1006">
        <f t="shared" si="88"/>
        <v>0</v>
      </c>
      <c r="V450" s="1225">
        <f t="shared" si="89"/>
        <v>0</v>
      </c>
      <c r="W450" s="1225"/>
      <c r="X450" s="1006"/>
      <c r="Y450" s="1006"/>
      <c r="Z450" s="1225"/>
      <c r="AA450" s="1225"/>
      <c r="AB450" s="1020"/>
      <c r="AC450" s="1020"/>
      <c r="AD450" s="1020"/>
      <c r="AE450" s="1020"/>
      <c r="AF450" s="1203"/>
      <c r="AG450" s="1204"/>
      <c r="AH450" s="1073"/>
      <c r="AI450" s="1073"/>
      <c r="AJ450" s="1073"/>
      <c r="AK450" s="1073"/>
      <c r="AL450" s="1073"/>
      <c r="AM450" s="1073"/>
      <c r="AN450" s="1073"/>
      <c r="AO450" s="1073"/>
      <c r="AP450" s="1073"/>
      <c r="AQ450" s="1073"/>
      <c r="AR450" s="1073"/>
      <c r="AS450" s="1073"/>
      <c r="AT450" s="1073"/>
      <c r="AU450" s="1073"/>
      <c r="AV450" s="1073"/>
      <c r="AW450" s="1073"/>
      <c r="AX450" s="1073"/>
      <c r="AY450" s="1203"/>
    </row>
    <row r="451" spans="1:51" ht="28.9" customHeight="1" x14ac:dyDescent="0.25">
      <c r="A451" s="1189"/>
      <c r="B451" s="1018"/>
      <c r="C451" s="1379"/>
      <c r="D451" s="164" t="s">
        <v>346</v>
      </c>
      <c r="E451" s="1020"/>
      <c r="F451" s="1020"/>
      <c r="G451" s="1020"/>
      <c r="H451" s="1020">
        <f>+$U$421/13</f>
        <v>9762277.307692308</v>
      </c>
      <c r="I451" s="1020">
        <f>+$V$421/13</f>
        <v>10421357.538461538</v>
      </c>
      <c r="J451" s="1020"/>
      <c r="K451" s="1020"/>
      <c r="L451" s="1020"/>
      <c r="M451" s="1020"/>
      <c r="N451" s="1059"/>
      <c r="O451" s="1327"/>
      <c r="P451" s="1327"/>
      <c r="Q451" s="1327"/>
      <c r="R451" s="1327"/>
      <c r="S451" s="1022"/>
      <c r="T451" s="1006">
        <f t="shared" si="87"/>
        <v>0</v>
      </c>
      <c r="U451" s="1006">
        <f t="shared" si="88"/>
        <v>9762277.307692308</v>
      </c>
      <c r="V451" s="1225">
        <f t="shared" si="89"/>
        <v>10421357.538461538</v>
      </c>
      <c r="W451" s="1225"/>
      <c r="X451" s="1006"/>
      <c r="Y451" s="1006"/>
      <c r="Z451" s="1225"/>
      <c r="AA451" s="1225"/>
      <c r="AB451" s="1020"/>
      <c r="AC451" s="1020"/>
      <c r="AD451" s="1020"/>
      <c r="AE451" s="1020"/>
      <c r="AF451" s="1203"/>
      <c r="AG451" s="1204"/>
      <c r="AH451" s="1073"/>
      <c r="AI451" s="1073"/>
      <c r="AJ451" s="1073"/>
      <c r="AK451" s="1073"/>
      <c r="AL451" s="1073"/>
      <c r="AM451" s="1073"/>
      <c r="AN451" s="1073"/>
      <c r="AO451" s="1073"/>
      <c r="AP451" s="1073"/>
      <c r="AQ451" s="1073"/>
      <c r="AR451" s="1073"/>
      <c r="AS451" s="1073"/>
      <c r="AT451" s="1073"/>
      <c r="AU451" s="1073"/>
      <c r="AV451" s="1073"/>
      <c r="AW451" s="1073"/>
      <c r="AX451" s="1073"/>
      <c r="AY451" s="1203"/>
    </row>
    <row r="452" spans="1:51" ht="28.9" customHeight="1" x14ac:dyDescent="0.25">
      <c r="A452" s="1189"/>
      <c r="B452" s="1018"/>
      <c r="C452" s="1379"/>
      <c r="D452" s="165" t="s">
        <v>347</v>
      </c>
      <c r="E452" s="1225"/>
      <c r="F452" s="1225"/>
      <c r="G452" s="1225"/>
      <c r="H452" s="1225">
        <v>1</v>
      </c>
      <c r="I452" s="1225">
        <v>1</v>
      </c>
      <c r="J452" s="1225"/>
      <c r="K452" s="1225"/>
      <c r="L452" s="1225"/>
      <c r="M452" s="1225"/>
      <c r="N452" s="1225"/>
      <c r="O452" s="1022"/>
      <c r="P452" s="1022"/>
      <c r="Q452" s="1022"/>
      <c r="R452" s="1022"/>
      <c r="S452" s="1022"/>
      <c r="T452" s="1006">
        <f t="shared" si="87"/>
        <v>0</v>
      </c>
      <c r="U452" s="1006">
        <f t="shared" si="88"/>
        <v>1</v>
      </c>
      <c r="V452" s="1225">
        <f t="shared" si="89"/>
        <v>1</v>
      </c>
      <c r="W452" s="1225"/>
      <c r="X452" s="1006"/>
      <c r="Y452" s="1006"/>
      <c r="Z452" s="1225"/>
      <c r="AA452" s="1225"/>
      <c r="AB452" s="1020"/>
      <c r="AC452" s="1020"/>
      <c r="AD452" s="1020"/>
      <c r="AE452" s="1020"/>
      <c r="AF452" s="1203"/>
      <c r="AG452" s="1204"/>
      <c r="AH452" s="1073"/>
      <c r="AI452" s="1073"/>
      <c r="AJ452" s="1073"/>
      <c r="AK452" s="1073"/>
      <c r="AL452" s="1073"/>
      <c r="AM452" s="1073"/>
      <c r="AN452" s="1073"/>
      <c r="AO452" s="1073"/>
      <c r="AP452" s="1073"/>
      <c r="AQ452" s="1073"/>
      <c r="AR452" s="1073"/>
      <c r="AS452" s="1073"/>
      <c r="AT452" s="1073"/>
      <c r="AU452" s="1073"/>
      <c r="AV452" s="1073"/>
      <c r="AW452" s="1073"/>
      <c r="AX452" s="1073"/>
      <c r="AY452" s="1203"/>
    </row>
    <row r="453" spans="1:51" ht="28.9" customHeight="1" x14ac:dyDescent="0.25">
      <c r="A453" s="1189"/>
      <c r="B453" s="1018"/>
      <c r="C453" s="1169"/>
      <c r="D453" s="164" t="s">
        <v>348</v>
      </c>
      <c r="E453" s="1026"/>
      <c r="F453" s="1026"/>
      <c r="G453" s="1026"/>
      <c r="H453" s="1026">
        <f>+H449+H451</f>
        <v>14403777.307692308</v>
      </c>
      <c r="I453" s="1026">
        <f>+I449+I451</f>
        <v>14125357.538461538</v>
      </c>
      <c r="J453" s="1026"/>
      <c r="K453" s="1026"/>
      <c r="L453" s="1026"/>
      <c r="M453" s="1026"/>
      <c r="N453" s="1006"/>
      <c r="O453" s="1022"/>
      <c r="P453" s="1022"/>
      <c r="Q453" s="1327"/>
      <c r="R453" s="1026"/>
      <c r="S453" s="1327"/>
      <c r="T453" s="1006">
        <f t="shared" si="87"/>
        <v>0</v>
      </c>
      <c r="U453" s="1006">
        <f t="shared" si="88"/>
        <v>14403777.307692308</v>
      </c>
      <c r="V453" s="1225">
        <f t="shared" si="89"/>
        <v>14125357.538461538</v>
      </c>
      <c r="W453" s="1225"/>
      <c r="X453" s="1006"/>
      <c r="Y453" s="1006"/>
      <c r="Z453" s="1225"/>
      <c r="AA453" s="1225"/>
      <c r="AB453" s="1020"/>
      <c r="AC453" s="1020"/>
      <c r="AD453" s="1020"/>
      <c r="AE453" s="1020"/>
      <c r="AF453" s="1173"/>
      <c r="AG453" s="1190"/>
      <c r="AH453" s="1076"/>
      <c r="AI453" s="1076"/>
      <c r="AJ453" s="1076"/>
      <c r="AK453" s="1076"/>
      <c r="AL453" s="1076"/>
      <c r="AM453" s="1076"/>
      <c r="AN453" s="1076"/>
      <c r="AO453" s="1076"/>
      <c r="AP453" s="1076"/>
      <c r="AQ453" s="1076"/>
      <c r="AR453" s="1076"/>
      <c r="AS453" s="1076"/>
      <c r="AT453" s="1076"/>
      <c r="AU453" s="1076"/>
      <c r="AV453" s="1076"/>
      <c r="AW453" s="1076"/>
      <c r="AX453" s="1076"/>
      <c r="AY453" s="1173"/>
    </row>
    <row r="454" spans="1:51" ht="19.149999999999999" customHeight="1" x14ac:dyDescent="0.25">
      <c r="A454" s="1189"/>
      <c r="B454" s="1018"/>
      <c r="C454" s="1153" t="s">
        <v>481</v>
      </c>
      <c r="D454" s="161" t="s">
        <v>340</v>
      </c>
      <c r="E454" s="1225"/>
      <c r="F454" s="1225"/>
      <c r="G454" s="1225"/>
      <c r="H454" s="1225"/>
      <c r="I454" s="1225"/>
      <c r="J454" s="1225"/>
      <c r="K454" s="1225"/>
      <c r="L454" s="1225"/>
      <c r="M454" s="1225"/>
      <c r="N454" s="1225"/>
      <c r="O454" s="1022"/>
      <c r="P454" s="1225"/>
      <c r="Q454" s="1022"/>
      <c r="R454" s="1022"/>
      <c r="S454" s="1327"/>
      <c r="T454" s="1006">
        <f t="shared" si="87"/>
        <v>0</v>
      </c>
      <c r="U454" s="1006">
        <f t="shared" si="88"/>
        <v>0</v>
      </c>
      <c r="V454" s="1225">
        <f t="shared" si="89"/>
        <v>0</v>
      </c>
      <c r="W454" s="1225"/>
      <c r="X454" s="1006"/>
      <c r="Y454" s="1006"/>
      <c r="Z454" s="1225"/>
      <c r="AA454" s="1225"/>
      <c r="AB454" s="1020"/>
      <c r="AC454" s="1020"/>
      <c r="AD454" s="1020"/>
      <c r="AE454" s="1020"/>
      <c r="AF454" s="1329"/>
      <c r="AG454" s="1274" t="str">
        <f>+C454</f>
        <v>5- USME</v>
      </c>
      <c r="AH454" s="1334" t="s">
        <v>576</v>
      </c>
      <c r="AI454" s="1334" t="s">
        <v>613</v>
      </c>
      <c r="AJ454" s="1275"/>
      <c r="AK454" s="1275" t="s">
        <v>457</v>
      </c>
      <c r="AL454" s="1275" t="s">
        <v>610</v>
      </c>
      <c r="AM454" s="1275" t="s">
        <v>603</v>
      </c>
      <c r="AN454" s="1282">
        <v>407645</v>
      </c>
      <c r="AO454" s="1277">
        <v>201919</v>
      </c>
      <c r="AP454" s="1277">
        <v>205726</v>
      </c>
      <c r="AQ454" s="1278" t="s">
        <v>459</v>
      </c>
      <c r="AR454" s="1278" t="s">
        <v>459</v>
      </c>
      <c r="AS454" s="1278" t="s">
        <v>459</v>
      </c>
      <c r="AT454" s="1278" t="s">
        <v>459</v>
      </c>
      <c r="AU454" s="1278" t="s">
        <v>459</v>
      </c>
      <c r="AV454" s="1278" t="s">
        <v>459</v>
      </c>
      <c r="AW454" s="1278" t="s">
        <v>459</v>
      </c>
      <c r="AX454" s="1282">
        <v>407645</v>
      </c>
      <c r="AY454" s="1232"/>
    </row>
    <row r="455" spans="1:51" ht="19.149999999999999" customHeight="1" x14ac:dyDescent="0.25">
      <c r="A455" s="1189"/>
      <c r="B455" s="1018"/>
      <c r="C455" s="1018"/>
      <c r="D455" s="164" t="s">
        <v>343</v>
      </c>
      <c r="E455" s="1020"/>
      <c r="F455" s="1020"/>
      <c r="G455" s="1020"/>
      <c r="H455" s="1020"/>
      <c r="I455" s="1020"/>
      <c r="J455" s="1020"/>
      <c r="K455" s="1020"/>
      <c r="L455" s="1020"/>
      <c r="M455" s="1020"/>
      <c r="N455" s="1020"/>
      <c r="O455" s="1327"/>
      <c r="P455" s="1327"/>
      <c r="Q455" s="1327"/>
      <c r="R455" s="1327"/>
      <c r="S455" s="1022"/>
      <c r="T455" s="1006">
        <f t="shared" si="87"/>
        <v>0</v>
      </c>
      <c r="U455" s="1006">
        <f t="shared" si="88"/>
        <v>0</v>
      </c>
      <c r="V455" s="1225">
        <f t="shared" si="89"/>
        <v>0</v>
      </c>
      <c r="W455" s="1225"/>
      <c r="X455" s="1006"/>
      <c r="Y455" s="1006"/>
      <c r="Z455" s="1225"/>
      <c r="AA455" s="1225"/>
      <c r="AB455" s="1020"/>
      <c r="AC455" s="1020"/>
      <c r="AD455" s="1020"/>
      <c r="AE455" s="1020"/>
      <c r="AF455" s="1203"/>
      <c r="AG455" s="1204"/>
      <c r="AH455" s="1073"/>
      <c r="AI455" s="1073"/>
      <c r="AJ455" s="1073"/>
      <c r="AK455" s="1073"/>
      <c r="AL455" s="1073"/>
      <c r="AM455" s="1073"/>
      <c r="AN455" s="1073"/>
      <c r="AO455" s="1073"/>
      <c r="AP455" s="1073"/>
      <c r="AQ455" s="1073"/>
      <c r="AR455" s="1073"/>
      <c r="AS455" s="1073"/>
      <c r="AT455" s="1073"/>
      <c r="AU455" s="1073"/>
      <c r="AV455" s="1073"/>
      <c r="AW455" s="1073"/>
      <c r="AX455" s="1073"/>
      <c r="AY455" s="1073"/>
    </row>
    <row r="456" spans="1:51" ht="28.9" customHeight="1" x14ac:dyDescent="0.25">
      <c r="A456" s="1189"/>
      <c r="B456" s="1018"/>
      <c r="C456" s="1018"/>
      <c r="D456" s="165" t="s">
        <v>345</v>
      </c>
      <c r="E456" s="1020"/>
      <c r="F456" s="1020"/>
      <c r="G456" s="1020"/>
      <c r="H456" s="1020"/>
      <c r="I456" s="1020"/>
      <c r="J456" s="1020"/>
      <c r="K456" s="1020"/>
      <c r="L456" s="1020"/>
      <c r="M456" s="1020"/>
      <c r="N456" s="1059"/>
      <c r="O456" s="1327"/>
      <c r="P456" s="1022"/>
      <c r="Q456" s="1327"/>
      <c r="R456" s="1327"/>
      <c r="S456" s="1022"/>
      <c r="T456" s="1006">
        <f t="shared" si="87"/>
        <v>0</v>
      </c>
      <c r="U456" s="1006">
        <f t="shared" si="88"/>
        <v>0</v>
      </c>
      <c r="V456" s="1225">
        <f t="shared" si="89"/>
        <v>0</v>
      </c>
      <c r="W456" s="1225"/>
      <c r="X456" s="1006"/>
      <c r="Y456" s="1006"/>
      <c r="Z456" s="1225"/>
      <c r="AA456" s="1225"/>
      <c r="AB456" s="1020"/>
      <c r="AC456" s="1020"/>
      <c r="AD456" s="1020"/>
      <c r="AE456" s="1020"/>
      <c r="AF456" s="1203"/>
      <c r="AG456" s="1204"/>
      <c r="AH456" s="1073"/>
      <c r="AI456" s="1073"/>
      <c r="AJ456" s="1073"/>
      <c r="AK456" s="1073"/>
      <c r="AL456" s="1073"/>
      <c r="AM456" s="1073"/>
      <c r="AN456" s="1073"/>
      <c r="AO456" s="1073"/>
      <c r="AP456" s="1073"/>
      <c r="AQ456" s="1073"/>
      <c r="AR456" s="1073"/>
      <c r="AS456" s="1073"/>
      <c r="AT456" s="1073"/>
      <c r="AU456" s="1073"/>
      <c r="AV456" s="1073"/>
      <c r="AW456" s="1073"/>
      <c r="AX456" s="1073"/>
      <c r="AY456" s="1073"/>
    </row>
    <row r="457" spans="1:51" ht="28.9" customHeight="1" x14ac:dyDescent="0.25">
      <c r="A457" s="1189"/>
      <c r="B457" s="1018"/>
      <c r="C457" s="1018"/>
      <c r="D457" s="164" t="s">
        <v>346</v>
      </c>
      <c r="E457" s="1020"/>
      <c r="F457" s="1020"/>
      <c r="G457" s="1020"/>
      <c r="H457" s="1020"/>
      <c r="I457" s="1020"/>
      <c r="J457" s="1020"/>
      <c r="K457" s="1020"/>
      <c r="L457" s="1020"/>
      <c r="M457" s="1020"/>
      <c r="N457" s="1020"/>
      <c r="O457" s="1327"/>
      <c r="P457" s="1327"/>
      <c r="Q457" s="1327"/>
      <c r="R457" s="1327"/>
      <c r="S457" s="1022"/>
      <c r="T457" s="1006">
        <f t="shared" si="87"/>
        <v>0</v>
      </c>
      <c r="U457" s="1006">
        <f t="shared" si="88"/>
        <v>0</v>
      </c>
      <c r="V457" s="1225">
        <f t="shared" si="89"/>
        <v>0</v>
      </c>
      <c r="W457" s="1225"/>
      <c r="X457" s="1006"/>
      <c r="Y457" s="1006"/>
      <c r="Z457" s="1225"/>
      <c r="AA457" s="1225"/>
      <c r="AB457" s="1020"/>
      <c r="AC457" s="1020"/>
      <c r="AD457" s="1020"/>
      <c r="AE457" s="1020"/>
      <c r="AF457" s="1203"/>
      <c r="AG457" s="1204"/>
      <c r="AH457" s="1073"/>
      <c r="AI457" s="1073"/>
      <c r="AJ457" s="1073"/>
      <c r="AK457" s="1073"/>
      <c r="AL457" s="1073"/>
      <c r="AM457" s="1073"/>
      <c r="AN457" s="1073"/>
      <c r="AO457" s="1073"/>
      <c r="AP457" s="1073"/>
      <c r="AQ457" s="1073"/>
      <c r="AR457" s="1073"/>
      <c r="AS457" s="1073"/>
      <c r="AT457" s="1073"/>
      <c r="AU457" s="1073"/>
      <c r="AV457" s="1073"/>
      <c r="AW457" s="1073"/>
      <c r="AX457" s="1073"/>
      <c r="AY457" s="1073"/>
    </row>
    <row r="458" spans="1:51" ht="28.9" customHeight="1" x14ac:dyDescent="0.25">
      <c r="A458" s="1189"/>
      <c r="B458" s="1018"/>
      <c r="C458" s="1018"/>
      <c r="D458" s="165" t="s">
        <v>347</v>
      </c>
      <c r="E458" s="1225"/>
      <c r="F458" s="1225"/>
      <c r="G458" s="1225"/>
      <c r="H458" s="1225"/>
      <c r="I458" s="1225"/>
      <c r="J458" s="1225"/>
      <c r="K458" s="1225"/>
      <c r="L458" s="1225"/>
      <c r="M458" s="1225"/>
      <c r="N458" s="1225"/>
      <c r="O458" s="1022"/>
      <c r="P458" s="1225"/>
      <c r="Q458" s="1022"/>
      <c r="R458" s="1022"/>
      <c r="S458" s="1022"/>
      <c r="T458" s="1006">
        <f t="shared" si="87"/>
        <v>0</v>
      </c>
      <c r="U458" s="1006">
        <f t="shared" si="88"/>
        <v>0</v>
      </c>
      <c r="V458" s="1225">
        <f t="shared" si="89"/>
        <v>0</v>
      </c>
      <c r="W458" s="1225"/>
      <c r="X458" s="1006"/>
      <c r="Y458" s="1006"/>
      <c r="Z458" s="1225"/>
      <c r="AA458" s="1225"/>
      <c r="AB458" s="1020"/>
      <c r="AC458" s="1020"/>
      <c r="AD458" s="1020"/>
      <c r="AE458" s="1020"/>
      <c r="AF458" s="1203"/>
      <c r="AG458" s="1204"/>
      <c r="AH458" s="1073"/>
      <c r="AI458" s="1073"/>
      <c r="AJ458" s="1073"/>
      <c r="AK458" s="1073"/>
      <c r="AL458" s="1073"/>
      <c r="AM458" s="1073"/>
      <c r="AN458" s="1073"/>
      <c r="AO458" s="1073"/>
      <c r="AP458" s="1073"/>
      <c r="AQ458" s="1073"/>
      <c r="AR458" s="1073"/>
      <c r="AS458" s="1073"/>
      <c r="AT458" s="1073"/>
      <c r="AU458" s="1073"/>
      <c r="AV458" s="1073"/>
      <c r="AW458" s="1073"/>
      <c r="AX458" s="1073"/>
      <c r="AY458" s="1073"/>
    </row>
    <row r="459" spans="1:51" ht="28.9" customHeight="1" x14ac:dyDescent="0.25">
      <c r="A459" s="1189"/>
      <c r="B459" s="1018"/>
      <c r="C459" s="1048"/>
      <c r="D459" s="164" t="s">
        <v>348</v>
      </c>
      <c r="E459" s="1026"/>
      <c r="F459" s="1026"/>
      <c r="G459" s="1026"/>
      <c r="H459" s="1026"/>
      <c r="I459" s="1026"/>
      <c r="J459" s="1026"/>
      <c r="K459" s="1026"/>
      <c r="L459" s="1026"/>
      <c r="M459" s="1026"/>
      <c r="N459" s="1026"/>
      <c r="O459" s="1022"/>
      <c r="P459" s="1022"/>
      <c r="Q459" s="1327"/>
      <c r="R459" s="1327"/>
      <c r="S459" s="1327"/>
      <c r="T459" s="1006">
        <f t="shared" si="87"/>
        <v>0</v>
      </c>
      <c r="U459" s="1006">
        <f t="shared" si="88"/>
        <v>0</v>
      </c>
      <c r="V459" s="1225">
        <f t="shared" si="89"/>
        <v>0</v>
      </c>
      <c r="W459" s="1225"/>
      <c r="X459" s="1006"/>
      <c r="Y459" s="1006"/>
      <c r="Z459" s="1225"/>
      <c r="AA459" s="1225"/>
      <c r="AB459" s="1020"/>
      <c r="AC459" s="1020"/>
      <c r="AD459" s="1020"/>
      <c r="AE459" s="1020"/>
      <c r="AF459" s="1173"/>
      <c r="AG459" s="1190"/>
      <c r="AH459" s="1076"/>
      <c r="AI459" s="1076"/>
      <c r="AJ459" s="1076"/>
      <c r="AK459" s="1076"/>
      <c r="AL459" s="1076"/>
      <c r="AM459" s="1076"/>
      <c r="AN459" s="1076"/>
      <c r="AO459" s="1076"/>
      <c r="AP459" s="1076"/>
      <c r="AQ459" s="1076"/>
      <c r="AR459" s="1076"/>
      <c r="AS459" s="1076"/>
      <c r="AT459" s="1076"/>
      <c r="AU459" s="1076"/>
      <c r="AV459" s="1076"/>
      <c r="AW459" s="1076"/>
      <c r="AX459" s="1076"/>
      <c r="AY459" s="1076"/>
    </row>
    <row r="460" spans="1:51" ht="19.149999999999999" customHeight="1" x14ac:dyDescent="0.25">
      <c r="A460" s="1189"/>
      <c r="B460" s="1018"/>
      <c r="C460" s="1378" t="s">
        <v>522</v>
      </c>
      <c r="D460" s="161" t="s">
        <v>340</v>
      </c>
      <c r="E460" s="1225"/>
      <c r="F460" s="1225"/>
      <c r="G460" s="1225"/>
      <c r="H460" s="1225"/>
      <c r="I460" s="1225"/>
      <c r="J460" s="1225"/>
      <c r="K460" s="1225"/>
      <c r="L460" s="1225"/>
      <c r="M460" s="1225"/>
      <c r="N460" s="1225"/>
      <c r="O460" s="1022"/>
      <c r="P460" s="1225"/>
      <c r="Q460" s="1022"/>
      <c r="R460" s="1022"/>
      <c r="S460" s="1327"/>
      <c r="T460" s="1006">
        <f t="shared" si="87"/>
        <v>0</v>
      </c>
      <c r="U460" s="1006">
        <f t="shared" si="88"/>
        <v>0</v>
      </c>
      <c r="V460" s="1225">
        <f t="shared" si="89"/>
        <v>0</v>
      </c>
      <c r="W460" s="1225"/>
      <c r="X460" s="1006"/>
      <c r="Y460" s="1006"/>
      <c r="Z460" s="1225"/>
      <c r="AA460" s="1225"/>
      <c r="AB460" s="1020"/>
      <c r="AC460" s="1020"/>
      <c r="AD460" s="1020"/>
      <c r="AE460" s="1020"/>
      <c r="AF460" s="1332"/>
      <c r="AG460" s="1274" t="str">
        <f>+C460</f>
        <v>6- TUNJUELITO</v>
      </c>
      <c r="AH460" s="1334" t="s">
        <v>523</v>
      </c>
      <c r="AI460" s="1334" t="s">
        <v>614</v>
      </c>
      <c r="AJ460" s="1275"/>
      <c r="AK460" s="1275" t="s">
        <v>457</v>
      </c>
      <c r="AL460" s="1275" t="s">
        <v>610</v>
      </c>
      <c r="AM460" s="1275" t="s">
        <v>603</v>
      </c>
      <c r="AN460" s="1282">
        <v>182943</v>
      </c>
      <c r="AO460" s="1277">
        <v>90946</v>
      </c>
      <c r="AP460" s="1277">
        <v>91997</v>
      </c>
      <c r="AQ460" s="1278" t="s">
        <v>459</v>
      </c>
      <c r="AR460" s="1278" t="s">
        <v>459</v>
      </c>
      <c r="AS460" s="1278" t="s">
        <v>459</v>
      </c>
      <c r="AT460" s="1278" t="s">
        <v>459</v>
      </c>
      <c r="AU460" s="1278" t="s">
        <v>459</v>
      </c>
      <c r="AV460" s="1278" t="s">
        <v>459</v>
      </c>
      <c r="AW460" s="1278" t="s">
        <v>459</v>
      </c>
      <c r="AX460" s="1282">
        <v>182943</v>
      </c>
      <c r="AY460" s="1232"/>
    </row>
    <row r="461" spans="1:51" ht="19.149999999999999" customHeight="1" x14ac:dyDescent="0.25">
      <c r="A461" s="1189"/>
      <c r="B461" s="1018"/>
      <c r="C461" s="1379"/>
      <c r="D461" s="164" t="s">
        <v>343</v>
      </c>
      <c r="E461" s="1020"/>
      <c r="F461" s="1020"/>
      <c r="G461" s="1020"/>
      <c r="H461" s="1020"/>
      <c r="I461" s="1020"/>
      <c r="J461" s="1020"/>
      <c r="K461" s="1020"/>
      <c r="L461" s="1020"/>
      <c r="M461" s="1020"/>
      <c r="N461" s="1020"/>
      <c r="O461" s="1225"/>
      <c r="P461" s="1225"/>
      <c r="Q461" s="1225"/>
      <c r="R461" s="1225"/>
      <c r="S461" s="1022"/>
      <c r="T461" s="1006">
        <f t="shared" si="87"/>
        <v>0</v>
      </c>
      <c r="U461" s="1006">
        <f t="shared" si="88"/>
        <v>0</v>
      </c>
      <c r="V461" s="1225">
        <f t="shared" si="89"/>
        <v>0</v>
      </c>
      <c r="W461" s="1225"/>
      <c r="X461" s="1006"/>
      <c r="Y461" s="1006"/>
      <c r="Z461" s="1225"/>
      <c r="AA461" s="1225"/>
      <c r="AB461" s="1020"/>
      <c r="AC461" s="1020"/>
      <c r="AD461" s="1020"/>
      <c r="AE461" s="1020"/>
      <c r="AF461" s="1203"/>
      <c r="AG461" s="1204"/>
      <c r="AH461" s="1073"/>
      <c r="AI461" s="1073"/>
      <c r="AJ461" s="1073"/>
      <c r="AK461" s="1073"/>
      <c r="AL461" s="1073"/>
      <c r="AM461" s="1073"/>
      <c r="AN461" s="1073"/>
      <c r="AO461" s="1073"/>
      <c r="AP461" s="1073"/>
      <c r="AQ461" s="1073"/>
      <c r="AR461" s="1073"/>
      <c r="AS461" s="1073"/>
      <c r="AT461" s="1073"/>
      <c r="AU461" s="1073"/>
      <c r="AV461" s="1073"/>
      <c r="AW461" s="1073"/>
      <c r="AX461" s="1073"/>
      <c r="AY461" s="1073"/>
    </row>
    <row r="462" spans="1:51" ht="28.9" customHeight="1" x14ac:dyDescent="0.25">
      <c r="A462" s="1189"/>
      <c r="B462" s="1018"/>
      <c r="C462" s="1379"/>
      <c r="D462" s="165" t="s">
        <v>345</v>
      </c>
      <c r="E462" s="1020"/>
      <c r="F462" s="1020"/>
      <c r="G462" s="1020"/>
      <c r="H462" s="1020"/>
      <c r="I462" s="1020"/>
      <c r="J462" s="1020"/>
      <c r="K462" s="1020"/>
      <c r="L462" s="1020"/>
      <c r="M462" s="1020"/>
      <c r="N462" s="1059"/>
      <c r="O462" s="1327"/>
      <c r="P462" s="1327"/>
      <c r="Q462" s="1327"/>
      <c r="R462" s="1327"/>
      <c r="S462" s="1022"/>
      <c r="T462" s="1006">
        <f t="shared" si="87"/>
        <v>0</v>
      </c>
      <c r="U462" s="1006">
        <f t="shared" si="88"/>
        <v>0</v>
      </c>
      <c r="V462" s="1225">
        <f t="shared" si="89"/>
        <v>0</v>
      </c>
      <c r="W462" s="1225"/>
      <c r="X462" s="1006"/>
      <c r="Y462" s="1006"/>
      <c r="Z462" s="1225"/>
      <c r="AA462" s="1225"/>
      <c r="AB462" s="1020"/>
      <c r="AC462" s="1020"/>
      <c r="AD462" s="1020"/>
      <c r="AE462" s="1020"/>
      <c r="AF462" s="1203"/>
      <c r="AG462" s="1204"/>
      <c r="AH462" s="1073"/>
      <c r="AI462" s="1073"/>
      <c r="AJ462" s="1073"/>
      <c r="AK462" s="1073"/>
      <c r="AL462" s="1073"/>
      <c r="AM462" s="1073"/>
      <c r="AN462" s="1073"/>
      <c r="AO462" s="1073"/>
      <c r="AP462" s="1073"/>
      <c r="AQ462" s="1073"/>
      <c r="AR462" s="1073"/>
      <c r="AS462" s="1073"/>
      <c r="AT462" s="1073"/>
      <c r="AU462" s="1073"/>
      <c r="AV462" s="1073"/>
      <c r="AW462" s="1073"/>
      <c r="AX462" s="1073"/>
      <c r="AY462" s="1073"/>
    </row>
    <row r="463" spans="1:51" ht="28.9" customHeight="1" x14ac:dyDescent="0.25">
      <c r="A463" s="1189"/>
      <c r="B463" s="1018"/>
      <c r="C463" s="1379"/>
      <c r="D463" s="164" t="s">
        <v>346</v>
      </c>
      <c r="E463" s="1020"/>
      <c r="F463" s="1020"/>
      <c r="G463" s="1020"/>
      <c r="H463" s="1020"/>
      <c r="I463" s="1020"/>
      <c r="J463" s="1020"/>
      <c r="K463" s="1020"/>
      <c r="L463" s="1020"/>
      <c r="M463" s="1020"/>
      <c r="N463" s="1059"/>
      <c r="O463" s="1327"/>
      <c r="P463" s="1327"/>
      <c r="Q463" s="1327"/>
      <c r="R463" s="1327"/>
      <c r="S463" s="1022"/>
      <c r="T463" s="1006">
        <f t="shared" si="87"/>
        <v>0</v>
      </c>
      <c r="U463" s="1006">
        <f t="shared" si="88"/>
        <v>0</v>
      </c>
      <c r="V463" s="1225">
        <f t="shared" si="89"/>
        <v>0</v>
      </c>
      <c r="W463" s="1225"/>
      <c r="X463" s="1006"/>
      <c r="Y463" s="1006"/>
      <c r="Z463" s="1225"/>
      <c r="AA463" s="1225"/>
      <c r="AB463" s="1020"/>
      <c r="AC463" s="1020"/>
      <c r="AD463" s="1020"/>
      <c r="AE463" s="1020"/>
      <c r="AF463" s="1203"/>
      <c r="AG463" s="1204"/>
      <c r="AH463" s="1073"/>
      <c r="AI463" s="1073"/>
      <c r="AJ463" s="1073"/>
      <c r="AK463" s="1073"/>
      <c r="AL463" s="1073"/>
      <c r="AM463" s="1073"/>
      <c r="AN463" s="1073"/>
      <c r="AO463" s="1073"/>
      <c r="AP463" s="1073"/>
      <c r="AQ463" s="1073"/>
      <c r="AR463" s="1073"/>
      <c r="AS463" s="1073"/>
      <c r="AT463" s="1073"/>
      <c r="AU463" s="1073"/>
      <c r="AV463" s="1073"/>
      <c r="AW463" s="1073"/>
      <c r="AX463" s="1073"/>
      <c r="AY463" s="1073"/>
    </row>
    <row r="464" spans="1:51" ht="28.9" customHeight="1" x14ac:dyDescent="0.25">
      <c r="A464" s="1189"/>
      <c r="B464" s="1018"/>
      <c r="C464" s="1379"/>
      <c r="D464" s="165" t="s">
        <v>347</v>
      </c>
      <c r="E464" s="1225"/>
      <c r="F464" s="1225"/>
      <c r="G464" s="1225"/>
      <c r="H464" s="1225"/>
      <c r="I464" s="1225"/>
      <c r="J464" s="1225"/>
      <c r="K464" s="1225"/>
      <c r="L464" s="1225"/>
      <c r="M464" s="1225"/>
      <c r="N464" s="1225"/>
      <c r="O464" s="1022"/>
      <c r="P464" s="1225"/>
      <c r="Q464" s="1022"/>
      <c r="R464" s="1022"/>
      <c r="S464" s="1022"/>
      <c r="T464" s="1006">
        <f t="shared" si="87"/>
        <v>0</v>
      </c>
      <c r="U464" s="1006">
        <f t="shared" si="88"/>
        <v>0</v>
      </c>
      <c r="V464" s="1225">
        <f t="shared" si="89"/>
        <v>0</v>
      </c>
      <c r="W464" s="1225"/>
      <c r="X464" s="1006"/>
      <c r="Y464" s="1006"/>
      <c r="Z464" s="1225"/>
      <c r="AA464" s="1225"/>
      <c r="AB464" s="1020"/>
      <c r="AC464" s="1020"/>
      <c r="AD464" s="1020"/>
      <c r="AE464" s="1020"/>
      <c r="AF464" s="1203"/>
      <c r="AG464" s="1204"/>
      <c r="AH464" s="1073"/>
      <c r="AI464" s="1073"/>
      <c r="AJ464" s="1073"/>
      <c r="AK464" s="1073"/>
      <c r="AL464" s="1073"/>
      <c r="AM464" s="1073"/>
      <c r="AN464" s="1073"/>
      <c r="AO464" s="1073"/>
      <c r="AP464" s="1073"/>
      <c r="AQ464" s="1073"/>
      <c r="AR464" s="1073"/>
      <c r="AS464" s="1073"/>
      <c r="AT464" s="1073"/>
      <c r="AU464" s="1073"/>
      <c r="AV464" s="1073"/>
      <c r="AW464" s="1073"/>
      <c r="AX464" s="1073"/>
      <c r="AY464" s="1073"/>
    </row>
    <row r="465" spans="1:51" ht="28.9" customHeight="1" x14ac:dyDescent="0.25">
      <c r="A465" s="1189"/>
      <c r="B465" s="1018"/>
      <c r="C465" s="1169"/>
      <c r="D465" s="164" t="s">
        <v>348</v>
      </c>
      <c r="E465" s="1026"/>
      <c r="F465" s="1026"/>
      <c r="G465" s="1020"/>
      <c r="H465" s="1020"/>
      <c r="I465" s="1020"/>
      <c r="J465" s="1020"/>
      <c r="K465" s="1020"/>
      <c r="L465" s="1020"/>
      <c r="M465" s="1020"/>
      <c r="N465" s="1026"/>
      <c r="O465" s="1026"/>
      <c r="P465" s="1026"/>
      <c r="Q465" s="1026"/>
      <c r="R465" s="1026"/>
      <c r="S465" s="1327"/>
      <c r="T465" s="1006">
        <f t="shared" si="87"/>
        <v>0</v>
      </c>
      <c r="U465" s="1006">
        <f t="shared" si="88"/>
        <v>0</v>
      </c>
      <c r="V465" s="1225">
        <f t="shared" si="89"/>
        <v>0</v>
      </c>
      <c r="W465" s="1225"/>
      <c r="X465" s="1006"/>
      <c r="Y465" s="1006"/>
      <c r="Z465" s="1225"/>
      <c r="AA465" s="1225"/>
      <c r="AB465" s="1020"/>
      <c r="AC465" s="1020"/>
      <c r="AD465" s="1020"/>
      <c r="AE465" s="1020"/>
      <c r="AF465" s="1173"/>
      <c r="AG465" s="1190"/>
      <c r="AH465" s="1076"/>
      <c r="AI465" s="1076"/>
      <c r="AJ465" s="1076"/>
      <c r="AK465" s="1076"/>
      <c r="AL465" s="1076"/>
      <c r="AM465" s="1076"/>
      <c r="AN465" s="1076"/>
      <c r="AO465" s="1076"/>
      <c r="AP465" s="1076"/>
      <c r="AQ465" s="1076"/>
      <c r="AR465" s="1076"/>
      <c r="AS465" s="1076"/>
      <c r="AT465" s="1076"/>
      <c r="AU465" s="1076"/>
      <c r="AV465" s="1076"/>
      <c r="AW465" s="1076"/>
      <c r="AX465" s="1076"/>
      <c r="AY465" s="1076"/>
    </row>
    <row r="466" spans="1:51" ht="19.149999999999999" customHeight="1" x14ac:dyDescent="0.25">
      <c r="A466" s="1189"/>
      <c r="B466" s="1018"/>
      <c r="C466" s="1153" t="s">
        <v>486</v>
      </c>
      <c r="D466" s="161" t="s">
        <v>340</v>
      </c>
      <c r="E466" s="1225"/>
      <c r="F466" s="1225"/>
      <c r="G466" s="1225"/>
      <c r="H466" s="1225"/>
      <c r="I466" s="1225"/>
      <c r="J466" s="1225"/>
      <c r="K466" s="1306"/>
      <c r="L466" s="1225"/>
      <c r="M466" s="1225"/>
      <c r="N466" s="1006"/>
      <c r="O466" s="1022"/>
      <c r="P466" s="1225"/>
      <c r="Q466" s="1022"/>
      <c r="R466" s="1022"/>
      <c r="S466" s="1327"/>
      <c r="T466" s="1006">
        <f t="shared" si="87"/>
        <v>0</v>
      </c>
      <c r="U466" s="1006">
        <f t="shared" si="88"/>
        <v>0</v>
      </c>
      <c r="V466" s="1225">
        <f t="shared" si="89"/>
        <v>0</v>
      </c>
      <c r="W466" s="1225"/>
      <c r="X466" s="1006"/>
      <c r="Y466" s="1006"/>
      <c r="Z466" s="1225"/>
      <c r="AA466" s="1225"/>
      <c r="AB466" s="1020"/>
      <c r="AC466" s="1020"/>
      <c r="AD466" s="1020"/>
      <c r="AE466" s="1020"/>
      <c r="AF466" s="1332"/>
      <c r="AG466" s="1274" t="str">
        <f>+C466</f>
        <v>7- BOSA</v>
      </c>
      <c r="AH466" s="1334" t="s">
        <v>615</v>
      </c>
      <c r="AI466" s="1334" t="s">
        <v>616</v>
      </c>
      <c r="AJ466" s="1275"/>
      <c r="AK466" s="1275" t="s">
        <v>457</v>
      </c>
      <c r="AL466" s="1275">
        <v>4</v>
      </c>
      <c r="AM466" s="1275" t="s">
        <v>603</v>
      </c>
      <c r="AN466" s="1282">
        <v>729785</v>
      </c>
      <c r="AO466" s="1277">
        <v>351203</v>
      </c>
      <c r="AP466" s="1277">
        <v>378578</v>
      </c>
      <c r="AQ466" s="1278" t="s">
        <v>459</v>
      </c>
      <c r="AR466" s="1278" t="s">
        <v>459</v>
      </c>
      <c r="AS466" s="1278" t="s">
        <v>459</v>
      </c>
      <c r="AT466" s="1278" t="s">
        <v>459</v>
      </c>
      <c r="AU466" s="1278" t="s">
        <v>459</v>
      </c>
      <c r="AV466" s="1278" t="s">
        <v>459</v>
      </c>
      <c r="AW466" s="1278" t="s">
        <v>459</v>
      </c>
      <c r="AX466" s="1282">
        <v>729785</v>
      </c>
      <c r="AY466" s="1232"/>
    </row>
    <row r="467" spans="1:51" ht="19.149999999999999" customHeight="1" x14ac:dyDescent="0.25">
      <c r="A467" s="1189"/>
      <c r="B467" s="1018"/>
      <c r="C467" s="1018"/>
      <c r="D467" s="164" t="s">
        <v>343</v>
      </c>
      <c r="E467" s="1020"/>
      <c r="F467" s="1020"/>
      <c r="G467" s="1020"/>
      <c r="H467" s="1020"/>
      <c r="I467" s="1020"/>
      <c r="J467" s="1225"/>
      <c r="K467" s="1225"/>
      <c r="L467" s="1225"/>
      <c r="M467" s="1225"/>
      <c r="N467" s="1225"/>
      <c r="O467" s="1225"/>
      <c r="P467" s="1225"/>
      <c r="Q467" s="1225"/>
      <c r="R467" s="1225"/>
      <c r="S467" s="1022"/>
      <c r="T467" s="1006">
        <f t="shared" si="87"/>
        <v>0</v>
      </c>
      <c r="U467" s="1006">
        <f t="shared" si="88"/>
        <v>0</v>
      </c>
      <c r="V467" s="1225">
        <f t="shared" si="89"/>
        <v>0</v>
      </c>
      <c r="W467" s="1225"/>
      <c r="X467" s="1006"/>
      <c r="Y467" s="1006"/>
      <c r="Z467" s="1225"/>
      <c r="AA467" s="1225"/>
      <c r="AB467" s="1020"/>
      <c r="AC467" s="1020"/>
      <c r="AD467" s="1020"/>
      <c r="AE467" s="1020"/>
      <c r="AF467" s="1203"/>
      <c r="AG467" s="1204"/>
      <c r="AH467" s="1073"/>
      <c r="AI467" s="1073"/>
      <c r="AJ467" s="1073"/>
      <c r="AK467" s="1073"/>
      <c r="AL467" s="1073"/>
      <c r="AM467" s="1073"/>
      <c r="AN467" s="1073"/>
      <c r="AO467" s="1073"/>
      <c r="AP467" s="1073"/>
      <c r="AQ467" s="1073"/>
      <c r="AR467" s="1073"/>
      <c r="AS467" s="1073"/>
      <c r="AT467" s="1073"/>
      <c r="AU467" s="1073"/>
      <c r="AV467" s="1073"/>
      <c r="AW467" s="1073"/>
      <c r="AX467" s="1073"/>
      <c r="AY467" s="1073"/>
    </row>
    <row r="468" spans="1:51" ht="28.9" customHeight="1" x14ac:dyDescent="0.25">
      <c r="A468" s="1189"/>
      <c r="B468" s="1018"/>
      <c r="C468" s="1018"/>
      <c r="D468" s="165" t="s">
        <v>345</v>
      </c>
      <c r="E468" s="1020"/>
      <c r="F468" s="1020"/>
      <c r="G468" s="1020"/>
      <c r="H468" s="1020"/>
      <c r="I468" s="1020"/>
      <c r="J468" s="1020"/>
      <c r="K468" s="1335"/>
      <c r="L468" s="1020"/>
      <c r="M468" s="1020"/>
      <c r="N468" s="1059"/>
      <c r="O468" s="1327"/>
      <c r="P468" s="1327"/>
      <c r="Q468" s="1327"/>
      <c r="R468" s="1327"/>
      <c r="S468" s="1022"/>
      <c r="T468" s="1006">
        <f t="shared" si="87"/>
        <v>0</v>
      </c>
      <c r="U468" s="1006">
        <f t="shared" si="88"/>
        <v>0</v>
      </c>
      <c r="V468" s="1225">
        <f t="shared" si="89"/>
        <v>0</v>
      </c>
      <c r="W468" s="1225"/>
      <c r="X468" s="1006"/>
      <c r="Y468" s="1006"/>
      <c r="Z468" s="1225"/>
      <c r="AA468" s="1225"/>
      <c r="AB468" s="1020"/>
      <c r="AC468" s="1020"/>
      <c r="AD468" s="1020"/>
      <c r="AE468" s="1020"/>
      <c r="AF468" s="1203"/>
      <c r="AG468" s="1204"/>
      <c r="AH468" s="1073"/>
      <c r="AI468" s="1073"/>
      <c r="AJ468" s="1073"/>
      <c r="AK468" s="1073"/>
      <c r="AL468" s="1073"/>
      <c r="AM468" s="1073"/>
      <c r="AN468" s="1073"/>
      <c r="AO468" s="1073"/>
      <c r="AP468" s="1073"/>
      <c r="AQ468" s="1073"/>
      <c r="AR468" s="1073"/>
      <c r="AS468" s="1073"/>
      <c r="AT468" s="1073"/>
      <c r="AU468" s="1073"/>
      <c r="AV468" s="1073"/>
      <c r="AW468" s="1073"/>
      <c r="AX468" s="1073"/>
      <c r="AY468" s="1073"/>
    </row>
    <row r="469" spans="1:51" ht="28.9" customHeight="1" x14ac:dyDescent="0.25">
      <c r="A469" s="1189"/>
      <c r="B469" s="1018"/>
      <c r="C469" s="1018"/>
      <c r="D469" s="164" t="s">
        <v>346</v>
      </c>
      <c r="E469" s="1020"/>
      <c r="F469" s="1020"/>
      <c r="G469" s="1020"/>
      <c r="H469" s="1020"/>
      <c r="I469" s="1020"/>
      <c r="J469" s="1020"/>
      <c r="K469" s="1020"/>
      <c r="L469" s="1020"/>
      <c r="M469" s="1020"/>
      <c r="N469" s="1020"/>
      <c r="O469" s="1020"/>
      <c r="P469" s="1327"/>
      <c r="Q469" s="1327"/>
      <c r="R469" s="1327"/>
      <c r="S469" s="1022"/>
      <c r="T469" s="1006">
        <f t="shared" si="87"/>
        <v>0</v>
      </c>
      <c r="U469" s="1006">
        <f t="shared" si="88"/>
        <v>0</v>
      </c>
      <c r="V469" s="1225">
        <f t="shared" si="89"/>
        <v>0</v>
      </c>
      <c r="W469" s="1225"/>
      <c r="X469" s="1006"/>
      <c r="Y469" s="1006"/>
      <c r="Z469" s="1225"/>
      <c r="AA469" s="1225"/>
      <c r="AB469" s="1020"/>
      <c r="AC469" s="1020"/>
      <c r="AD469" s="1020"/>
      <c r="AE469" s="1020"/>
      <c r="AF469" s="1203"/>
      <c r="AG469" s="1204"/>
      <c r="AH469" s="1073"/>
      <c r="AI469" s="1073"/>
      <c r="AJ469" s="1073"/>
      <c r="AK469" s="1073"/>
      <c r="AL469" s="1073"/>
      <c r="AM469" s="1073"/>
      <c r="AN469" s="1073"/>
      <c r="AO469" s="1073"/>
      <c r="AP469" s="1073"/>
      <c r="AQ469" s="1073"/>
      <c r="AR469" s="1073"/>
      <c r="AS469" s="1073"/>
      <c r="AT469" s="1073"/>
      <c r="AU469" s="1073"/>
      <c r="AV469" s="1073"/>
      <c r="AW469" s="1073"/>
      <c r="AX469" s="1073"/>
      <c r="AY469" s="1073"/>
    </row>
    <row r="470" spans="1:51" ht="28.9" customHeight="1" x14ac:dyDescent="0.25">
      <c r="A470" s="1189"/>
      <c r="B470" s="1018"/>
      <c r="C470" s="1018"/>
      <c r="D470" s="165" t="s">
        <v>347</v>
      </c>
      <c r="E470" s="1225"/>
      <c r="F470" s="1225"/>
      <c r="G470" s="1225"/>
      <c r="H470" s="1225"/>
      <c r="I470" s="1225"/>
      <c r="J470" s="1225"/>
      <c r="K470" s="1306"/>
      <c r="L470" s="1225"/>
      <c r="M470" s="1225"/>
      <c r="N470" s="1225"/>
      <c r="O470" s="1022"/>
      <c r="P470" s="1225"/>
      <c r="Q470" s="1022"/>
      <c r="R470" s="1022"/>
      <c r="S470" s="1022"/>
      <c r="T470" s="1006">
        <f t="shared" si="87"/>
        <v>0</v>
      </c>
      <c r="U470" s="1006">
        <f t="shared" si="88"/>
        <v>0</v>
      </c>
      <c r="V470" s="1225">
        <f t="shared" si="89"/>
        <v>0</v>
      </c>
      <c r="W470" s="1225"/>
      <c r="X470" s="1006"/>
      <c r="Y470" s="1006"/>
      <c r="Z470" s="1225"/>
      <c r="AA470" s="1225"/>
      <c r="AB470" s="1020"/>
      <c r="AC470" s="1020"/>
      <c r="AD470" s="1020"/>
      <c r="AE470" s="1020"/>
      <c r="AF470" s="1203"/>
      <c r="AG470" s="1204"/>
      <c r="AH470" s="1073"/>
      <c r="AI470" s="1073"/>
      <c r="AJ470" s="1073"/>
      <c r="AK470" s="1073"/>
      <c r="AL470" s="1073"/>
      <c r="AM470" s="1073"/>
      <c r="AN470" s="1073"/>
      <c r="AO470" s="1073"/>
      <c r="AP470" s="1073"/>
      <c r="AQ470" s="1073"/>
      <c r="AR470" s="1073"/>
      <c r="AS470" s="1073"/>
      <c r="AT470" s="1073"/>
      <c r="AU470" s="1073"/>
      <c r="AV470" s="1073"/>
      <c r="AW470" s="1073"/>
      <c r="AX470" s="1073"/>
      <c r="AY470" s="1073"/>
    </row>
    <row r="471" spans="1:51" ht="28.9" customHeight="1" x14ac:dyDescent="0.25">
      <c r="A471" s="1189"/>
      <c r="B471" s="1018"/>
      <c r="C471" s="1048"/>
      <c r="D471" s="164" t="s">
        <v>348</v>
      </c>
      <c r="E471" s="1026"/>
      <c r="F471" s="1026"/>
      <c r="G471" s="1026"/>
      <c r="H471" s="1026"/>
      <c r="I471" s="1020"/>
      <c r="J471" s="1020"/>
      <c r="K471" s="1020"/>
      <c r="L471" s="1026"/>
      <c r="M471" s="1026"/>
      <c r="N471" s="1026"/>
      <c r="O471" s="1026"/>
      <c r="P471" s="1026"/>
      <c r="Q471" s="1026"/>
      <c r="R471" s="1026"/>
      <c r="S471" s="1327"/>
      <c r="T471" s="1006">
        <f t="shared" si="87"/>
        <v>0</v>
      </c>
      <c r="U471" s="1006">
        <f t="shared" si="88"/>
        <v>0</v>
      </c>
      <c r="V471" s="1225">
        <f t="shared" si="89"/>
        <v>0</v>
      </c>
      <c r="W471" s="1225"/>
      <c r="X471" s="1006"/>
      <c r="Y471" s="1006"/>
      <c r="Z471" s="1225"/>
      <c r="AA471" s="1225"/>
      <c r="AB471" s="1020"/>
      <c r="AC471" s="1020"/>
      <c r="AD471" s="1020"/>
      <c r="AE471" s="1020"/>
      <c r="AF471" s="1173"/>
      <c r="AG471" s="1190"/>
      <c r="AH471" s="1076"/>
      <c r="AI471" s="1076"/>
      <c r="AJ471" s="1076"/>
      <c r="AK471" s="1076"/>
      <c r="AL471" s="1076"/>
      <c r="AM471" s="1076"/>
      <c r="AN471" s="1076"/>
      <c r="AO471" s="1076"/>
      <c r="AP471" s="1076"/>
      <c r="AQ471" s="1076"/>
      <c r="AR471" s="1076"/>
      <c r="AS471" s="1076"/>
      <c r="AT471" s="1076"/>
      <c r="AU471" s="1076"/>
      <c r="AV471" s="1076"/>
      <c r="AW471" s="1076"/>
      <c r="AX471" s="1076"/>
      <c r="AY471" s="1076"/>
    </row>
    <row r="472" spans="1:51" ht="19.149999999999999" customHeight="1" x14ac:dyDescent="0.25">
      <c r="A472" s="1189"/>
      <c r="B472" s="1018"/>
      <c r="C472" s="1378" t="s">
        <v>527</v>
      </c>
      <c r="D472" s="161" t="s">
        <v>340</v>
      </c>
      <c r="E472" s="1225"/>
      <c r="F472" s="1225"/>
      <c r="G472" s="1225"/>
      <c r="H472" s="1225">
        <v>1</v>
      </c>
      <c r="I472" s="1225">
        <v>1</v>
      </c>
      <c r="J472" s="1225"/>
      <c r="K472" s="1306"/>
      <c r="L472" s="1225"/>
      <c r="M472" s="1225"/>
      <c r="N472" s="1006"/>
      <c r="O472" s="1022"/>
      <c r="P472" s="1225"/>
      <c r="Q472" s="1022"/>
      <c r="R472" s="1022"/>
      <c r="S472" s="1327"/>
      <c r="T472" s="1006">
        <f t="shared" si="87"/>
        <v>0</v>
      </c>
      <c r="U472" s="1006">
        <f t="shared" si="88"/>
        <v>1</v>
      </c>
      <c r="V472" s="1225">
        <f t="shared" si="89"/>
        <v>1</v>
      </c>
      <c r="W472" s="1225"/>
      <c r="X472" s="1006"/>
      <c r="Y472" s="1006"/>
      <c r="Z472" s="1225"/>
      <c r="AA472" s="1225"/>
      <c r="AB472" s="1020"/>
      <c r="AC472" s="1020"/>
      <c r="AD472" s="1020"/>
      <c r="AE472" s="1020"/>
      <c r="AF472" s="1332" t="s">
        <v>1481</v>
      </c>
      <c r="AG472" s="1274" t="str">
        <f>+C472</f>
        <v>8- KENNEDY</v>
      </c>
      <c r="AH472" s="1334" t="s">
        <v>617</v>
      </c>
      <c r="AI472" s="1334" t="s">
        <v>618</v>
      </c>
      <c r="AJ472" s="1275"/>
      <c r="AK472" s="1275" t="s">
        <v>457</v>
      </c>
      <c r="AL472" s="1275" t="s">
        <v>610</v>
      </c>
      <c r="AM472" s="1275" t="s">
        <v>603</v>
      </c>
      <c r="AN472" s="1282">
        <v>1035224</v>
      </c>
      <c r="AO472" s="1277">
        <v>501861</v>
      </c>
      <c r="AP472" s="1277">
        <v>533363</v>
      </c>
      <c r="AQ472" s="1278" t="s">
        <v>459</v>
      </c>
      <c r="AR472" s="1278" t="s">
        <v>459</v>
      </c>
      <c r="AS472" s="1278" t="s">
        <v>459</v>
      </c>
      <c r="AT472" s="1278" t="s">
        <v>459</v>
      </c>
      <c r="AU472" s="1278" t="s">
        <v>459</v>
      </c>
      <c r="AV472" s="1278" t="s">
        <v>459</v>
      </c>
      <c r="AW472" s="1278" t="s">
        <v>459</v>
      </c>
      <c r="AX472" s="1282">
        <v>1035224</v>
      </c>
      <c r="AY472" s="1332" t="s">
        <v>1484</v>
      </c>
    </row>
    <row r="473" spans="1:51" ht="19.149999999999999" customHeight="1" x14ac:dyDescent="0.25">
      <c r="A473" s="1189"/>
      <c r="B473" s="1018"/>
      <c r="C473" s="1379"/>
      <c r="D473" s="164" t="s">
        <v>343</v>
      </c>
      <c r="E473" s="1020"/>
      <c r="F473" s="1020"/>
      <c r="G473" s="1020"/>
      <c r="H473" s="1225">
        <f>+H472*$U$419/$U$418</f>
        <v>4641500</v>
      </c>
      <c r="I473" s="1225">
        <f>+I472*$V$419/$V$418</f>
        <v>3704000</v>
      </c>
      <c r="J473" s="1225"/>
      <c r="K473" s="1225"/>
      <c r="L473" s="1225"/>
      <c r="M473" s="1225"/>
      <c r="N473" s="1225"/>
      <c r="O473" s="1225"/>
      <c r="P473" s="1225"/>
      <c r="Q473" s="1225"/>
      <c r="R473" s="1225"/>
      <c r="S473" s="1022"/>
      <c r="T473" s="1006">
        <f t="shared" si="87"/>
        <v>0</v>
      </c>
      <c r="U473" s="1006">
        <f t="shared" si="88"/>
        <v>4641500</v>
      </c>
      <c r="V473" s="1225">
        <f t="shared" si="89"/>
        <v>3704000</v>
      </c>
      <c r="W473" s="1225"/>
      <c r="X473" s="1006"/>
      <c r="Y473" s="1006"/>
      <c r="Z473" s="1225"/>
      <c r="AA473" s="1225"/>
      <c r="AB473" s="1020"/>
      <c r="AC473" s="1020"/>
      <c r="AD473" s="1020"/>
      <c r="AE473" s="1020"/>
      <c r="AF473" s="1203"/>
      <c r="AG473" s="1204"/>
      <c r="AH473" s="1073"/>
      <c r="AI473" s="1073"/>
      <c r="AJ473" s="1073"/>
      <c r="AK473" s="1073"/>
      <c r="AL473" s="1073"/>
      <c r="AM473" s="1073"/>
      <c r="AN473" s="1073"/>
      <c r="AO473" s="1073"/>
      <c r="AP473" s="1073"/>
      <c r="AQ473" s="1073"/>
      <c r="AR473" s="1073"/>
      <c r="AS473" s="1073"/>
      <c r="AT473" s="1073"/>
      <c r="AU473" s="1073"/>
      <c r="AV473" s="1073"/>
      <c r="AW473" s="1073"/>
      <c r="AX473" s="1073"/>
      <c r="AY473" s="1203"/>
    </row>
    <row r="474" spans="1:51" ht="28.9" customHeight="1" x14ac:dyDescent="0.25">
      <c r="A474" s="1189"/>
      <c r="B474" s="1018"/>
      <c r="C474" s="1379"/>
      <c r="D474" s="165" t="s">
        <v>345</v>
      </c>
      <c r="E474" s="1020"/>
      <c r="F474" s="1020"/>
      <c r="G474" s="1020"/>
      <c r="H474" s="1020"/>
      <c r="I474" s="1020"/>
      <c r="J474" s="1020"/>
      <c r="K474" s="1335"/>
      <c r="L474" s="1020"/>
      <c r="M474" s="1020"/>
      <c r="N474" s="1059"/>
      <c r="O474" s="1327"/>
      <c r="P474" s="1327"/>
      <c r="Q474" s="1327"/>
      <c r="R474" s="1327"/>
      <c r="S474" s="1022"/>
      <c r="T474" s="1006">
        <f t="shared" si="87"/>
        <v>0</v>
      </c>
      <c r="U474" s="1006">
        <f t="shared" si="88"/>
        <v>0</v>
      </c>
      <c r="V474" s="1225">
        <f t="shared" si="89"/>
        <v>0</v>
      </c>
      <c r="W474" s="1225"/>
      <c r="X474" s="1006"/>
      <c r="Y474" s="1006"/>
      <c r="Z474" s="1225"/>
      <c r="AA474" s="1225"/>
      <c r="AB474" s="1020"/>
      <c r="AC474" s="1020"/>
      <c r="AD474" s="1020"/>
      <c r="AE474" s="1020"/>
      <c r="AF474" s="1203"/>
      <c r="AG474" s="1204"/>
      <c r="AH474" s="1073"/>
      <c r="AI474" s="1073"/>
      <c r="AJ474" s="1073"/>
      <c r="AK474" s="1073"/>
      <c r="AL474" s="1073"/>
      <c r="AM474" s="1073"/>
      <c r="AN474" s="1073"/>
      <c r="AO474" s="1073"/>
      <c r="AP474" s="1073"/>
      <c r="AQ474" s="1073"/>
      <c r="AR474" s="1073"/>
      <c r="AS474" s="1073"/>
      <c r="AT474" s="1073"/>
      <c r="AU474" s="1073"/>
      <c r="AV474" s="1073"/>
      <c r="AW474" s="1073"/>
      <c r="AX474" s="1073"/>
      <c r="AY474" s="1203"/>
    </row>
    <row r="475" spans="1:51" ht="28.9" customHeight="1" x14ac:dyDescent="0.25">
      <c r="A475" s="1189"/>
      <c r="B475" s="1018"/>
      <c r="C475" s="1379"/>
      <c r="D475" s="164" t="s">
        <v>346</v>
      </c>
      <c r="E475" s="1020"/>
      <c r="F475" s="1020"/>
      <c r="G475" s="1020"/>
      <c r="H475" s="1020">
        <f>+$U$421/13</f>
        <v>9762277.307692308</v>
      </c>
      <c r="I475" s="1020">
        <f>+$V$421/13</f>
        <v>10421357.538461538</v>
      </c>
      <c r="J475" s="1020"/>
      <c r="K475" s="1020"/>
      <c r="L475" s="1020"/>
      <c r="M475" s="1020"/>
      <c r="N475" s="1020"/>
      <c r="O475" s="1020"/>
      <c r="P475" s="1327"/>
      <c r="Q475" s="1327"/>
      <c r="R475" s="1327"/>
      <c r="S475" s="1022"/>
      <c r="T475" s="1006">
        <f t="shared" si="87"/>
        <v>0</v>
      </c>
      <c r="U475" s="1006">
        <f t="shared" si="88"/>
        <v>9762277.307692308</v>
      </c>
      <c r="V475" s="1225">
        <f t="shared" si="89"/>
        <v>10421357.538461538</v>
      </c>
      <c r="W475" s="1225"/>
      <c r="X475" s="1006"/>
      <c r="Y475" s="1006"/>
      <c r="Z475" s="1225"/>
      <c r="AA475" s="1225"/>
      <c r="AB475" s="1020"/>
      <c r="AC475" s="1020"/>
      <c r="AD475" s="1020"/>
      <c r="AE475" s="1020"/>
      <c r="AF475" s="1203"/>
      <c r="AG475" s="1204"/>
      <c r="AH475" s="1073"/>
      <c r="AI475" s="1073"/>
      <c r="AJ475" s="1073"/>
      <c r="AK475" s="1073"/>
      <c r="AL475" s="1073"/>
      <c r="AM475" s="1073"/>
      <c r="AN475" s="1073"/>
      <c r="AO475" s="1073"/>
      <c r="AP475" s="1073"/>
      <c r="AQ475" s="1073"/>
      <c r="AR475" s="1073"/>
      <c r="AS475" s="1073"/>
      <c r="AT475" s="1073"/>
      <c r="AU475" s="1073"/>
      <c r="AV475" s="1073"/>
      <c r="AW475" s="1073"/>
      <c r="AX475" s="1073"/>
      <c r="AY475" s="1203"/>
    </row>
    <row r="476" spans="1:51" ht="28.9" customHeight="1" x14ac:dyDescent="0.25">
      <c r="A476" s="1189"/>
      <c r="B476" s="1018"/>
      <c r="C476" s="1379"/>
      <c r="D476" s="165" t="s">
        <v>347</v>
      </c>
      <c r="E476" s="1225"/>
      <c r="F476" s="1225"/>
      <c r="G476" s="1225"/>
      <c r="H476" s="1225">
        <v>1</v>
      </c>
      <c r="I476" s="1225">
        <v>1</v>
      </c>
      <c r="J476" s="1225"/>
      <c r="K476" s="1306"/>
      <c r="L476" s="1225"/>
      <c r="M476" s="1225"/>
      <c r="N476" s="1225"/>
      <c r="O476" s="1022"/>
      <c r="P476" s="1225"/>
      <c r="Q476" s="1022"/>
      <c r="R476" s="1022"/>
      <c r="S476" s="1022"/>
      <c r="T476" s="1006">
        <f t="shared" si="87"/>
        <v>0</v>
      </c>
      <c r="U476" s="1006">
        <f t="shared" si="88"/>
        <v>1</v>
      </c>
      <c r="V476" s="1225">
        <f t="shared" si="89"/>
        <v>1</v>
      </c>
      <c r="W476" s="1225"/>
      <c r="X476" s="1006"/>
      <c r="Y476" s="1006"/>
      <c r="Z476" s="1225"/>
      <c r="AA476" s="1225"/>
      <c r="AB476" s="1020"/>
      <c r="AC476" s="1020"/>
      <c r="AD476" s="1020"/>
      <c r="AE476" s="1020"/>
      <c r="AF476" s="1203"/>
      <c r="AG476" s="1204"/>
      <c r="AH476" s="1073"/>
      <c r="AI476" s="1073"/>
      <c r="AJ476" s="1073"/>
      <c r="AK476" s="1073"/>
      <c r="AL476" s="1073"/>
      <c r="AM476" s="1073"/>
      <c r="AN476" s="1073"/>
      <c r="AO476" s="1073"/>
      <c r="AP476" s="1073"/>
      <c r="AQ476" s="1073"/>
      <c r="AR476" s="1073"/>
      <c r="AS476" s="1073"/>
      <c r="AT476" s="1073"/>
      <c r="AU476" s="1073"/>
      <c r="AV476" s="1073"/>
      <c r="AW476" s="1073"/>
      <c r="AX476" s="1073"/>
      <c r="AY476" s="1203"/>
    </row>
    <row r="477" spans="1:51" ht="28.9" customHeight="1" x14ac:dyDescent="0.25">
      <c r="A477" s="1189"/>
      <c r="B477" s="1018"/>
      <c r="C477" s="1169"/>
      <c r="D477" s="164" t="s">
        <v>348</v>
      </c>
      <c r="E477" s="1026"/>
      <c r="F477" s="1026"/>
      <c r="G477" s="1020"/>
      <c r="H477" s="1026">
        <f>+H473+H475</f>
        <v>14403777.307692308</v>
      </c>
      <c r="I477" s="1026">
        <f>+I473+I475</f>
        <v>14125357.538461538</v>
      </c>
      <c r="J477" s="1020"/>
      <c r="K477" s="1020"/>
      <c r="L477" s="1026"/>
      <c r="M477" s="1026"/>
      <c r="N477" s="1026"/>
      <c r="O477" s="1026"/>
      <c r="P477" s="1026"/>
      <c r="Q477" s="1026"/>
      <c r="R477" s="1026"/>
      <c r="S477" s="1327"/>
      <c r="T477" s="1006">
        <f t="shared" si="87"/>
        <v>0</v>
      </c>
      <c r="U477" s="1006">
        <f t="shared" si="88"/>
        <v>14403777.307692308</v>
      </c>
      <c r="V477" s="1225">
        <f t="shared" si="89"/>
        <v>14125357.538461538</v>
      </c>
      <c r="W477" s="1225"/>
      <c r="X477" s="1006"/>
      <c r="Y477" s="1006"/>
      <c r="Z477" s="1225"/>
      <c r="AA477" s="1225"/>
      <c r="AB477" s="1020"/>
      <c r="AC477" s="1020"/>
      <c r="AD477" s="1020"/>
      <c r="AE477" s="1020"/>
      <c r="AF477" s="1173"/>
      <c r="AG477" s="1190"/>
      <c r="AH477" s="1076"/>
      <c r="AI477" s="1076"/>
      <c r="AJ477" s="1076"/>
      <c r="AK477" s="1076"/>
      <c r="AL477" s="1076"/>
      <c r="AM477" s="1076"/>
      <c r="AN477" s="1076"/>
      <c r="AO477" s="1076"/>
      <c r="AP477" s="1076"/>
      <c r="AQ477" s="1076"/>
      <c r="AR477" s="1076"/>
      <c r="AS477" s="1076"/>
      <c r="AT477" s="1076"/>
      <c r="AU477" s="1076"/>
      <c r="AV477" s="1076"/>
      <c r="AW477" s="1076"/>
      <c r="AX477" s="1076"/>
      <c r="AY477" s="1173"/>
    </row>
    <row r="478" spans="1:51" ht="19.149999999999999" customHeight="1" x14ac:dyDescent="0.25">
      <c r="A478" s="1189"/>
      <c r="B478" s="1018"/>
      <c r="C478" s="1153" t="s">
        <v>619</v>
      </c>
      <c r="D478" s="161" t="s">
        <v>340</v>
      </c>
      <c r="E478" s="1225"/>
      <c r="F478" s="1225"/>
      <c r="G478" s="1225">
        <v>1</v>
      </c>
      <c r="H478" s="1225">
        <v>2</v>
      </c>
      <c r="I478" s="1225">
        <v>6</v>
      </c>
      <c r="J478" s="1225"/>
      <c r="K478" s="1306"/>
      <c r="L478" s="1225"/>
      <c r="M478" s="1225"/>
      <c r="N478" s="1006"/>
      <c r="O478" s="1022"/>
      <c r="P478" s="1225"/>
      <c r="Q478" s="1022"/>
      <c r="R478" s="1022"/>
      <c r="S478" s="1327"/>
      <c r="T478" s="1006">
        <f t="shared" si="87"/>
        <v>1</v>
      </c>
      <c r="U478" s="1006">
        <f t="shared" si="88"/>
        <v>2</v>
      </c>
      <c r="V478" s="1225">
        <f t="shared" si="89"/>
        <v>6</v>
      </c>
      <c r="W478" s="1225"/>
      <c r="X478" s="1006"/>
      <c r="Y478" s="1006"/>
      <c r="Z478" s="1225"/>
      <c r="AA478" s="1225"/>
      <c r="AB478" s="1020"/>
      <c r="AC478" s="1020"/>
      <c r="AD478" s="1020"/>
      <c r="AE478" s="1020"/>
      <c r="AF478" s="1332" t="s">
        <v>1564</v>
      </c>
      <c r="AG478" s="1274" t="s">
        <v>619</v>
      </c>
      <c r="AH478" s="1334" t="s">
        <v>1436</v>
      </c>
      <c r="AI478" s="1334" t="s">
        <v>1437</v>
      </c>
      <c r="AJ478" s="1275" t="s">
        <v>1433</v>
      </c>
      <c r="AK478" s="1275" t="s">
        <v>457</v>
      </c>
      <c r="AL478" s="1275" t="s">
        <v>610</v>
      </c>
      <c r="AM478" s="1275" t="s">
        <v>603</v>
      </c>
      <c r="AN478" s="1282">
        <v>408155</v>
      </c>
      <c r="AO478" s="1277">
        <v>189984</v>
      </c>
      <c r="AP478" s="1277">
        <v>218171</v>
      </c>
      <c r="AQ478" s="1278" t="s">
        <v>459</v>
      </c>
      <c r="AR478" s="1278" t="s">
        <v>459</v>
      </c>
      <c r="AS478" s="1278" t="s">
        <v>459</v>
      </c>
      <c r="AT478" s="1278" t="s">
        <v>459</v>
      </c>
      <c r="AU478" s="1278" t="s">
        <v>459</v>
      </c>
      <c r="AV478" s="1278" t="s">
        <v>459</v>
      </c>
      <c r="AW478" s="1278" t="s">
        <v>459</v>
      </c>
      <c r="AX478" s="1282">
        <v>404252</v>
      </c>
      <c r="AY478" s="1232" t="s">
        <v>1565</v>
      </c>
    </row>
    <row r="479" spans="1:51" ht="19.149999999999999" customHeight="1" x14ac:dyDescent="0.25">
      <c r="A479" s="1189"/>
      <c r="B479" s="1018"/>
      <c r="C479" s="1018"/>
      <c r="D479" s="164" t="s">
        <v>343</v>
      </c>
      <c r="E479" s="1020"/>
      <c r="F479" s="1020"/>
      <c r="G479" s="1225">
        <f>+G478*$T$419/$T$418</f>
        <v>1057466.6666666667</v>
      </c>
      <c r="H479" s="1225">
        <f>+H478*$U$419/$U$418</f>
        <v>9283000</v>
      </c>
      <c r="I479" s="1225">
        <f>+I478*$V$419/$V$418</f>
        <v>22224000</v>
      </c>
      <c r="J479" s="1225"/>
      <c r="K479" s="1225"/>
      <c r="L479" s="1225"/>
      <c r="M479" s="1225"/>
      <c r="N479" s="1225"/>
      <c r="O479" s="1225"/>
      <c r="P479" s="1225"/>
      <c r="Q479" s="1225"/>
      <c r="R479" s="1225"/>
      <c r="S479" s="1022"/>
      <c r="T479" s="1006">
        <f t="shared" si="87"/>
        <v>1057466.6666666667</v>
      </c>
      <c r="U479" s="1006">
        <f t="shared" si="88"/>
        <v>9283000</v>
      </c>
      <c r="V479" s="1225">
        <f t="shared" si="89"/>
        <v>22224000</v>
      </c>
      <c r="W479" s="1225"/>
      <c r="X479" s="1006"/>
      <c r="Y479" s="1006"/>
      <c r="Z479" s="1225"/>
      <c r="AA479" s="1225"/>
      <c r="AB479" s="1020"/>
      <c r="AC479" s="1020"/>
      <c r="AD479" s="1020"/>
      <c r="AE479" s="1020"/>
      <c r="AF479" s="1203"/>
      <c r="AG479" s="1204"/>
      <c r="AH479" s="1073"/>
      <c r="AI479" s="1073"/>
      <c r="AJ479" s="1073"/>
      <c r="AK479" s="1073"/>
      <c r="AL479" s="1073"/>
      <c r="AM479" s="1073"/>
      <c r="AN479" s="1073"/>
      <c r="AO479" s="1073"/>
      <c r="AP479" s="1073"/>
      <c r="AQ479" s="1073"/>
      <c r="AR479" s="1073"/>
      <c r="AS479" s="1073"/>
      <c r="AT479" s="1073"/>
      <c r="AU479" s="1073"/>
      <c r="AV479" s="1073"/>
      <c r="AW479" s="1073"/>
      <c r="AX479" s="1073"/>
      <c r="AY479" s="1073"/>
    </row>
    <row r="480" spans="1:51" ht="28.9" customHeight="1" x14ac:dyDescent="0.25">
      <c r="A480" s="1189"/>
      <c r="B480" s="1018"/>
      <c r="C480" s="1018"/>
      <c r="D480" s="165" t="s">
        <v>345</v>
      </c>
      <c r="E480" s="1020"/>
      <c r="F480" s="1020"/>
      <c r="G480" s="1020"/>
      <c r="H480" s="1020"/>
      <c r="I480" s="1020"/>
      <c r="J480" s="1020"/>
      <c r="K480" s="1335"/>
      <c r="L480" s="1020"/>
      <c r="M480" s="1020"/>
      <c r="N480" s="1059"/>
      <c r="O480" s="1327"/>
      <c r="P480" s="1022"/>
      <c r="Q480" s="1327"/>
      <c r="R480" s="1327"/>
      <c r="S480" s="1022"/>
      <c r="T480" s="1006">
        <f t="shared" si="87"/>
        <v>0</v>
      </c>
      <c r="U480" s="1006">
        <f t="shared" si="88"/>
        <v>0</v>
      </c>
      <c r="V480" s="1225">
        <f t="shared" si="89"/>
        <v>0</v>
      </c>
      <c r="W480" s="1225"/>
      <c r="X480" s="1006"/>
      <c r="Y480" s="1006"/>
      <c r="Z480" s="1225"/>
      <c r="AA480" s="1225"/>
      <c r="AB480" s="1020"/>
      <c r="AC480" s="1020"/>
      <c r="AD480" s="1020"/>
      <c r="AE480" s="1020"/>
      <c r="AF480" s="1203"/>
      <c r="AG480" s="1204"/>
      <c r="AH480" s="1073"/>
      <c r="AI480" s="1073"/>
      <c r="AJ480" s="1073"/>
      <c r="AK480" s="1073"/>
      <c r="AL480" s="1073"/>
      <c r="AM480" s="1073"/>
      <c r="AN480" s="1073"/>
      <c r="AO480" s="1073"/>
      <c r="AP480" s="1073"/>
      <c r="AQ480" s="1073"/>
      <c r="AR480" s="1073"/>
      <c r="AS480" s="1073"/>
      <c r="AT480" s="1073"/>
      <c r="AU480" s="1073"/>
      <c r="AV480" s="1073"/>
      <c r="AW480" s="1073"/>
      <c r="AX480" s="1073"/>
      <c r="AY480" s="1073"/>
    </row>
    <row r="481" spans="1:51" ht="28.9" customHeight="1" x14ac:dyDescent="0.25">
      <c r="A481" s="1189"/>
      <c r="B481" s="1018"/>
      <c r="C481" s="1018"/>
      <c r="D481" s="164" t="s">
        <v>346</v>
      </c>
      <c r="E481" s="1020"/>
      <c r="F481" s="1020"/>
      <c r="G481" s="1020">
        <f>+$T$421/9</f>
        <v>8833422.555555556</v>
      </c>
      <c r="H481" s="1020">
        <f>+$U$421/13</f>
        <v>9762277.307692308</v>
      </c>
      <c r="I481" s="1020">
        <f>+$V$421/13</f>
        <v>10421357.538461538</v>
      </c>
      <c r="J481" s="1020"/>
      <c r="K481" s="1020"/>
      <c r="L481" s="1020"/>
      <c r="M481" s="1020"/>
      <c r="N481" s="1020"/>
      <c r="O481" s="1020"/>
      <c r="P481" s="1327"/>
      <c r="Q481" s="1327"/>
      <c r="R481" s="1327"/>
      <c r="S481" s="1022"/>
      <c r="T481" s="1006">
        <f t="shared" si="87"/>
        <v>8833422.555555556</v>
      </c>
      <c r="U481" s="1006">
        <f t="shared" si="88"/>
        <v>9762277.307692308</v>
      </c>
      <c r="V481" s="1225">
        <f t="shared" si="89"/>
        <v>10421357.538461538</v>
      </c>
      <c r="W481" s="1225"/>
      <c r="X481" s="1006"/>
      <c r="Y481" s="1006"/>
      <c r="Z481" s="1225"/>
      <c r="AA481" s="1225"/>
      <c r="AB481" s="1020"/>
      <c r="AC481" s="1020"/>
      <c r="AD481" s="1020"/>
      <c r="AE481" s="1020"/>
      <c r="AF481" s="1203"/>
      <c r="AG481" s="1204"/>
      <c r="AH481" s="1073"/>
      <c r="AI481" s="1073"/>
      <c r="AJ481" s="1073"/>
      <c r="AK481" s="1073"/>
      <c r="AL481" s="1073"/>
      <c r="AM481" s="1073"/>
      <c r="AN481" s="1073"/>
      <c r="AO481" s="1073"/>
      <c r="AP481" s="1073"/>
      <c r="AQ481" s="1073"/>
      <c r="AR481" s="1073"/>
      <c r="AS481" s="1073"/>
      <c r="AT481" s="1073"/>
      <c r="AU481" s="1073"/>
      <c r="AV481" s="1073"/>
      <c r="AW481" s="1073"/>
      <c r="AX481" s="1073"/>
      <c r="AY481" s="1073"/>
    </row>
    <row r="482" spans="1:51" ht="28.9" customHeight="1" x14ac:dyDescent="0.25">
      <c r="A482" s="1189"/>
      <c r="B482" s="1018"/>
      <c r="C482" s="1018"/>
      <c r="D482" s="165" t="s">
        <v>347</v>
      </c>
      <c r="E482" s="1225"/>
      <c r="F482" s="1225"/>
      <c r="G482" s="1225">
        <v>1</v>
      </c>
      <c r="H482" s="1225">
        <v>2</v>
      </c>
      <c r="I482" s="1225">
        <v>6</v>
      </c>
      <c r="J482" s="1225"/>
      <c r="K482" s="1306"/>
      <c r="L482" s="1225"/>
      <c r="M482" s="1225"/>
      <c r="N482" s="1225"/>
      <c r="O482" s="1022"/>
      <c r="P482" s="1225"/>
      <c r="Q482" s="1022"/>
      <c r="R482" s="1022"/>
      <c r="S482" s="1022"/>
      <c r="T482" s="1006">
        <f>+T478+T480</f>
        <v>1</v>
      </c>
      <c r="U482" s="1006">
        <f t="shared" si="88"/>
        <v>2</v>
      </c>
      <c r="V482" s="1225">
        <f t="shared" si="89"/>
        <v>6</v>
      </c>
      <c r="W482" s="1225"/>
      <c r="X482" s="1006"/>
      <c r="Y482" s="1006"/>
      <c r="Z482" s="1225"/>
      <c r="AA482" s="1225"/>
      <c r="AB482" s="1020"/>
      <c r="AC482" s="1020"/>
      <c r="AD482" s="1020"/>
      <c r="AE482" s="1020"/>
      <c r="AF482" s="1203"/>
      <c r="AG482" s="1204"/>
      <c r="AH482" s="1073"/>
      <c r="AI482" s="1073"/>
      <c r="AJ482" s="1073"/>
      <c r="AK482" s="1073"/>
      <c r="AL482" s="1073"/>
      <c r="AM482" s="1073"/>
      <c r="AN482" s="1073"/>
      <c r="AO482" s="1073"/>
      <c r="AP482" s="1073"/>
      <c r="AQ482" s="1073"/>
      <c r="AR482" s="1073"/>
      <c r="AS482" s="1073"/>
      <c r="AT482" s="1073"/>
      <c r="AU482" s="1073"/>
      <c r="AV482" s="1073"/>
      <c r="AW482" s="1073"/>
      <c r="AX482" s="1073"/>
      <c r="AY482" s="1073"/>
    </row>
    <row r="483" spans="1:51" ht="28.9" customHeight="1" x14ac:dyDescent="0.25">
      <c r="A483" s="1189"/>
      <c r="B483" s="1018"/>
      <c r="C483" s="1048"/>
      <c r="D483" s="164" t="s">
        <v>348</v>
      </c>
      <c r="E483" s="1026"/>
      <c r="F483" s="1026"/>
      <c r="G483" s="1026">
        <f>+G479+G481</f>
        <v>9890889.222222222</v>
      </c>
      <c r="H483" s="1026">
        <f>+H479+H481</f>
        <v>19045277.307692308</v>
      </c>
      <c r="I483" s="1026">
        <f>+I479+I481</f>
        <v>32645357.538461536</v>
      </c>
      <c r="J483" s="1020"/>
      <c r="K483" s="1020"/>
      <c r="L483" s="1026"/>
      <c r="M483" s="1026"/>
      <c r="N483" s="1026"/>
      <c r="O483" s="1026"/>
      <c r="P483" s="1026"/>
      <c r="Q483" s="1026"/>
      <c r="R483" s="1026"/>
      <c r="S483" s="1327"/>
      <c r="T483" s="1006">
        <f>+T479+T481</f>
        <v>9890889.222222222</v>
      </c>
      <c r="U483" s="1006">
        <f t="shared" si="88"/>
        <v>19045277.307692308</v>
      </c>
      <c r="V483" s="1225">
        <f t="shared" si="89"/>
        <v>32645357.538461536</v>
      </c>
      <c r="W483" s="1225"/>
      <c r="X483" s="1006"/>
      <c r="Y483" s="1006"/>
      <c r="Z483" s="1225"/>
      <c r="AA483" s="1225"/>
      <c r="AB483" s="1020"/>
      <c r="AC483" s="1020"/>
      <c r="AD483" s="1020"/>
      <c r="AE483" s="1020"/>
      <c r="AF483" s="1173"/>
      <c r="AG483" s="1190"/>
      <c r="AH483" s="1076"/>
      <c r="AI483" s="1076"/>
      <c r="AJ483" s="1076"/>
      <c r="AK483" s="1076"/>
      <c r="AL483" s="1076"/>
      <c r="AM483" s="1076"/>
      <c r="AN483" s="1076"/>
      <c r="AO483" s="1076"/>
      <c r="AP483" s="1076"/>
      <c r="AQ483" s="1076"/>
      <c r="AR483" s="1076"/>
      <c r="AS483" s="1076"/>
      <c r="AT483" s="1076"/>
      <c r="AU483" s="1076"/>
      <c r="AV483" s="1076"/>
      <c r="AW483" s="1076"/>
      <c r="AX483" s="1076"/>
      <c r="AY483" s="1076"/>
    </row>
    <row r="484" spans="1:51" ht="19.149999999999999" customHeight="1" x14ac:dyDescent="0.25">
      <c r="A484" s="1189"/>
      <c r="B484" s="1018"/>
      <c r="C484" s="1378" t="s">
        <v>620</v>
      </c>
      <c r="D484" s="161" t="s">
        <v>340</v>
      </c>
      <c r="E484" s="1225"/>
      <c r="F484" s="1225"/>
      <c r="G484" s="1225">
        <v>4</v>
      </c>
      <c r="H484" s="1225">
        <v>4</v>
      </c>
      <c r="I484" s="1225">
        <v>7</v>
      </c>
      <c r="J484" s="1225"/>
      <c r="K484" s="1306"/>
      <c r="L484" s="1225"/>
      <c r="M484" s="1225"/>
      <c r="N484" s="1006"/>
      <c r="O484" s="1022"/>
      <c r="P484" s="1225"/>
      <c r="Q484" s="1022"/>
      <c r="R484" s="1022"/>
      <c r="S484" s="1327"/>
      <c r="T484" s="1006">
        <f t="shared" si="87"/>
        <v>4</v>
      </c>
      <c r="U484" s="1006">
        <f t="shared" si="88"/>
        <v>4</v>
      </c>
      <c r="V484" s="1225">
        <f t="shared" si="89"/>
        <v>7</v>
      </c>
      <c r="W484" s="1225"/>
      <c r="X484" s="1006"/>
      <c r="Y484" s="1006"/>
      <c r="Z484" s="1225"/>
      <c r="AA484" s="1225"/>
      <c r="AB484" s="1020"/>
      <c r="AC484" s="1020"/>
      <c r="AD484" s="1020"/>
      <c r="AE484" s="1020"/>
      <c r="AF484" s="1332" t="s">
        <v>1566</v>
      </c>
      <c r="AG484" s="1274" t="str">
        <f>+C484</f>
        <v>10- ENGATIVA</v>
      </c>
      <c r="AH484" s="1334" t="s">
        <v>1438</v>
      </c>
      <c r="AI484" s="1334" t="s">
        <v>1439</v>
      </c>
      <c r="AJ484" s="1275" t="s">
        <v>1433</v>
      </c>
      <c r="AK484" s="1275" t="s">
        <v>457</v>
      </c>
      <c r="AL484" s="1275" t="s">
        <v>610</v>
      </c>
      <c r="AM484" s="1275" t="s">
        <v>603</v>
      </c>
      <c r="AN484" s="1282">
        <v>819441</v>
      </c>
      <c r="AO484" s="1277">
        <v>388871</v>
      </c>
      <c r="AP484" s="1277">
        <v>430570</v>
      </c>
      <c r="AQ484" s="1278" t="s">
        <v>459</v>
      </c>
      <c r="AR484" s="1278" t="s">
        <v>459</v>
      </c>
      <c r="AS484" s="1278" t="s">
        <v>459</v>
      </c>
      <c r="AT484" s="1278" t="s">
        <v>459</v>
      </c>
      <c r="AU484" s="1278" t="s">
        <v>459</v>
      </c>
      <c r="AV484" s="1278" t="s">
        <v>459</v>
      </c>
      <c r="AW484" s="1278" t="s">
        <v>459</v>
      </c>
      <c r="AX484" s="1282">
        <v>817019</v>
      </c>
      <c r="AY484" s="1232" t="s">
        <v>1567</v>
      </c>
    </row>
    <row r="485" spans="1:51" ht="19.149999999999999" customHeight="1" x14ac:dyDescent="0.25">
      <c r="A485" s="1189"/>
      <c r="B485" s="1018"/>
      <c r="C485" s="1379"/>
      <c r="D485" s="164" t="s">
        <v>343</v>
      </c>
      <c r="E485" s="1020"/>
      <c r="F485" s="1020"/>
      <c r="G485" s="1225">
        <f>+G484*$T$419/$T$418</f>
        <v>4229866.666666667</v>
      </c>
      <c r="H485" s="1225">
        <f>+H484*$U$419/$U$418</f>
        <v>18566000</v>
      </c>
      <c r="I485" s="1225">
        <f>+I484*$V$419/$V$418</f>
        <v>25928000</v>
      </c>
      <c r="J485" s="1225"/>
      <c r="K485" s="1225"/>
      <c r="L485" s="1225"/>
      <c r="M485" s="1225"/>
      <c r="N485" s="1225"/>
      <c r="O485" s="1225"/>
      <c r="P485" s="1225"/>
      <c r="Q485" s="1225"/>
      <c r="R485" s="1225"/>
      <c r="S485" s="1022"/>
      <c r="T485" s="1006">
        <f t="shared" si="87"/>
        <v>4229866.666666667</v>
      </c>
      <c r="U485" s="1006">
        <f t="shared" si="88"/>
        <v>18566000</v>
      </c>
      <c r="V485" s="1225">
        <f t="shared" si="89"/>
        <v>25928000</v>
      </c>
      <c r="W485" s="1225"/>
      <c r="X485" s="1006"/>
      <c r="Y485" s="1006"/>
      <c r="Z485" s="1225"/>
      <c r="AA485" s="1225"/>
      <c r="AB485" s="1020"/>
      <c r="AC485" s="1020"/>
      <c r="AD485" s="1020"/>
      <c r="AE485" s="1020"/>
      <c r="AF485" s="1203"/>
      <c r="AG485" s="1204"/>
      <c r="AH485" s="1073"/>
      <c r="AI485" s="1073"/>
      <c r="AJ485" s="1073"/>
      <c r="AK485" s="1073"/>
      <c r="AL485" s="1073"/>
      <c r="AM485" s="1073"/>
      <c r="AN485" s="1073"/>
      <c r="AO485" s="1073"/>
      <c r="AP485" s="1073"/>
      <c r="AQ485" s="1073"/>
      <c r="AR485" s="1073"/>
      <c r="AS485" s="1073"/>
      <c r="AT485" s="1073"/>
      <c r="AU485" s="1073"/>
      <c r="AV485" s="1073"/>
      <c r="AW485" s="1073"/>
      <c r="AX485" s="1073"/>
      <c r="AY485" s="1073"/>
    </row>
    <row r="486" spans="1:51" ht="28.9" customHeight="1" x14ac:dyDescent="0.25">
      <c r="A486" s="1189"/>
      <c r="B486" s="1018"/>
      <c r="C486" s="1379"/>
      <c r="D486" s="165" t="s">
        <v>345</v>
      </c>
      <c r="E486" s="1020"/>
      <c r="F486" s="1020"/>
      <c r="G486" s="1020"/>
      <c r="H486" s="1020"/>
      <c r="I486" s="1020"/>
      <c r="J486" s="1020"/>
      <c r="K486" s="1335"/>
      <c r="L486" s="1020"/>
      <c r="M486" s="1020"/>
      <c r="N486" s="1059"/>
      <c r="O486" s="1327"/>
      <c r="P486" s="1022"/>
      <c r="Q486" s="1327"/>
      <c r="R486" s="1327"/>
      <c r="S486" s="1022"/>
      <c r="T486" s="1006">
        <f t="shared" si="87"/>
        <v>0</v>
      </c>
      <c r="U486" s="1006">
        <f t="shared" si="88"/>
        <v>0</v>
      </c>
      <c r="V486" s="1225">
        <f t="shared" si="89"/>
        <v>0</v>
      </c>
      <c r="W486" s="1225"/>
      <c r="X486" s="1006"/>
      <c r="Y486" s="1006"/>
      <c r="Z486" s="1225"/>
      <c r="AA486" s="1225"/>
      <c r="AB486" s="1020"/>
      <c r="AC486" s="1020"/>
      <c r="AD486" s="1020"/>
      <c r="AE486" s="1020"/>
      <c r="AF486" s="1203"/>
      <c r="AG486" s="1204"/>
      <c r="AH486" s="1073"/>
      <c r="AI486" s="1073"/>
      <c r="AJ486" s="1073"/>
      <c r="AK486" s="1073"/>
      <c r="AL486" s="1073"/>
      <c r="AM486" s="1073"/>
      <c r="AN486" s="1073"/>
      <c r="AO486" s="1073"/>
      <c r="AP486" s="1073"/>
      <c r="AQ486" s="1073"/>
      <c r="AR486" s="1073"/>
      <c r="AS486" s="1073"/>
      <c r="AT486" s="1073"/>
      <c r="AU486" s="1073"/>
      <c r="AV486" s="1073"/>
      <c r="AW486" s="1073"/>
      <c r="AX486" s="1073"/>
      <c r="AY486" s="1073"/>
    </row>
    <row r="487" spans="1:51" ht="28.9" customHeight="1" x14ac:dyDescent="0.25">
      <c r="A487" s="1189"/>
      <c r="B487" s="1018"/>
      <c r="C487" s="1379"/>
      <c r="D487" s="164" t="s">
        <v>346</v>
      </c>
      <c r="E487" s="1020"/>
      <c r="F487" s="1020"/>
      <c r="G487" s="1020">
        <f>+$T$421/9</f>
        <v>8833422.555555556</v>
      </c>
      <c r="H487" s="1020">
        <f>+$U$421/13</f>
        <v>9762277.307692308</v>
      </c>
      <c r="I487" s="1020">
        <f>+$V$421/13</f>
        <v>10421357.538461538</v>
      </c>
      <c r="J487" s="1020"/>
      <c r="K487" s="1020"/>
      <c r="L487" s="1020"/>
      <c r="M487" s="1020"/>
      <c r="N487" s="1020"/>
      <c r="O487" s="1020"/>
      <c r="P487" s="1327"/>
      <c r="Q487" s="1327"/>
      <c r="R487" s="1327"/>
      <c r="S487" s="1022"/>
      <c r="T487" s="1006">
        <f t="shared" si="87"/>
        <v>8833422.555555556</v>
      </c>
      <c r="U487" s="1006">
        <f t="shared" si="88"/>
        <v>9762277.307692308</v>
      </c>
      <c r="V487" s="1225">
        <f t="shared" si="89"/>
        <v>10421357.538461538</v>
      </c>
      <c r="W487" s="1225"/>
      <c r="X487" s="1006"/>
      <c r="Y487" s="1006"/>
      <c r="Z487" s="1225"/>
      <c r="AA487" s="1225"/>
      <c r="AB487" s="1020"/>
      <c r="AC487" s="1020"/>
      <c r="AD487" s="1020"/>
      <c r="AE487" s="1020"/>
      <c r="AF487" s="1203"/>
      <c r="AG487" s="1204"/>
      <c r="AH487" s="1073"/>
      <c r="AI487" s="1073"/>
      <c r="AJ487" s="1073"/>
      <c r="AK487" s="1073"/>
      <c r="AL487" s="1073"/>
      <c r="AM487" s="1073"/>
      <c r="AN487" s="1073"/>
      <c r="AO487" s="1073"/>
      <c r="AP487" s="1073"/>
      <c r="AQ487" s="1073"/>
      <c r="AR487" s="1073"/>
      <c r="AS487" s="1073"/>
      <c r="AT487" s="1073"/>
      <c r="AU487" s="1073"/>
      <c r="AV487" s="1073"/>
      <c r="AW487" s="1073"/>
      <c r="AX487" s="1073"/>
      <c r="AY487" s="1073"/>
    </row>
    <row r="488" spans="1:51" ht="28.9" customHeight="1" x14ac:dyDescent="0.25">
      <c r="A488" s="1189"/>
      <c r="B488" s="1018"/>
      <c r="C488" s="1379"/>
      <c r="D488" s="165" t="s">
        <v>347</v>
      </c>
      <c r="E488" s="1225"/>
      <c r="F488" s="1225"/>
      <c r="G488" s="1225">
        <v>4</v>
      </c>
      <c r="H488" s="1225">
        <v>4</v>
      </c>
      <c r="I488" s="1225">
        <v>7</v>
      </c>
      <c r="J488" s="1225"/>
      <c r="K488" s="1306"/>
      <c r="L488" s="1225"/>
      <c r="M488" s="1225"/>
      <c r="N488" s="1225"/>
      <c r="O488" s="1022"/>
      <c r="P488" s="1225"/>
      <c r="Q488" s="1022"/>
      <c r="R488" s="1022"/>
      <c r="S488" s="1022"/>
      <c r="T488" s="1006">
        <f>+T484+T486</f>
        <v>4</v>
      </c>
      <c r="U488" s="1006">
        <f t="shared" si="88"/>
        <v>4</v>
      </c>
      <c r="V488" s="1225">
        <f t="shared" si="89"/>
        <v>7</v>
      </c>
      <c r="W488" s="1225"/>
      <c r="X488" s="1006"/>
      <c r="Y488" s="1006"/>
      <c r="Z488" s="1225"/>
      <c r="AA488" s="1225"/>
      <c r="AB488" s="1020"/>
      <c r="AC488" s="1020"/>
      <c r="AD488" s="1020"/>
      <c r="AE488" s="1020"/>
      <c r="AF488" s="1203"/>
      <c r="AG488" s="1204"/>
      <c r="AH488" s="1073"/>
      <c r="AI488" s="1073"/>
      <c r="AJ488" s="1073"/>
      <c r="AK488" s="1073"/>
      <c r="AL488" s="1073"/>
      <c r="AM488" s="1073"/>
      <c r="AN488" s="1073"/>
      <c r="AO488" s="1073"/>
      <c r="AP488" s="1073"/>
      <c r="AQ488" s="1073"/>
      <c r="AR488" s="1073"/>
      <c r="AS488" s="1073"/>
      <c r="AT488" s="1073"/>
      <c r="AU488" s="1073"/>
      <c r="AV488" s="1073"/>
      <c r="AW488" s="1073"/>
      <c r="AX488" s="1073"/>
      <c r="AY488" s="1073"/>
    </row>
    <row r="489" spans="1:51" ht="28.9" customHeight="1" x14ac:dyDescent="0.25">
      <c r="A489" s="1189"/>
      <c r="B489" s="1018"/>
      <c r="C489" s="1169"/>
      <c r="D489" s="164" t="s">
        <v>348</v>
      </c>
      <c r="E489" s="1026"/>
      <c r="F489" s="1026"/>
      <c r="G489" s="1026">
        <f>+G485+G487</f>
        <v>13063289.222222224</v>
      </c>
      <c r="H489" s="1026">
        <f>+H485+H487</f>
        <v>28328277.307692308</v>
      </c>
      <c r="I489" s="1026">
        <f>+I485+I487</f>
        <v>36349357.538461536</v>
      </c>
      <c r="J489" s="1020"/>
      <c r="K489" s="1020"/>
      <c r="L489" s="1026"/>
      <c r="M489" s="1026"/>
      <c r="N489" s="1026"/>
      <c r="O489" s="1026"/>
      <c r="P489" s="1026"/>
      <c r="Q489" s="1026"/>
      <c r="R489" s="1026"/>
      <c r="S489" s="1327"/>
      <c r="T489" s="1006">
        <f>+T485+T487</f>
        <v>13063289.222222224</v>
      </c>
      <c r="U489" s="1006">
        <f t="shared" ref="U489:U543" si="90">+H489</f>
        <v>28328277.307692308</v>
      </c>
      <c r="V489" s="1225">
        <f t="shared" ref="V489:V543" si="91">+I489</f>
        <v>36349357.538461536</v>
      </c>
      <c r="W489" s="1225"/>
      <c r="X489" s="1006"/>
      <c r="Y489" s="1006"/>
      <c r="Z489" s="1225"/>
      <c r="AA489" s="1225"/>
      <c r="AB489" s="1020"/>
      <c r="AC489" s="1020"/>
      <c r="AD489" s="1020"/>
      <c r="AE489" s="1020"/>
      <c r="AF489" s="1173"/>
      <c r="AG489" s="1190"/>
      <c r="AH489" s="1076"/>
      <c r="AI489" s="1076"/>
      <c r="AJ489" s="1076"/>
      <c r="AK489" s="1076"/>
      <c r="AL489" s="1076"/>
      <c r="AM489" s="1076"/>
      <c r="AN489" s="1076"/>
      <c r="AO489" s="1076"/>
      <c r="AP489" s="1076"/>
      <c r="AQ489" s="1076"/>
      <c r="AR489" s="1076"/>
      <c r="AS489" s="1076"/>
      <c r="AT489" s="1076"/>
      <c r="AU489" s="1076"/>
      <c r="AV489" s="1076"/>
      <c r="AW489" s="1076"/>
      <c r="AX489" s="1076"/>
      <c r="AY489" s="1076"/>
    </row>
    <row r="490" spans="1:51" ht="19.149999999999999" customHeight="1" x14ac:dyDescent="0.25">
      <c r="A490" s="1189"/>
      <c r="B490" s="1018"/>
      <c r="C490" s="1153" t="s">
        <v>621</v>
      </c>
      <c r="D490" s="161" t="s">
        <v>340</v>
      </c>
      <c r="E490" s="1225"/>
      <c r="F490" s="1225"/>
      <c r="G490" s="1225">
        <v>5</v>
      </c>
      <c r="H490" s="1225">
        <v>5</v>
      </c>
      <c r="I490" s="1225">
        <v>8</v>
      </c>
      <c r="J490" s="1225"/>
      <c r="K490" s="1306"/>
      <c r="L490" s="1225"/>
      <c r="M490" s="1225"/>
      <c r="N490" s="1006"/>
      <c r="O490" s="1022"/>
      <c r="P490" s="1225"/>
      <c r="Q490" s="1022"/>
      <c r="R490" s="1022"/>
      <c r="S490" s="1327"/>
      <c r="T490" s="1006">
        <f t="shared" ref="T490:T543" si="92">+G490</f>
        <v>5</v>
      </c>
      <c r="U490" s="1006">
        <f t="shared" si="90"/>
        <v>5</v>
      </c>
      <c r="V490" s="1225">
        <f t="shared" si="91"/>
        <v>8</v>
      </c>
      <c r="W490" s="1225"/>
      <c r="X490" s="1006"/>
      <c r="Y490" s="1006"/>
      <c r="Z490" s="1225"/>
      <c r="AA490" s="1225"/>
      <c r="AB490" s="1020"/>
      <c r="AC490" s="1020"/>
      <c r="AD490" s="1020"/>
      <c r="AE490" s="1020"/>
      <c r="AF490" s="1332" t="s">
        <v>1568</v>
      </c>
      <c r="AG490" s="1274" t="str">
        <f>+C490</f>
        <v>11- SUBA</v>
      </c>
      <c r="AH490" s="1334" t="s">
        <v>1440</v>
      </c>
      <c r="AI490" s="1334" t="s">
        <v>1441</v>
      </c>
      <c r="AJ490" s="1275" t="s">
        <v>1433</v>
      </c>
      <c r="AK490" s="1275" t="s">
        <v>457</v>
      </c>
      <c r="AL490" s="1275" t="s">
        <v>610</v>
      </c>
      <c r="AM490" s="1275" t="s">
        <v>603</v>
      </c>
      <c r="AN490" s="1282">
        <v>1313453</v>
      </c>
      <c r="AO490" s="1277">
        <v>619835</v>
      </c>
      <c r="AP490" s="1277">
        <v>693618</v>
      </c>
      <c r="AQ490" s="1278" t="s">
        <v>459</v>
      </c>
      <c r="AR490" s="1278" t="s">
        <v>459</v>
      </c>
      <c r="AS490" s="1278" t="s">
        <v>459</v>
      </c>
      <c r="AT490" s="1278" t="s">
        <v>459</v>
      </c>
      <c r="AU490" s="1278" t="s">
        <v>459</v>
      </c>
      <c r="AV490" s="1278" t="s">
        <v>459</v>
      </c>
      <c r="AW490" s="1278" t="s">
        <v>459</v>
      </c>
      <c r="AX490" s="1282">
        <v>1294358</v>
      </c>
      <c r="AY490" s="1232" t="s">
        <v>1569</v>
      </c>
    </row>
    <row r="491" spans="1:51" ht="19.149999999999999" customHeight="1" x14ac:dyDescent="0.25">
      <c r="A491" s="1189"/>
      <c r="B491" s="1018"/>
      <c r="C491" s="1018"/>
      <c r="D491" s="164" t="s">
        <v>343</v>
      </c>
      <c r="E491" s="1020"/>
      <c r="F491" s="1020"/>
      <c r="G491" s="1225">
        <f>+G490*$T$419/$T$418</f>
        <v>5287333.333333333</v>
      </c>
      <c r="H491" s="1225">
        <f>+H490*$U$419/$U$418</f>
        <v>23207500</v>
      </c>
      <c r="I491" s="1225">
        <f>+I490*$V$419/$V$418</f>
        <v>29632000</v>
      </c>
      <c r="J491" s="1225"/>
      <c r="K491" s="1225"/>
      <c r="L491" s="1225"/>
      <c r="M491" s="1225"/>
      <c r="N491" s="1225"/>
      <c r="O491" s="1225"/>
      <c r="P491" s="1225"/>
      <c r="Q491" s="1225"/>
      <c r="R491" s="1225"/>
      <c r="S491" s="1022"/>
      <c r="T491" s="1006">
        <f t="shared" si="92"/>
        <v>5287333.333333333</v>
      </c>
      <c r="U491" s="1006">
        <f t="shared" si="90"/>
        <v>23207500</v>
      </c>
      <c r="V491" s="1225">
        <f t="shared" si="91"/>
        <v>29632000</v>
      </c>
      <c r="W491" s="1225"/>
      <c r="X491" s="1006"/>
      <c r="Y491" s="1006"/>
      <c r="Z491" s="1225"/>
      <c r="AA491" s="1225"/>
      <c r="AB491" s="1020"/>
      <c r="AC491" s="1020"/>
      <c r="AD491" s="1020"/>
      <c r="AE491" s="1020"/>
      <c r="AF491" s="1203"/>
      <c r="AG491" s="1204"/>
      <c r="AH491" s="1073"/>
      <c r="AI491" s="1073"/>
      <c r="AJ491" s="1073"/>
      <c r="AK491" s="1073"/>
      <c r="AL491" s="1073"/>
      <c r="AM491" s="1073"/>
      <c r="AN491" s="1073"/>
      <c r="AO491" s="1073"/>
      <c r="AP491" s="1073"/>
      <c r="AQ491" s="1073"/>
      <c r="AR491" s="1073"/>
      <c r="AS491" s="1073"/>
      <c r="AT491" s="1073"/>
      <c r="AU491" s="1073"/>
      <c r="AV491" s="1073"/>
      <c r="AW491" s="1073"/>
      <c r="AX491" s="1073"/>
      <c r="AY491" s="1073"/>
    </row>
    <row r="492" spans="1:51" ht="28.9" customHeight="1" x14ac:dyDescent="0.25">
      <c r="A492" s="1189"/>
      <c r="B492" s="1018"/>
      <c r="C492" s="1018"/>
      <c r="D492" s="165" t="s">
        <v>345</v>
      </c>
      <c r="E492" s="1020"/>
      <c r="F492" s="1020"/>
      <c r="G492" s="1020"/>
      <c r="H492" s="1020"/>
      <c r="I492" s="1020"/>
      <c r="J492" s="1020"/>
      <c r="K492" s="1335"/>
      <c r="L492" s="1020"/>
      <c r="M492" s="1020"/>
      <c r="N492" s="1059"/>
      <c r="O492" s="1327"/>
      <c r="P492" s="1022"/>
      <c r="Q492" s="1327"/>
      <c r="R492" s="1327"/>
      <c r="S492" s="1022"/>
      <c r="T492" s="1006">
        <f t="shared" si="92"/>
        <v>0</v>
      </c>
      <c r="U492" s="1006">
        <f t="shared" si="90"/>
        <v>0</v>
      </c>
      <c r="V492" s="1225">
        <f t="shared" si="91"/>
        <v>0</v>
      </c>
      <c r="W492" s="1225"/>
      <c r="X492" s="1006"/>
      <c r="Y492" s="1006"/>
      <c r="Z492" s="1225"/>
      <c r="AA492" s="1225"/>
      <c r="AB492" s="1020"/>
      <c r="AC492" s="1020"/>
      <c r="AD492" s="1020"/>
      <c r="AE492" s="1020"/>
      <c r="AF492" s="1203"/>
      <c r="AG492" s="1204"/>
      <c r="AH492" s="1073"/>
      <c r="AI492" s="1073"/>
      <c r="AJ492" s="1073"/>
      <c r="AK492" s="1073"/>
      <c r="AL492" s="1073"/>
      <c r="AM492" s="1073"/>
      <c r="AN492" s="1073"/>
      <c r="AO492" s="1073"/>
      <c r="AP492" s="1073"/>
      <c r="AQ492" s="1073"/>
      <c r="AR492" s="1073"/>
      <c r="AS492" s="1073"/>
      <c r="AT492" s="1073"/>
      <c r="AU492" s="1073"/>
      <c r="AV492" s="1073"/>
      <c r="AW492" s="1073"/>
      <c r="AX492" s="1073"/>
      <c r="AY492" s="1073"/>
    </row>
    <row r="493" spans="1:51" ht="28.9" customHeight="1" x14ac:dyDescent="0.25">
      <c r="A493" s="1189"/>
      <c r="B493" s="1018"/>
      <c r="C493" s="1018"/>
      <c r="D493" s="164" t="s">
        <v>346</v>
      </c>
      <c r="E493" s="1020"/>
      <c r="F493" s="1020"/>
      <c r="G493" s="1020">
        <f>+$T$421/9</f>
        <v>8833422.555555556</v>
      </c>
      <c r="H493" s="1020">
        <f>+$U$421/13</f>
        <v>9762277.307692308</v>
      </c>
      <c r="I493" s="1020">
        <f>+$V$421/13</f>
        <v>10421357.538461538</v>
      </c>
      <c r="J493" s="1020"/>
      <c r="K493" s="1020"/>
      <c r="L493" s="1020"/>
      <c r="M493" s="1020"/>
      <c r="N493" s="1020"/>
      <c r="O493" s="1020"/>
      <c r="P493" s="1020"/>
      <c r="Q493" s="1020"/>
      <c r="R493" s="1020"/>
      <c r="S493" s="1022"/>
      <c r="T493" s="1006">
        <f t="shared" si="92"/>
        <v>8833422.555555556</v>
      </c>
      <c r="U493" s="1006">
        <f t="shared" si="90"/>
        <v>9762277.307692308</v>
      </c>
      <c r="V493" s="1225">
        <f t="shared" si="91"/>
        <v>10421357.538461538</v>
      </c>
      <c r="W493" s="1225"/>
      <c r="X493" s="1006"/>
      <c r="Y493" s="1006"/>
      <c r="Z493" s="1225"/>
      <c r="AA493" s="1225"/>
      <c r="AB493" s="1020"/>
      <c r="AC493" s="1020"/>
      <c r="AD493" s="1020"/>
      <c r="AE493" s="1020"/>
      <c r="AF493" s="1203"/>
      <c r="AG493" s="1204"/>
      <c r="AH493" s="1073"/>
      <c r="AI493" s="1073"/>
      <c r="AJ493" s="1073"/>
      <c r="AK493" s="1073"/>
      <c r="AL493" s="1073"/>
      <c r="AM493" s="1073"/>
      <c r="AN493" s="1073"/>
      <c r="AO493" s="1073"/>
      <c r="AP493" s="1073"/>
      <c r="AQ493" s="1073"/>
      <c r="AR493" s="1073"/>
      <c r="AS493" s="1073"/>
      <c r="AT493" s="1073"/>
      <c r="AU493" s="1073"/>
      <c r="AV493" s="1073"/>
      <c r="AW493" s="1073"/>
      <c r="AX493" s="1073"/>
      <c r="AY493" s="1073"/>
    </row>
    <row r="494" spans="1:51" ht="28.9" customHeight="1" x14ac:dyDescent="0.25">
      <c r="A494" s="1189"/>
      <c r="B494" s="1018"/>
      <c r="C494" s="1018"/>
      <c r="D494" s="165" t="s">
        <v>347</v>
      </c>
      <c r="E494" s="1225"/>
      <c r="F494" s="1225"/>
      <c r="G494" s="1225">
        <v>5</v>
      </c>
      <c r="H494" s="1225">
        <v>5</v>
      </c>
      <c r="I494" s="1225">
        <v>8</v>
      </c>
      <c r="J494" s="1225"/>
      <c r="K494" s="1306"/>
      <c r="L494" s="1225"/>
      <c r="M494" s="1225"/>
      <c r="N494" s="1225"/>
      <c r="O494" s="1022"/>
      <c r="P494" s="1225"/>
      <c r="Q494" s="1022"/>
      <c r="R494" s="1022"/>
      <c r="S494" s="1022"/>
      <c r="T494" s="1006">
        <f>+T490+T492</f>
        <v>5</v>
      </c>
      <c r="U494" s="1006">
        <f t="shared" si="90"/>
        <v>5</v>
      </c>
      <c r="V494" s="1225">
        <f t="shared" si="91"/>
        <v>8</v>
      </c>
      <c r="W494" s="1225"/>
      <c r="X494" s="1006"/>
      <c r="Y494" s="1006"/>
      <c r="Z494" s="1225"/>
      <c r="AA494" s="1225"/>
      <c r="AB494" s="1020"/>
      <c r="AC494" s="1020"/>
      <c r="AD494" s="1020"/>
      <c r="AE494" s="1020"/>
      <c r="AF494" s="1203"/>
      <c r="AG494" s="1204"/>
      <c r="AH494" s="1073"/>
      <c r="AI494" s="1073"/>
      <c r="AJ494" s="1073"/>
      <c r="AK494" s="1073"/>
      <c r="AL494" s="1073"/>
      <c r="AM494" s="1073"/>
      <c r="AN494" s="1073"/>
      <c r="AO494" s="1073"/>
      <c r="AP494" s="1073"/>
      <c r="AQ494" s="1073"/>
      <c r="AR494" s="1073"/>
      <c r="AS494" s="1073"/>
      <c r="AT494" s="1073"/>
      <c r="AU494" s="1073"/>
      <c r="AV494" s="1073"/>
      <c r="AW494" s="1073"/>
      <c r="AX494" s="1073"/>
      <c r="AY494" s="1073"/>
    </row>
    <row r="495" spans="1:51" ht="28.9" customHeight="1" x14ac:dyDescent="0.25">
      <c r="A495" s="1189"/>
      <c r="B495" s="1018"/>
      <c r="C495" s="1048"/>
      <c r="D495" s="164" t="s">
        <v>348</v>
      </c>
      <c r="E495" s="1026"/>
      <c r="F495" s="1026"/>
      <c r="G495" s="1026">
        <f>+G491+G493</f>
        <v>14120755.888888888</v>
      </c>
      <c r="H495" s="1026">
        <f>+H491+H493</f>
        <v>32969777.307692308</v>
      </c>
      <c r="I495" s="1026">
        <f>+I491+I493</f>
        <v>40053357.538461536</v>
      </c>
      <c r="J495" s="1020"/>
      <c r="K495" s="1020"/>
      <c r="L495" s="1026"/>
      <c r="M495" s="1026"/>
      <c r="N495" s="1026"/>
      <c r="O495" s="1026"/>
      <c r="P495" s="1026"/>
      <c r="Q495" s="1026"/>
      <c r="R495" s="1026"/>
      <c r="S495" s="1327"/>
      <c r="T495" s="1006">
        <f>+T491+T493</f>
        <v>14120755.888888888</v>
      </c>
      <c r="U495" s="1006">
        <f t="shared" si="90"/>
        <v>32969777.307692308</v>
      </c>
      <c r="V495" s="1225">
        <f t="shared" si="91"/>
        <v>40053357.538461536</v>
      </c>
      <c r="W495" s="1225"/>
      <c r="X495" s="1006"/>
      <c r="Y495" s="1006"/>
      <c r="Z495" s="1225"/>
      <c r="AA495" s="1225"/>
      <c r="AB495" s="1020"/>
      <c r="AC495" s="1020"/>
      <c r="AD495" s="1020"/>
      <c r="AE495" s="1020"/>
      <c r="AF495" s="1173"/>
      <c r="AG495" s="1190"/>
      <c r="AH495" s="1076"/>
      <c r="AI495" s="1076"/>
      <c r="AJ495" s="1076"/>
      <c r="AK495" s="1076"/>
      <c r="AL495" s="1076"/>
      <c r="AM495" s="1076"/>
      <c r="AN495" s="1076"/>
      <c r="AO495" s="1076"/>
      <c r="AP495" s="1076"/>
      <c r="AQ495" s="1076"/>
      <c r="AR495" s="1076"/>
      <c r="AS495" s="1076"/>
      <c r="AT495" s="1076"/>
      <c r="AU495" s="1076"/>
      <c r="AV495" s="1076"/>
      <c r="AW495" s="1076"/>
      <c r="AX495" s="1076"/>
      <c r="AY495" s="1076"/>
    </row>
    <row r="496" spans="1:51" ht="19.149999999999999" customHeight="1" x14ac:dyDescent="0.25">
      <c r="A496" s="1189"/>
      <c r="B496" s="1018"/>
      <c r="C496" s="1378" t="s">
        <v>537</v>
      </c>
      <c r="D496" s="161" t="s">
        <v>340</v>
      </c>
      <c r="E496" s="1225"/>
      <c r="F496" s="1225"/>
      <c r="G496" s="1225">
        <v>4</v>
      </c>
      <c r="H496" s="1225">
        <v>5</v>
      </c>
      <c r="I496" s="1225">
        <v>8</v>
      </c>
      <c r="J496" s="1225"/>
      <c r="K496" s="1306"/>
      <c r="L496" s="1225"/>
      <c r="M496" s="1225"/>
      <c r="N496" s="1006"/>
      <c r="O496" s="1022"/>
      <c r="P496" s="1225"/>
      <c r="Q496" s="1022"/>
      <c r="R496" s="1022"/>
      <c r="S496" s="1327"/>
      <c r="T496" s="1006">
        <f t="shared" si="92"/>
        <v>4</v>
      </c>
      <c r="U496" s="1006">
        <f t="shared" si="90"/>
        <v>5</v>
      </c>
      <c r="V496" s="1225">
        <f t="shared" si="91"/>
        <v>8</v>
      </c>
      <c r="W496" s="1225"/>
      <c r="X496" s="1006"/>
      <c r="Y496" s="1006"/>
      <c r="Z496" s="1225"/>
      <c r="AA496" s="1225"/>
      <c r="AB496" s="1020"/>
      <c r="AC496" s="1020"/>
      <c r="AD496" s="1020"/>
      <c r="AE496" s="1020"/>
      <c r="AF496" s="1332" t="s">
        <v>1570</v>
      </c>
      <c r="AG496" s="1274" t="str">
        <f>+C496</f>
        <v>12- BARRIOS UNIDOS</v>
      </c>
      <c r="AH496" s="1334" t="s">
        <v>1442</v>
      </c>
      <c r="AI496" s="1334" t="s">
        <v>1443</v>
      </c>
      <c r="AJ496" s="1275" t="s">
        <v>1433</v>
      </c>
      <c r="AK496" s="1275" t="s">
        <v>457</v>
      </c>
      <c r="AL496" s="1275" t="s">
        <v>610</v>
      </c>
      <c r="AM496" s="1275" t="s">
        <v>603</v>
      </c>
      <c r="AN496" s="1282">
        <v>156268</v>
      </c>
      <c r="AO496" s="1277">
        <v>77967</v>
      </c>
      <c r="AP496" s="1277">
        <v>78301</v>
      </c>
      <c r="AQ496" s="1278" t="s">
        <v>459</v>
      </c>
      <c r="AR496" s="1278" t="s">
        <v>459</v>
      </c>
      <c r="AS496" s="1278" t="s">
        <v>459</v>
      </c>
      <c r="AT496" s="1278" t="s">
        <v>459</v>
      </c>
      <c r="AU496" s="1278" t="s">
        <v>459</v>
      </c>
      <c r="AV496" s="1278" t="s">
        <v>459</v>
      </c>
      <c r="AW496" s="1278" t="s">
        <v>459</v>
      </c>
      <c r="AX496" s="1282">
        <v>153342</v>
      </c>
      <c r="AY496" s="1232" t="s">
        <v>1571</v>
      </c>
    </row>
    <row r="497" spans="1:51" ht="19.149999999999999" customHeight="1" x14ac:dyDescent="0.25">
      <c r="A497" s="1189"/>
      <c r="B497" s="1018"/>
      <c r="C497" s="1379"/>
      <c r="D497" s="164" t="s">
        <v>343</v>
      </c>
      <c r="E497" s="1020"/>
      <c r="F497" s="1020"/>
      <c r="G497" s="1225">
        <f>+G496*$T$419/$T$418</f>
        <v>4229866.666666667</v>
      </c>
      <c r="H497" s="1225">
        <f>+H496*$U$419/$U$418</f>
        <v>23207500</v>
      </c>
      <c r="I497" s="1225">
        <f>+I496*$V$419/$V$418</f>
        <v>29632000</v>
      </c>
      <c r="J497" s="1225"/>
      <c r="K497" s="1225"/>
      <c r="L497" s="1225"/>
      <c r="M497" s="1225"/>
      <c r="N497" s="1225"/>
      <c r="O497" s="1225"/>
      <c r="P497" s="1225"/>
      <c r="Q497" s="1225"/>
      <c r="R497" s="1225"/>
      <c r="S497" s="1022"/>
      <c r="T497" s="1006">
        <f t="shared" si="92"/>
        <v>4229866.666666667</v>
      </c>
      <c r="U497" s="1006">
        <f t="shared" si="90"/>
        <v>23207500</v>
      </c>
      <c r="V497" s="1225">
        <f t="shared" si="91"/>
        <v>29632000</v>
      </c>
      <c r="W497" s="1225"/>
      <c r="X497" s="1006"/>
      <c r="Y497" s="1006"/>
      <c r="Z497" s="1225"/>
      <c r="AA497" s="1225"/>
      <c r="AB497" s="1020"/>
      <c r="AC497" s="1020"/>
      <c r="AD497" s="1020"/>
      <c r="AE497" s="1020"/>
      <c r="AF497" s="1203"/>
      <c r="AG497" s="1204"/>
      <c r="AH497" s="1073"/>
      <c r="AI497" s="1073"/>
      <c r="AJ497" s="1073"/>
      <c r="AK497" s="1073"/>
      <c r="AL497" s="1073"/>
      <c r="AM497" s="1073"/>
      <c r="AN497" s="1073"/>
      <c r="AO497" s="1073"/>
      <c r="AP497" s="1073"/>
      <c r="AQ497" s="1073"/>
      <c r="AR497" s="1073"/>
      <c r="AS497" s="1073"/>
      <c r="AT497" s="1073"/>
      <c r="AU497" s="1073"/>
      <c r="AV497" s="1073"/>
      <c r="AW497" s="1073"/>
      <c r="AX497" s="1073"/>
      <c r="AY497" s="1073"/>
    </row>
    <row r="498" spans="1:51" ht="28.9" customHeight="1" x14ac:dyDescent="0.25">
      <c r="A498" s="1189"/>
      <c r="B498" s="1018"/>
      <c r="C498" s="1379"/>
      <c r="D498" s="165" t="s">
        <v>345</v>
      </c>
      <c r="E498" s="1020"/>
      <c r="F498" s="1020"/>
      <c r="G498" s="1020"/>
      <c r="H498" s="1020"/>
      <c r="I498" s="1020"/>
      <c r="J498" s="1020"/>
      <c r="K498" s="1335"/>
      <c r="L498" s="1020"/>
      <c r="M498" s="1020"/>
      <c r="N498" s="1059"/>
      <c r="O498" s="1327"/>
      <c r="P498" s="1022"/>
      <c r="Q498" s="1327"/>
      <c r="R498" s="1327"/>
      <c r="S498" s="1022"/>
      <c r="T498" s="1006">
        <f t="shared" si="92"/>
        <v>0</v>
      </c>
      <c r="U498" s="1006">
        <f t="shared" si="90"/>
        <v>0</v>
      </c>
      <c r="V498" s="1225">
        <f t="shared" si="91"/>
        <v>0</v>
      </c>
      <c r="W498" s="1225"/>
      <c r="X498" s="1006"/>
      <c r="Y498" s="1006"/>
      <c r="Z498" s="1225"/>
      <c r="AA498" s="1225"/>
      <c r="AB498" s="1020"/>
      <c r="AC498" s="1020"/>
      <c r="AD498" s="1020"/>
      <c r="AE498" s="1020"/>
      <c r="AF498" s="1203"/>
      <c r="AG498" s="1204"/>
      <c r="AH498" s="1073"/>
      <c r="AI498" s="1073"/>
      <c r="AJ498" s="1073"/>
      <c r="AK498" s="1073"/>
      <c r="AL498" s="1073"/>
      <c r="AM498" s="1073"/>
      <c r="AN498" s="1073"/>
      <c r="AO498" s="1073"/>
      <c r="AP498" s="1073"/>
      <c r="AQ498" s="1073"/>
      <c r="AR498" s="1073"/>
      <c r="AS498" s="1073"/>
      <c r="AT498" s="1073"/>
      <c r="AU498" s="1073"/>
      <c r="AV498" s="1073"/>
      <c r="AW498" s="1073"/>
      <c r="AX498" s="1073"/>
      <c r="AY498" s="1073"/>
    </row>
    <row r="499" spans="1:51" ht="28.9" customHeight="1" x14ac:dyDescent="0.25">
      <c r="A499" s="1189"/>
      <c r="B499" s="1018"/>
      <c r="C499" s="1379"/>
      <c r="D499" s="164" t="s">
        <v>346</v>
      </c>
      <c r="E499" s="1020"/>
      <c r="F499" s="1020"/>
      <c r="G499" s="1020">
        <f>+$T$421/9</f>
        <v>8833422.555555556</v>
      </c>
      <c r="H499" s="1020">
        <f>+$U$421/13</f>
        <v>9762277.307692308</v>
      </c>
      <c r="I499" s="1020">
        <f>+$V$421/13</f>
        <v>10421357.538461538</v>
      </c>
      <c r="J499" s="1020"/>
      <c r="K499" s="1020"/>
      <c r="L499" s="1020"/>
      <c r="M499" s="1020"/>
      <c r="N499" s="1020"/>
      <c r="O499" s="1020"/>
      <c r="P499" s="1327"/>
      <c r="Q499" s="1327"/>
      <c r="R499" s="1327"/>
      <c r="S499" s="1022"/>
      <c r="T499" s="1006">
        <f t="shared" si="92"/>
        <v>8833422.555555556</v>
      </c>
      <c r="U499" s="1006">
        <f t="shared" si="90"/>
        <v>9762277.307692308</v>
      </c>
      <c r="V499" s="1225">
        <f t="shared" si="91"/>
        <v>10421357.538461538</v>
      </c>
      <c r="W499" s="1225"/>
      <c r="X499" s="1006"/>
      <c r="Y499" s="1006"/>
      <c r="Z499" s="1225"/>
      <c r="AA499" s="1225"/>
      <c r="AB499" s="1020"/>
      <c r="AC499" s="1020"/>
      <c r="AD499" s="1020"/>
      <c r="AE499" s="1020"/>
      <c r="AF499" s="1203"/>
      <c r="AG499" s="1204"/>
      <c r="AH499" s="1073"/>
      <c r="AI499" s="1073"/>
      <c r="AJ499" s="1073"/>
      <c r="AK499" s="1073"/>
      <c r="AL499" s="1073"/>
      <c r="AM499" s="1073"/>
      <c r="AN499" s="1073"/>
      <c r="AO499" s="1073"/>
      <c r="AP499" s="1073"/>
      <c r="AQ499" s="1073"/>
      <c r="AR499" s="1073"/>
      <c r="AS499" s="1073"/>
      <c r="AT499" s="1073"/>
      <c r="AU499" s="1073"/>
      <c r="AV499" s="1073"/>
      <c r="AW499" s="1073"/>
      <c r="AX499" s="1073"/>
      <c r="AY499" s="1073"/>
    </row>
    <row r="500" spans="1:51" ht="28.9" customHeight="1" x14ac:dyDescent="0.25">
      <c r="A500" s="1189"/>
      <c r="B500" s="1018"/>
      <c r="C500" s="1379"/>
      <c r="D500" s="165" t="s">
        <v>347</v>
      </c>
      <c r="E500" s="1225"/>
      <c r="F500" s="1225"/>
      <c r="G500" s="1225">
        <v>4</v>
      </c>
      <c r="H500" s="1225">
        <v>5</v>
      </c>
      <c r="I500" s="1225">
        <v>8</v>
      </c>
      <c r="J500" s="1225"/>
      <c r="K500" s="1306"/>
      <c r="L500" s="1225"/>
      <c r="M500" s="1225"/>
      <c r="N500" s="1225"/>
      <c r="O500" s="1022"/>
      <c r="P500" s="1225"/>
      <c r="Q500" s="1022"/>
      <c r="R500" s="1022"/>
      <c r="S500" s="1022"/>
      <c r="T500" s="1006">
        <f>+T496+T498</f>
        <v>4</v>
      </c>
      <c r="U500" s="1006">
        <f t="shared" si="90"/>
        <v>5</v>
      </c>
      <c r="V500" s="1225">
        <f t="shared" si="91"/>
        <v>8</v>
      </c>
      <c r="W500" s="1225"/>
      <c r="X500" s="1006"/>
      <c r="Y500" s="1006"/>
      <c r="Z500" s="1225"/>
      <c r="AA500" s="1225"/>
      <c r="AB500" s="1020"/>
      <c r="AC500" s="1020"/>
      <c r="AD500" s="1020"/>
      <c r="AE500" s="1020"/>
      <c r="AF500" s="1203"/>
      <c r="AG500" s="1204"/>
      <c r="AH500" s="1073"/>
      <c r="AI500" s="1073"/>
      <c r="AJ500" s="1073"/>
      <c r="AK500" s="1073"/>
      <c r="AL500" s="1073"/>
      <c r="AM500" s="1073"/>
      <c r="AN500" s="1073"/>
      <c r="AO500" s="1073"/>
      <c r="AP500" s="1073"/>
      <c r="AQ500" s="1073"/>
      <c r="AR500" s="1073"/>
      <c r="AS500" s="1073"/>
      <c r="AT500" s="1073"/>
      <c r="AU500" s="1073"/>
      <c r="AV500" s="1073"/>
      <c r="AW500" s="1073"/>
      <c r="AX500" s="1073"/>
      <c r="AY500" s="1073"/>
    </row>
    <row r="501" spans="1:51" ht="28.9" customHeight="1" x14ac:dyDescent="0.25">
      <c r="A501" s="1189"/>
      <c r="B501" s="1018"/>
      <c r="C501" s="1169"/>
      <c r="D501" s="164" t="s">
        <v>348</v>
      </c>
      <c r="E501" s="1026"/>
      <c r="F501" s="1026"/>
      <c r="G501" s="1026">
        <f>+G497+G499</f>
        <v>13063289.222222224</v>
      </c>
      <c r="H501" s="1026">
        <f>+H497+H499</f>
        <v>32969777.307692308</v>
      </c>
      <c r="I501" s="1026">
        <f>+I497+I499</f>
        <v>40053357.538461536</v>
      </c>
      <c r="J501" s="1020"/>
      <c r="K501" s="1020"/>
      <c r="L501" s="1026"/>
      <c r="M501" s="1026"/>
      <c r="N501" s="1026"/>
      <c r="O501" s="1026"/>
      <c r="P501" s="1026"/>
      <c r="Q501" s="1026"/>
      <c r="R501" s="1026"/>
      <c r="S501" s="1327"/>
      <c r="T501" s="1006">
        <f>+T497+T499</f>
        <v>13063289.222222224</v>
      </c>
      <c r="U501" s="1006">
        <f t="shared" si="90"/>
        <v>32969777.307692308</v>
      </c>
      <c r="V501" s="1225">
        <f t="shared" si="91"/>
        <v>40053357.538461536</v>
      </c>
      <c r="W501" s="1225"/>
      <c r="X501" s="1006"/>
      <c r="Y501" s="1006"/>
      <c r="Z501" s="1225"/>
      <c r="AA501" s="1225"/>
      <c r="AB501" s="1020"/>
      <c r="AC501" s="1020"/>
      <c r="AD501" s="1020"/>
      <c r="AE501" s="1020"/>
      <c r="AF501" s="1173"/>
      <c r="AG501" s="1190"/>
      <c r="AH501" s="1076"/>
      <c r="AI501" s="1076"/>
      <c r="AJ501" s="1076"/>
      <c r="AK501" s="1076"/>
      <c r="AL501" s="1076"/>
      <c r="AM501" s="1076"/>
      <c r="AN501" s="1076"/>
      <c r="AO501" s="1076"/>
      <c r="AP501" s="1076"/>
      <c r="AQ501" s="1076"/>
      <c r="AR501" s="1076"/>
      <c r="AS501" s="1076"/>
      <c r="AT501" s="1076"/>
      <c r="AU501" s="1076"/>
      <c r="AV501" s="1076"/>
      <c r="AW501" s="1076"/>
      <c r="AX501" s="1076"/>
      <c r="AY501" s="1076"/>
    </row>
    <row r="502" spans="1:51" ht="19.149999999999999" customHeight="1" x14ac:dyDescent="0.25">
      <c r="A502" s="1189"/>
      <c r="B502" s="1018"/>
      <c r="C502" s="1153" t="s">
        <v>540</v>
      </c>
      <c r="D502" s="161" t="s">
        <v>340</v>
      </c>
      <c r="E502" s="1225"/>
      <c r="F502" s="1225"/>
      <c r="G502" s="1225">
        <v>1</v>
      </c>
      <c r="H502" s="1225">
        <v>1</v>
      </c>
      <c r="I502" s="1225">
        <v>2</v>
      </c>
      <c r="J502" s="1225"/>
      <c r="K502" s="1306"/>
      <c r="L502" s="1225"/>
      <c r="M502" s="1225"/>
      <c r="N502" s="1006"/>
      <c r="O502" s="1022"/>
      <c r="P502" s="1225"/>
      <c r="Q502" s="1022"/>
      <c r="R502" s="1022"/>
      <c r="S502" s="1327"/>
      <c r="T502" s="1006">
        <f t="shared" si="92"/>
        <v>1</v>
      </c>
      <c r="U502" s="1006">
        <f t="shared" si="90"/>
        <v>1</v>
      </c>
      <c r="V502" s="1225">
        <f t="shared" si="91"/>
        <v>2</v>
      </c>
      <c r="W502" s="1225"/>
      <c r="X502" s="1006"/>
      <c r="Y502" s="1006"/>
      <c r="Z502" s="1225"/>
      <c r="AA502" s="1225"/>
      <c r="AB502" s="1020"/>
      <c r="AC502" s="1020"/>
      <c r="AD502" s="1020"/>
      <c r="AE502" s="1020"/>
      <c r="AF502" s="1332" t="s">
        <v>1572</v>
      </c>
      <c r="AG502" s="1274" t="str">
        <f>+C502</f>
        <v>13- TEUSAQUILLO</v>
      </c>
      <c r="AH502" s="1334" t="s">
        <v>1444</v>
      </c>
      <c r="AI502" s="1334" t="s">
        <v>1445</v>
      </c>
      <c r="AJ502" s="1275" t="s">
        <v>1433</v>
      </c>
      <c r="AK502" s="1275" t="s">
        <v>457</v>
      </c>
      <c r="AL502" s="1275" t="s">
        <v>610</v>
      </c>
      <c r="AM502" s="1275" t="s">
        <v>603</v>
      </c>
      <c r="AN502" s="1282">
        <v>165438</v>
      </c>
      <c r="AO502" s="1277">
        <v>68105</v>
      </c>
      <c r="AP502" s="1277">
        <v>97333</v>
      </c>
      <c r="AQ502" s="1278" t="s">
        <v>459</v>
      </c>
      <c r="AR502" s="1278" t="s">
        <v>459</v>
      </c>
      <c r="AS502" s="1278" t="s">
        <v>459</v>
      </c>
      <c r="AT502" s="1278" t="s">
        <v>459</v>
      </c>
      <c r="AU502" s="1278" t="s">
        <v>459</v>
      </c>
      <c r="AV502" s="1278" t="s">
        <v>459</v>
      </c>
      <c r="AW502" s="1278" t="s">
        <v>459</v>
      </c>
      <c r="AX502" s="1282">
        <v>166428</v>
      </c>
      <c r="AY502" s="1232" t="s">
        <v>1573</v>
      </c>
    </row>
    <row r="503" spans="1:51" ht="19.149999999999999" customHeight="1" x14ac:dyDescent="0.25">
      <c r="A503" s="1189"/>
      <c r="B503" s="1018"/>
      <c r="C503" s="1018"/>
      <c r="D503" s="164" t="s">
        <v>343</v>
      </c>
      <c r="E503" s="1020"/>
      <c r="F503" s="1020"/>
      <c r="G503" s="1225">
        <f>+G502*$T$419/$T$418</f>
        <v>1057466.6666666667</v>
      </c>
      <c r="H503" s="1225">
        <f>+H502*$U$419/$U$418</f>
        <v>4641500</v>
      </c>
      <c r="I503" s="1225">
        <f>+I502*$V$419/$V$418</f>
        <v>7408000</v>
      </c>
      <c r="J503" s="1225"/>
      <c r="K503" s="1225"/>
      <c r="L503" s="1225"/>
      <c r="M503" s="1225"/>
      <c r="N503" s="1225"/>
      <c r="O503" s="1225"/>
      <c r="P503" s="1225"/>
      <c r="Q503" s="1225"/>
      <c r="R503" s="1225"/>
      <c r="S503" s="1022"/>
      <c r="T503" s="1006">
        <f t="shared" si="92"/>
        <v>1057466.6666666667</v>
      </c>
      <c r="U503" s="1006">
        <f t="shared" si="90"/>
        <v>4641500</v>
      </c>
      <c r="V503" s="1225">
        <f t="shared" si="91"/>
        <v>7408000</v>
      </c>
      <c r="W503" s="1225"/>
      <c r="X503" s="1006"/>
      <c r="Y503" s="1006"/>
      <c r="Z503" s="1225"/>
      <c r="AA503" s="1225"/>
      <c r="AB503" s="1020"/>
      <c r="AC503" s="1020"/>
      <c r="AD503" s="1020"/>
      <c r="AE503" s="1020"/>
      <c r="AF503" s="1203"/>
      <c r="AG503" s="1204"/>
      <c r="AH503" s="1073"/>
      <c r="AI503" s="1073"/>
      <c r="AJ503" s="1073"/>
      <c r="AK503" s="1073"/>
      <c r="AL503" s="1073"/>
      <c r="AM503" s="1073"/>
      <c r="AN503" s="1073"/>
      <c r="AO503" s="1073"/>
      <c r="AP503" s="1073"/>
      <c r="AQ503" s="1073"/>
      <c r="AR503" s="1073"/>
      <c r="AS503" s="1073"/>
      <c r="AT503" s="1073"/>
      <c r="AU503" s="1073"/>
      <c r="AV503" s="1073"/>
      <c r="AW503" s="1073"/>
      <c r="AX503" s="1073"/>
      <c r="AY503" s="1073"/>
    </row>
    <row r="504" spans="1:51" ht="28.9" customHeight="1" x14ac:dyDescent="0.25">
      <c r="A504" s="1189"/>
      <c r="B504" s="1018"/>
      <c r="C504" s="1018"/>
      <c r="D504" s="165" t="s">
        <v>345</v>
      </c>
      <c r="E504" s="1020"/>
      <c r="F504" s="1020"/>
      <c r="G504" s="1020"/>
      <c r="H504" s="1020"/>
      <c r="I504" s="1020"/>
      <c r="J504" s="1020"/>
      <c r="K504" s="1335"/>
      <c r="L504" s="1020"/>
      <c r="M504" s="1020"/>
      <c r="N504" s="1059"/>
      <c r="O504" s="1327"/>
      <c r="P504" s="1022"/>
      <c r="Q504" s="1327"/>
      <c r="R504" s="1327"/>
      <c r="S504" s="1022"/>
      <c r="T504" s="1006">
        <f t="shared" si="92"/>
        <v>0</v>
      </c>
      <c r="U504" s="1006">
        <f t="shared" si="90"/>
        <v>0</v>
      </c>
      <c r="V504" s="1225">
        <f t="shared" si="91"/>
        <v>0</v>
      </c>
      <c r="W504" s="1225"/>
      <c r="X504" s="1006"/>
      <c r="Y504" s="1006"/>
      <c r="Z504" s="1225"/>
      <c r="AA504" s="1225"/>
      <c r="AB504" s="1020"/>
      <c r="AC504" s="1020"/>
      <c r="AD504" s="1020"/>
      <c r="AE504" s="1020"/>
      <c r="AF504" s="1203"/>
      <c r="AG504" s="1204"/>
      <c r="AH504" s="1073"/>
      <c r="AI504" s="1073"/>
      <c r="AJ504" s="1073"/>
      <c r="AK504" s="1073"/>
      <c r="AL504" s="1073"/>
      <c r="AM504" s="1073"/>
      <c r="AN504" s="1073"/>
      <c r="AO504" s="1073"/>
      <c r="AP504" s="1073"/>
      <c r="AQ504" s="1073"/>
      <c r="AR504" s="1073"/>
      <c r="AS504" s="1073"/>
      <c r="AT504" s="1073"/>
      <c r="AU504" s="1073"/>
      <c r="AV504" s="1073"/>
      <c r="AW504" s="1073"/>
      <c r="AX504" s="1073"/>
      <c r="AY504" s="1073"/>
    </row>
    <row r="505" spans="1:51" ht="28.9" customHeight="1" x14ac:dyDescent="0.25">
      <c r="A505" s="1189"/>
      <c r="B505" s="1018"/>
      <c r="C505" s="1018"/>
      <c r="D505" s="164" t="s">
        <v>346</v>
      </c>
      <c r="E505" s="1020"/>
      <c r="F505" s="1020"/>
      <c r="G505" s="1020">
        <f>+$T$421/9</f>
        <v>8833422.555555556</v>
      </c>
      <c r="H505" s="1020">
        <f>+$U$421/13</f>
        <v>9762277.307692308</v>
      </c>
      <c r="I505" s="1020">
        <f>+$V$421/13</f>
        <v>10421357.538461538</v>
      </c>
      <c r="J505" s="1020"/>
      <c r="K505" s="1020"/>
      <c r="L505" s="1020"/>
      <c r="M505" s="1020"/>
      <c r="N505" s="1020"/>
      <c r="O505" s="1020"/>
      <c r="P505" s="1327"/>
      <c r="Q505" s="1327"/>
      <c r="R505" s="1327"/>
      <c r="S505" s="1022"/>
      <c r="T505" s="1006">
        <f t="shared" si="92"/>
        <v>8833422.555555556</v>
      </c>
      <c r="U505" s="1006">
        <f t="shared" si="90"/>
        <v>9762277.307692308</v>
      </c>
      <c r="V505" s="1225">
        <f t="shared" si="91"/>
        <v>10421357.538461538</v>
      </c>
      <c r="W505" s="1225"/>
      <c r="X505" s="1006"/>
      <c r="Y505" s="1006"/>
      <c r="Z505" s="1225"/>
      <c r="AA505" s="1225"/>
      <c r="AB505" s="1020"/>
      <c r="AC505" s="1020"/>
      <c r="AD505" s="1020"/>
      <c r="AE505" s="1020"/>
      <c r="AF505" s="1203"/>
      <c r="AG505" s="1204"/>
      <c r="AH505" s="1073"/>
      <c r="AI505" s="1073"/>
      <c r="AJ505" s="1073"/>
      <c r="AK505" s="1073"/>
      <c r="AL505" s="1073"/>
      <c r="AM505" s="1073"/>
      <c r="AN505" s="1073"/>
      <c r="AO505" s="1073"/>
      <c r="AP505" s="1073"/>
      <c r="AQ505" s="1073"/>
      <c r="AR505" s="1073"/>
      <c r="AS505" s="1073"/>
      <c r="AT505" s="1073"/>
      <c r="AU505" s="1073"/>
      <c r="AV505" s="1073"/>
      <c r="AW505" s="1073"/>
      <c r="AX505" s="1073"/>
      <c r="AY505" s="1073"/>
    </row>
    <row r="506" spans="1:51" ht="28.9" customHeight="1" x14ac:dyDescent="0.25">
      <c r="A506" s="1189"/>
      <c r="B506" s="1018"/>
      <c r="C506" s="1018"/>
      <c r="D506" s="165" t="s">
        <v>347</v>
      </c>
      <c r="E506" s="1225"/>
      <c r="F506" s="1225"/>
      <c r="G506" s="1225">
        <v>1</v>
      </c>
      <c r="H506" s="1225">
        <v>1</v>
      </c>
      <c r="I506" s="1225">
        <v>2</v>
      </c>
      <c r="J506" s="1225"/>
      <c r="K506" s="1306"/>
      <c r="L506" s="1225"/>
      <c r="M506" s="1225"/>
      <c r="N506" s="1225"/>
      <c r="O506" s="1022"/>
      <c r="P506" s="1225"/>
      <c r="Q506" s="1022"/>
      <c r="R506" s="1022"/>
      <c r="S506" s="1022"/>
      <c r="T506" s="1006">
        <f>+T502+T504</f>
        <v>1</v>
      </c>
      <c r="U506" s="1006">
        <f t="shared" si="90"/>
        <v>1</v>
      </c>
      <c r="V506" s="1225">
        <f t="shared" si="91"/>
        <v>2</v>
      </c>
      <c r="W506" s="1225"/>
      <c r="X506" s="1006"/>
      <c r="Y506" s="1006"/>
      <c r="Z506" s="1225"/>
      <c r="AA506" s="1225"/>
      <c r="AB506" s="1020"/>
      <c r="AC506" s="1020"/>
      <c r="AD506" s="1020"/>
      <c r="AE506" s="1020"/>
      <c r="AF506" s="1203"/>
      <c r="AG506" s="1204"/>
      <c r="AH506" s="1073"/>
      <c r="AI506" s="1073"/>
      <c r="AJ506" s="1073"/>
      <c r="AK506" s="1073"/>
      <c r="AL506" s="1073"/>
      <c r="AM506" s="1073"/>
      <c r="AN506" s="1073"/>
      <c r="AO506" s="1073"/>
      <c r="AP506" s="1073"/>
      <c r="AQ506" s="1073"/>
      <c r="AR506" s="1073"/>
      <c r="AS506" s="1073"/>
      <c r="AT506" s="1073"/>
      <c r="AU506" s="1073"/>
      <c r="AV506" s="1073"/>
      <c r="AW506" s="1073"/>
      <c r="AX506" s="1073"/>
      <c r="AY506" s="1073"/>
    </row>
    <row r="507" spans="1:51" ht="28.9" customHeight="1" x14ac:dyDescent="0.25">
      <c r="A507" s="1189"/>
      <c r="B507" s="1018"/>
      <c r="C507" s="1048"/>
      <c r="D507" s="164" t="s">
        <v>348</v>
      </c>
      <c r="E507" s="1026"/>
      <c r="F507" s="1026"/>
      <c r="G507" s="1026">
        <f>+G503+G505</f>
        <v>9890889.222222222</v>
      </c>
      <c r="H507" s="1026">
        <f>+H503+H505</f>
        <v>14403777.307692308</v>
      </c>
      <c r="I507" s="1026">
        <f>+I503+I505</f>
        <v>17829357.538461536</v>
      </c>
      <c r="J507" s="1020"/>
      <c r="K507" s="1020"/>
      <c r="L507" s="1026"/>
      <c r="M507" s="1026"/>
      <c r="N507" s="1026"/>
      <c r="O507" s="1026"/>
      <c r="P507" s="1026"/>
      <c r="Q507" s="1026"/>
      <c r="R507" s="1026"/>
      <c r="S507" s="1327"/>
      <c r="T507" s="1006">
        <f>+T503+T505</f>
        <v>9890889.222222222</v>
      </c>
      <c r="U507" s="1006">
        <f t="shared" si="90"/>
        <v>14403777.307692308</v>
      </c>
      <c r="V507" s="1225">
        <f t="shared" si="91"/>
        <v>17829357.538461536</v>
      </c>
      <c r="W507" s="1225"/>
      <c r="X507" s="1006"/>
      <c r="Y507" s="1006"/>
      <c r="Z507" s="1225"/>
      <c r="AA507" s="1225"/>
      <c r="AB507" s="1020"/>
      <c r="AC507" s="1020"/>
      <c r="AD507" s="1020"/>
      <c r="AE507" s="1020"/>
      <c r="AF507" s="1173"/>
      <c r="AG507" s="1190"/>
      <c r="AH507" s="1076"/>
      <c r="AI507" s="1076"/>
      <c r="AJ507" s="1076"/>
      <c r="AK507" s="1076"/>
      <c r="AL507" s="1076"/>
      <c r="AM507" s="1076"/>
      <c r="AN507" s="1076"/>
      <c r="AO507" s="1076"/>
      <c r="AP507" s="1076"/>
      <c r="AQ507" s="1076"/>
      <c r="AR507" s="1076"/>
      <c r="AS507" s="1076"/>
      <c r="AT507" s="1076"/>
      <c r="AU507" s="1076"/>
      <c r="AV507" s="1076"/>
      <c r="AW507" s="1076"/>
      <c r="AX507" s="1076"/>
      <c r="AY507" s="1076"/>
    </row>
    <row r="508" spans="1:51" ht="19.149999999999999" customHeight="1" x14ac:dyDescent="0.25">
      <c r="A508" s="1189"/>
      <c r="B508" s="1018"/>
      <c r="C508" s="1378" t="s">
        <v>622</v>
      </c>
      <c r="D508" s="161" t="s">
        <v>340</v>
      </c>
      <c r="E508" s="1225"/>
      <c r="F508" s="1225"/>
      <c r="G508" s="1225">
        <v>1</v>
      </c>
      <c r="H508" s="1225">
        <v>1</v>
      </c>
      <c r="I508" s="1225">
        <v>2</v>
      </c>
      <c r="J508" s="1225"/>
      <c r="K508" s="1306"/>
      <c r="L508" s="1225"/>
      <c r="M508" s="1225"/>
      <c r="N508" s="1006"/>
      <c r="O508" s="1022"/>
      <c r="P508" s="1225"/>
      <c r="Q508" s="1022"/>
      <c r="R508" s="1022"/>
      <c r="S508" s="1327"/>
      <c r="T508" s="1006">
        <f t="shared" si="92"/>
        <v>1</v>
      </c>
      <c r="U508" s="1006">
        <f t="shared" si="90"/>
        <v>1</v>
      </c>
      <c r="V508" s="1225">
        <f t="shared" si="91"/>
        <v>2</v>
      </c>
      <c r="W508" s="1225"/>
      <c r="X508" s="1006"/>
      <c r="Y508" s="1006"/>
      <c r="Z508" s="1225"/>
      <c r="AA508" s="1225"/>
      <c r="AB508" s="1020"/>
      <c r="AC508" s="1020"/>
      <c r="AD508" s="1020"/>
      <c r="AE508" s="1020"/>
      <c r="AF508" s="1332" t="s">
        <v>1574</v>
      </c>
      <c r="AG508" s="1274" t="str">
        <f>+C508</f>
        <v>14- LOS MÁRTIRES</v>
      </c>
      <c r="AH508" s="1334" t="s">
        <v>499</v>
      </c>
      <c r="AI508" s="1334" t="s">
        <v>1322</v>
      </c>
      <c r="AJ508" s="1275" t="s">
        <v>1433</v>
      </c>
      <c r="AK508" s="1275" t="s">
        <v>457</v>
      </c>
      <c r="AL508" s="1275" t="s">
        <v>178</v>
      </c>
      <c r="AM508" s="1275" t="s">
        <v>603</v>
      </c>
      <c r="AN508" s="1282">
        <v>83001</v>
      </c>
      <c r="AO508" s="1277">
        <v>33755</v>
      </c>
      <c r="AP508" s="1277">
        <v>49246</v>
      </c>
      <c r="AQ508" s="1278" t="s">
        <v>459</v>
      </c>
      <c r="AR508" s="1278" t="s">
        <v>459</v>
      </c>
      <c r="AS508" s="1278" t="s">
        <v>459</v>
      </c>
      <c r="AT508" s="1278" t="s">
        <v>459</v>
      </c>
      <c r="AU508" s="1278" t="s">
        <v>459</v>
      </c>
      <c r="AV508" s="1278" t="s">
        <v>459</v>
      </c>
      <c r="AW508" s="1278" t="s">
        <v>459</v>
      </c>
      <c r="AX508" s="1277">
        <v>82848</v>
      </c>
      <c r="AY508" s="1232" t="s">
        <v>1575</v>
      </c>
    </row>
    <row r="509" spans="1:51" ht="19.149999999999999" customHeight="1" x14ac:dyDescent="0.25">
      <c r="A509" s="1189"/>
      <c r="B509" s="1018"/>
      <c r="C509" s="1379"/>
      <c r="D509" s="164" t="s">
        <v>343</v>
      </c>
      <c r="E509" s="1020"/>
      <c r="F509" s="1020"/>
      <c r="G509" s="1225">
        <f>+G508*$T$419/$T$418</f>
        <v>1057466.6666666667</v>
      </c>
      <c r="H509" s="1225">
        <f>+H508*$U$419/$U$418</f>
        <v>4641500</v>
      </c>
      <c r="I509" s="1225">
        <f>+I508*$V$419/$V$418</f>
        <v>7408000</v>
      </c>
      <c r="J509" s="1225"/>
      <c r="K509" s="1225"/>
      <c r="L509" s="1225"/>
      <c r="M509" s="1225"/>
      <c r="N509" s="1225"/>
      <c r="O509" s="1225"/>
      <c r="P509" s="1225"/>
      <c r="Q509" s="1225"/>
      <c r="R509" s="1225"/>
      <c r="S509" s="1022"/>
      <c r="T509" s="1006">
        <f t="shared" si="92"/>
        <v>1057466.6666666667</v>
      </c>
      <c r="U509" s="1006">
        <f t="shared" si="90"/>
        <v>4641500</v>
      </c>
      <c r="V509" s="1225">
        <f t="shared" si="91"/>
        <v>7408000</v>
      </c>
      <c r="W509" s="1225"/>
      <c r="X509" s="1006"/>
      <c r="Y509" s="1006"/>
      <c r="Z509" s="1225"/>
      <c r="AA509" s="1225"/>
      <c r="AB509" s="1020"/>
      <c r="AC509" s="1020"/>
      <c r="AD509" s="1020"/>
      <c r="AE509" s="1020"/>
      <c r="AF509" s="1203"/>
      <c r="AG509" s="1204"/>
      <c r="AH509" s="1235"/>
      <c r="AI509" s="1235"/>
      <c r="AJ509" s="1073"/>
      <c r="AK509" s="1073"/>
      <c r="AL509" s="1073"/>
      <c r="AM509" s="1073"/>
      <c r="AN509" s="1073"/>
      <c r="AO509" s="1073"/>
      <c r="AP509" s="1073"/>
      <c r="AQ509" s="1073"/>
      <c r="AR509" s="1073"/>
      <c r="AS509" s="1073"/>
      <c r="AT509" s="1073"/>
      <c r="AU509" s="1073"/>
      <c r="AV509" s="1073"/>
      <c r="AW509" s="1073"/>
      <c r="AX509" s="1073"/>
      <c r="AY509" s="1073"/>
    </row>
    <row r="510" spans="1:51" ht="28.9" customHeight="1" x14ac:dyDescent="0.25">
      <c r="A510" s="1189"/>
      <c r="B510" s="1018"/>
      <c r="C510" s="1379"/>
      <c r="D510" s="165" t="s">
        <v>345</v>
      </c>
      <c r="E510" s="1020"/>
      <c r="F510" s="1020"/>
      <c r="G510" s="1020"/>
      <c r="H510" s="1020"/>
      <c r="I510" s="1020"/>
      <c r="J510" s="1020"/>
      <c r="K510" s="1335"/>
      <c r="L510" s="1020"/>
      <c r="M510" s="1020"/>
      <c r="N510" s="1059"/>
      <c r="O510" s="1327"/>
      <c r="P510" s="1022"/>
      <c r="Q510" s="1327"/>
      <c r="R510" s="1327"/>
      <c r="S510" s="1022"/>
      <c r="T510" s="1006">
        <f t="shared" si="92"/>
        <v>0</v>
      </c>
      <c r="U510" s="1006">
        <f t="shared" si="90"/>
        <v>0</v>
      </c>
      <c r="V510" s="1225">
        <f t="shared" si="91"/>
        <v>0</v>
      </c>
      <c r="W510" s="1225"/>
      <c r="X510" s="1006"/>
      <c r="Y510" s="1006"/>
      <c r="Z510" s="1225"/>
      <c r="AA510" s="1225"/>
      <c r="AB510" s="1020"/>
      <c r="AC510" s="1020"/>
      <c r="AD510" s="1020"/>
      <c r="AE510" s="1020"/>
      <c r="AF510" s="1203"/>
      <c r="AG510" s="1204"/>
      <c r="AH510" s="1235"/>
      <c r="AI510" s="1235"/>
      <c r="AJ510" s="1073"/>
      <c r="AK510" s="1073"/>
      <c r="AL510" s="1073"/>
      <c r="AM510" s="1073"/>
      <c r="AN510" s="1073"/>
      <c r="AO510" s="1073"/>
      <c r="AP510" s="1073"/>
      <c r="AQ510" s="1073"/>
      <c r="AR510" s="1073"/>
      <c r="AS510" s="1073"/>
      <c r="AT510" s="1073"/>
      <c r="AU510" s="1073"/>
      <c r="AV510" s="1073"/>
      <c r="AW510" s="1073"/>
      <c r="AX510" s="1073"/>
      <c r="AY510" s="1073"/>
    </row>
    <row r="511" spans="1:51" ht="28.9" customHeight="1" x14ac:dyDescent="0.25">
      <c r="A511" s="1189"/>
      <c r="B511" s="1018"/>
      <c r="C511" s="1379"/>
      <c r="D511" s="164" t="s">
        <v>346</v>
      </c>
      <c r="E511" s="1020"/>
      <c r="F511" s="1020"/>
      <c r="G511" s="1020">
        <f>+$T$421/9</f>
        <v>8833422.555555556</v>
      </c>
      <c r="H511" s="1020">
        <f>+$U$421/13</f>
        <v>9762277.307692308</v>
      </c>
      <c r="I511" s="1020">
        <f>+$V$421/13</f>
        <v>10421357.538461538</v>
      </c>
      <c r="J511" s="1020"/>
      <c r="K511" s="1020"/>
      <c r="L511" s="1020"/>
      <c r="M511" s="1020"/>
      <c r="N511" s="1020"/>
      <c r="O511" s="1020"/>
      <c r="P511" s="1327"/>
      <c r="Q511" s="1327"/>
      <c r="R511" s="1327"/>
      <c r="S511" s="1022"/>
      <c r="T511" s="1006">
        <f t="shared" si="92"/>
        <v>8833422.555555556</v>
      </c>
      <c r="U511" s="1006">
        <f t="shared" si="90"/>
        <v>9762277.307692308</v>
      </c>
      <c r="V511" s="1225">
        <f t="shared" si="91"/>
        <v>10421357.538461538</v>
      </c>
      <c r="W511" s="1225"/>
      <c r="X511" s="1006"/>
      <c r="Y511" s="1006"/>
      <c r="Z511" s="1225"/>
      <c r="AA511" s="1225"/>
      <c r="AB511" s="1020"/>
      <c r="AC511" s="1020"/>
      <c r="AD511" s="1020"/>
      <c r="AE511" s="1020"/>
      <c r="AF511" s="1203"/>
      <c r="AG511" s="1204"/>
      <c r="AH511" s="1235"/>
      <c r="AI511" s="1235"/>
      <c r="AJ511" s="1073"/>
      <c r="AK511" s="1073"/>
      <c r="AL511" s="1073"/>
      <c r="AM511" s="1073"/>
      <c r="AN511" s="1073"/>
      <c r="AO511" s="1073"/>
      <c r="AP511" s="1073"/>
      <c r="AQ511" s="1073"/>
      <c r="AR511" s="1073"/>
      <c r="AS511" s="1073"/>
      <c r="AT511" s="1073"/>
      <c r="AU511" s="1073"/>
      <c r="AV511" s="1073"/>
      <c r="AW511" s="1073"/>
      <c r="AX511" s="1073"/>
      <c r="AY511" s="1073"/>
    </row>
    <row r="512" spans="1:51" ht="28.9" customHeight="1" x14ac:dyDescent="0.25">
      <c r="A512" s="1189"/>
      <c r="B512" s="1018"/>
      <c r="C512" s="1379"/>
      <c r="D512" s="165" t="s">
        <v>347</v>
      </c>
      <c r="E512" s="1225"/>
      <c r="F512" s="1225"/>
      <c r="G512" s="1225">
        <v>1</v>
      </c>
      <c r="H512" s="1225">
        <v>1</v>
      </c>
      <c r="I512" s="1225">
        <v>2</v>
      </c>
      <c r="J512" s="1225"/>
      <c r="K512" s="1306"/>
      <c r="L512" s="1225"/>
      <c r="M512" s="1225"/>
      <c r="N512" s="1225"/>
      <c r="O512" s="1022"/>
      <c r="P512" s="1225"/>
      <c r="Q512" s="1022"/>
      <c r="R512" s="1022"/>
      <c r="S512" s="1022"/>
      <c r="T512" s="1006">
        <f>+T508+T510</f>
        <v>1</v>
      </c>
      <c r="U512" s="1006">
        <f t="shared" si="90"/>
        <v>1</v>
      </c>
      <c r="V512" s="1225">
        <f t="shared" si="91"/>
        <v>2</v>
      </c>
      <c r="W512" s="1225"/>
      <c r="X512" s="1006"/>
      <c r="Y512" s="1006"/>
      <c r="Z512" s="1225"/>
      <c r="AA512" s="1225"/>
      <c r="AB512" s="1020"/>
      <c r="AC512" s="1020"/>
      <c r="AD512" s="1020"/>
      <c r="AE512" s="1020"/>
      <c r="AF512" s="1203"/>
      <c r="AG512" s="1204"/>
      <c r="AH512" s="1235"/>
      <c r="AI512" s="1235"/>
      <c r="AJ512" s="1073"/>
      <c r="AK512" s="1073"/>
      <c r="AL512" s="1073"/>
      <c r="AM512" s="1073"/>
      <c r="AN512" s="1073"/>
      <c r="AO512" s="1073"/>
      <c r="AP512" s="1073"/>
      <c r="AQ512" s="1073"/>
      <c r="AR512" s="1073"/>
      <c r="AS512" s="1073"/>
      <c r="AT512" s="1073"/>
      <c r="AU512" s="1073"/>
      <c r="AV512" s="1073"/>
      <c r="AW512" s="1073"/>
      <c r="AX512" s="1073"/>
      <c r="AY512" s="1073"/>
    </row>
    <row r="513" spans="1:51" ht="28.9" customHeight="1" x14ac:dyDescent="0.25">
      <c r="A513" s="1189"/>
      <c r="B513" s="1018"/>
      <c r="C513" s="1169"/>
      <c r="D513" s="164" t="s">
        <v>348</v>
      </c>
      <c r="E513" s="1026"/>
      <c r="F513" s="1026"/>
      <c r="G513" s="1026">
        <f>+G509+G511</f>
        <v>9890889.222222222</v>
      </c>
      <c r="H513" s="1026">
        <f>+H509+H511</f>
        <v>14403777.307692308</v>
      </c>
      <c r="I513" s="1026">
        <f>+I509+I511</f>
        <v>17829357.538461536</v>
      </c>
      <c r="J513" s="1020"/>
      <c r="K513" s="1020"/>
      <c r="L513" s="1026"/>
      <c r="M513" s="1026"/>
      <c r="N513" s="1026"/>
      <c r="O513" s="1026"/>
      <c r="P513" s="1026"/>
      <c r="Q513" s="1026"/>
      <c r="R513" s="1026"/>
      <c r="S513" s="1327"/>
      <c r="T513" s="1006">
        <f>+T509+T511</f>
        <v>9890889.222222222</v>
      </c>
      <c r="U513" s="1006">
        <f t="shared" si="90"/>
        <v>14403777.307692308</v>
      </c>
      <c r="V513" s="1225">
        <f t="shared" si="91"/>
        <v>17829357.538461536</v>
      </c>
      <c r="W513" s="1225"/>
      <c r="X513" s="1006"/>
      <c r="Y513" s="1006"/>
      <c r="Z513" s="1225"/>
      <c r="AA513" s="1225"/>
      <c r="AB513" s="1020"/>
      <c r="AC513" s="1020"/>
      <c r="AD513" s="1020"/>
      <c r="AE513" s="1020"/>
      <c r="AF513" s="1173"/>
      <c r="AG513" s="1190"/>
      <c r="AH513" s="1236"/>
      <c r="AI513" s="1236"/>
      <c r="AJ513" s="1076"/>
      <c r="AK513" s="1076"/>
      <c r="AL513" s="1076"/>
      <c r="AM513" s="1076"/>
      <c r="AN513" s="1076"/>
      <c r="AO513" s="1076"/>
      <c r="AP513" s="1076"/>
      <c r="AQ513" s="1076"/>
      <c r="AR513" s="1076"/>
      <c r="AS513" s="1076"/>
      <c r="AT513" s="1076"/>
      <c r="AU513" s="1076"/>
      <c r="AV513" s="1076"/>
      <c r="AW513" s="1076"/>
      <c r="AX513" s="1076"/>
      <c r="AY513" s="1076"/>
    </row>
    <row r="514" spans="1:51" ht="19.149999999999999" customHeight="1" x14ac:dyDescent="0.25">
      <c r="A514" s="1189"/>
      <c r="B514" s="1018"/>
      <c r="C514" s="1153" t="s">
        <v>502</v>
      </c>
      <c r="D514" s="161" t="s">
        <v>340</v>
      </c>
      <c r="E514" s="1225"/>
      <c r="F514" s="1225"/>
      <c r="G514" s="1225"/>
      <c r="H514" s="1225"/>
      <c r="I514" s="1225"/>
      <c r="J514" s="1225"/>
      <c r="K514" s="1306"/>
      <c r="L514" s="1225"/>
      <c r="M514" s="1225"/>
      <c r="N514" s="1006"/>
      <c r="O514" s="1022"/>
      <c r="P514" s="1225"/>
      <c r="Q514" s="1022"/>
      <c r="R514" s="1022"/>
      <c r="S514" s="1327"/>
      <c r="T514" s="1006">
        <f t="shared" si="92"/>
        <v>0</v>
      </c>
      <c r="U514" s="1006">
        <f t="shared" si="90"/>
        <v>0</v>
      </c>
      <c r="V514" s="1225">
        <f t="shared" si="91"/>
        <v>0</v>
      </c>
      <c r="W514" s="1225"/>
      <c r="X514" s="1006"/>
      <c r="Y514" s="1006"/>
      <c r="Z514" s="1225"/>
      <c r="AA514" s="1225"/>
      <c r="AB514" s="1020"/>
      <c r="AC514" s="1020"/>
      <c r="AD514" s="1020"/>
      <c r="AE514" s="1020"/>
      <c r="AF514" s="1332"/>
      <c r="AG514" s="1274" t="str">
        <f>+C514</f>
        <v>15-ANTONIO NARIÑO</v>
      </c>
      <c r="AH514" s="1339" t="s">
        <v>623</v>
      </c>
      <c r="AI514" s="1339" t="s">
        <v>624</v>
      </c>
      <c r="AJ514" s="1275"/>
      <c r="AK514" s="1275" t="s">
        <v>457</v>
      </c>
      <c r="AL514" s="1275" t="s">
        <v>178</v>
      </c>
      <c r="AM514" s="1275" t="s">
        <v>603</v>
      </c>
      <c r="AN514" s="1282">
        <v>83925</v>
      </c>
      <c r="AO514" s="1277">
        <v>38960</v>
      </c>
      <c r="AP514" s="1277">
        <v>44965</v>
      </c>
      <c r="AQ514" s="1278" t="s">
        <v>459</v>
      </c>
      <c r="AR514" s="1278" t="s">
        <v>459</v>
      </c>
      <c r="AS514" s="1278" t="s">
        <v>459</v>
      </c>
      <c r="AT514" s="1278" t="s">
        <v>459</v>
      </c>
      <c r="AU514" s="1278" t="s">
        <v>459</v>
      </c>
      <c r="AV514" s="1278" t="s">
        <v>459</v>
      </c>
      <c r="AW514" s="1278" t="s">
        <v>459</v>
      </c>
      <c r="AX514" s="1277">
        <v>83925</v>
      </c>
      <c r="AY514" s="1232"/>
    </row>
    <row r="515" spans="1:51" ht="19.149999999999999" customHeight="1" x14ac:dyDescent="0.25">
      <c r="A515" s="1189"/>
      <c r="B515" s="1018"/>
      <c r="C515" s="1018"/>
      <c r="D515" s="164" t="s">
        <v>343</v>
      </c>
      <c r="E515" s="1020"/>
      <c r="F515" s="1020"/>
      <c r="G515" s="1020"/>
      <c r="H515" s="1020"/>
      <c r="I515" s="1020"/>
      <c r="J515" s="1225"/>
      <c r="K515" s="1225"/>
      <c r="L515" s="1225"/>
      <c r="M515" s="1225"/>
      <c r="N515" s="1225"/>
      <c r="O515" s="1225"/>
      <c r="P515" s="1225"/>
      <c r="Q515" s="1225"/>
      <c r="R515" s="1225"/>
      <c r="S515" s="1022"/>
      <c r="T515" s="1006">
        <f t="shared" si="92"/>
        <v>0</v>
      </c>
      <c r="U515" s="1006">
        <f t="shared" si="90"/>
        <v>0</v>
      </c>
      <c r="V515" s="1225">
        <f t="shared" si="91"/>
        <v>0</v>
      </c>
      <c r="W515" s="1225"/>
      <c r="X515" s="1006"/>
      <c r="Y515" s="1006"/>
      <c r="Z515" s="1225"/>
      <c r="AA515" s="1225"/>
      <c r="AB515" s="1020"/>
      <c r="AC515" s="1020"/>
      <c r="AD515" s="1020"/>
      <c r="AE515" s="1020"/>
      <c r="AF515" s="1203"/>
      <c r="AG515" s="1204"/>
      <c r="AH515" s="1057"/>
      <c r="AI515" s="1057"/>
      <c r="AJ515" s="1073"/>
      <c r="AK515" s="1073"/>
      <c r="AL515" s="1073"/>
      <c r="AM515" s="1073"/>
      <c r="AN515" s="1073"/>
      <c r="AO515" s="1073"/>
      <c r="AP515" s="1073"/>
      <c r="AQ515" s="1073"/>
      <c r="AR515" s="1073"/>
      <c r="AS515" s="1073"/>
      <c r="AT515" s="1073"/>
      <c r="AU515" s="1073"/>
      <c r="AV515" s="1073"/>
      <c r="AW515" s="1073"/>
      <c r="AX515" s="1073"/>
      <c r="AY515" s="1073"/>
    </row>
    <row r="516" spans="1:51" ht="28.9" customHeight="1" x14ac:dyDescent="0.25">
      <c r="A516" s="1189"/>
      <c r="B516" s="1018"/>
      <c r="C516" s="1018"/>
      <c r="D516" s="165" t="s">
        <v>345</v>
      </c>
      <c r="E516" s="1020"/>
      <c r="F516" s="1020"/>
      <c r="G516" s="1020"/>
      <c r="H516" s="1020"/>
      <c r="I516" s="1020"/>
      <c r="J516" s="1020"/>
      <c r="K516" s="1335"/>
      <c r="L516" s="1020"/>
      <c r="M516" s="1020"/>
      <c r="N516" s="1059"/>
      <c r="O516" s="1327"/>
      <c r="P516" s="1022"/>
      <c r="Q516" s="1327"/>
      <c r="R516" s="1327"/>
      <c r="S516" s="1022"/>
      <c r="T516" s="1006">
        <f t="shared" si="92"/>
        <v>0</v>
      </c>
      <c r="U516" s="1006">
        <f t="shared" si="90"/>
        <v>0</v>
      </c>
      <c r="V516" s="1225">
        <f t="shared" si="91"/>
        <v>0</v>
      </c>
      <c r="W516" s="1225"/>
      <c r="X516" s="1006"/>
      <c r="Y516" s="1006"/>
      <c r="Z516" s="1225"/>
      <c r="AA516" s="1225"/>
      <c r="AB516" s="1020"/>
      <c r="AC516" s="1020"/>
      <c r="AD516" s="1020"/>
      <c r="AE516" s="1020"/>
      <c r="AF516" s="1203"/>
      <c r="AG516" s="1204"/>
      <c r="AH516" s="1057"/>
      <c r="AI516" s="1057"/>
      <c r="AJ516" s="1073"/>
      <c r="AK516" s="1073"/>
      <c r="AL516" s="1073"/>
      <c r="AM516" s="1073"/>
      <c r="AN516" s="1073"/>
      <c r="AO516" s="1073"/>
      <c r="AP516" s="1073"/>
      <c r="AQ516" s="1073"/>
      <c r="AR516" s="1073"/>
      <c r="AS516" s="1073"/>
      <c r="AT516" s="1073"/>
      <c r="AU516" s="1073"/>
      <c r="AV516" s="1073"/>
      <c r="AW516" s="1073"/>
      <c r="AX516" s="1073"/>
      <c r="AY516" s="1073"/>
    </row>
    <row r="517" spans="1:51" ht="28.9" customHeight="1" x14ac:dyDescent="0.25">
      <c r="A517" s="1189"/>
      <c r="B517" s="1018"/>
      <c r="C517" s="1018"/>
      <c r="D517" s="164" t="s">
        <v>346</v>
      </c>
      <c r="E517" s="1020"/>
      <c r="F517" s="1020"/>
      <c r="G517" s="1020"/>
      <c r="H517" s="1020"/>
      <c r="I517" s="1020"/>
      <c r="J517" s="1020"/>
      <c r="K517" s="1020"/>
      <c r="L517" s="1020"/>
      <c r="M517" s="1020"/>
      <c r="N517" s="1020"/>
      <c r="O517" s="1020"/>
      <c r="P517" s="1022"/>
      <c r="Q517" s="1022"/>
      <c r="R517" s="1022"/>
      <c r="S517" s="1022"/>
      <c r="T517" s="1006">
        <f t="shared" si="92"/>
        <v>0</v>
      </c>
      <c r="U517" s="1006">
        <f t="shared" si="90"/>
        <v>0</v>
      </c>
      <c r="V517" s="1225">
        <f t="shared" si="91"/>
        <v>0</v>
      </c>
      <c r="W517" s="1225"/>
      <c r="X517" s="1006"/>
      <c r="Y517" s="1006"/>
      <c r="Z517" s="1225"/>
      <c r="AA517" s="1225"/>
      <c r="AB517" s="1020"/>
      <c r="AC517" s="1020"/>
      <c r="AD517" s="1020"/>
      <c r="AE517" s="1020"/>
      <c r="AF517" s="1203"/>
      <c r="AG517" s="1204"/>
      <c r="AH517" s="1057"/>
      <c r="AI517" s="1057"/>
      <c r="AJ517" s="1073"/>
      <c r="AK517" s="1073"/>
      <c r="AL517" s="1073"/>
      <c r="AM517" s="1073"/>
      <c r="AN517" s="1073"/>
      <c r="AO517" s="1073"/>
      <c r="AP517" s="1073"/>
      <c r="AQ517" s="1073"/>
      <c r="AR517" s="1073"/>
      <c r="AS517" s="1073"/>
      <c r="AT517" s="1073"/>
      <c r="AU517" s="1073"/>
      <c r="AV517" s="1073"/>
      <c r="AW517" s="1073"/>
      <c r="AX517" s="1073"/>
      <c r="AY517" s="1073"/>
    </row>
    <row r="518" spans="1:51" ht="28.9" customHeight="1" x14ac:dyDescent="0.25">
      <c r="A518" s="1189"/>
      <c r="B518" s="1018"/>
      <c r="C518" s="1018"/>
      <c r="D518" s="165" t="s">
        <v>347</v>
      </c>
      <c r="E518" s="1225"/>
      <c r="F518" s="1225"/>
      <c r="G518" s="1225"/>
      <c r="H518" s="1225"/>
      <c r="I518" s="1225"/>
      <c r="J518" s="1225"/>
      <c r="K518" s="1306"/>
      <c r="L518" s="1225"/>
      <c r="M518" s="1225"/>
      <c r="N518" s="1225"/>
      <c r="O518" s="1022"/>
      <c r="P518" s="1225"/>
      <c r="Q518" s="1022"/>
      <c r="R518" s="1022"/>
      <c r="S518" s="1022"/>
      <c r="T518" s="1006">
        <f t="shared" si="92"/>
        <v>0</v>
      </c>
      <c r="U518" s="1006">
        <f t="shared" si="90"/>
        <v>0</v>
      </c>
      <c r="V518" s="1225">
        <f t="shared" si="91"/>
        <v>0</v>
      </c>
      <c r="W518" s="1225"/>
      <c r="X518" s="1006"/>
      <c r="Y518" s="1006"/>
      <c r="Z518" s="1225"/>
      <c r="AA518" s="1225"/>
      <c r="AB518" s="1020"/>
      <c r="AC518" s="1020"/>
      <c r="AD518" s="1020"/>
      <c r="AE518" s="1020"/>
      <c r="AF518" s="1203"/>
      <c r="AG518" s="1204"/>
      <c r="AH518" s="1057"/>
      <c r="AI518" s="1057"/>
      <c r="AJ518" s="1073"/>
      <c r="AK518" s="1073"/>
      <c r="AL518" s="1073"/>
      <c r="AM518" s="1073"/>
      <c r="AN518" s="1073"/>
      <c r="AO518" s="1073"/>
      <c r="AP518" s="1073"/>
      <c r="AQ518" s="1073"/>
      <c r="AR518" s="1073"/>
      <c r="AS518" s="1073"/>
      <c r="AT518" s="1073"/>
      <c r="AU518" s="1073"/>
      <c r="AV518" s="1073"/>
      <c r="AW518" s="1073"/>
      <c r="AX518" s="1073"/>
      <c r="AY518" s="1073"/>
    </row>
    <row r="519" spans="1:51" ht="28.9" customHeight="1" x14ac:dyDescent="0.25">
      <c r="A519" s="1189"/>
      <c r="B519" s="1018"/>
      <c r="C519" s="1048"/>
      <c r="D519" s="164" t="s">
        <v>348</v>
      </c>
      <c r="E519" s="1026"/>
      <c r="F519" s="1026"/>
      <c r="G519" s="1026"/>
      <c r="H519" s="1026"/>
      <c r="I519" s="1026"/>
      <c r="J519" s="1020"/>
      <c r="K519" s="1020"/>
      <c r="L519" s="1026"/>
      <c r="M519" s="1026"/>
      <c r="N519" s="1026"/>
      <c r="O519" s="1026"/>
      <c r="P519" s="1026"/>
      <c r="Q519" s="1026"/>
      <c r="R519" s="1026"/>
      <c r="S519" s="1327"/>
      <c r="T519" s="1006">
        <f t="shared" si="92"/>
        <v>0</v>
      </c>
      <c r="U519" s="1006">
        <f t="shared" si="90"/>
        <v>0</v>
      </c>
      <c r="V519" s="1225">
        <f t="shared" si="91"/>
        <v>0</v>
      </c>
      <c r="W519" s="1225"/>
      <c r="X519" s="1006"/>
      <c r="Y519" s="1006"/>
      <c r="Z519" s="1225"/>
      <c r="AA519" s="1225"/>
      <c r="AB519" s="1020"/>
      <c r="AC519" s="1020"/>
      <c r="AD519" s="1020"/>
      <c r="AE519" s="1020"/>
      <c r="AF519" s="1173"/>
      <c r="AG519" s="1190"/>
      <c r="AH519" s="1068"/>
      <c r="AI519" s="1068"/>
      <c r="AJ519" s="1076"/>
      <c r="AK519" s="1076"/>
      <c r="AL519" s="1076"/>
      <c r="AM519" s="1076"/>
      <c r="AN519" s="1076"/>
      <c r="AO519" s="1076"/>
      <c r="AP519" s="1076"/>
      <c r="AQ519" s="1076"/>
      <c r="AR519" s="1076"/>
      <c r="AS519" s="1076"/>
      <c r="AT519" s="1076"/>
      <c r="AU519" s="1076"/>
      <c r="AV519" s="1076"/>
      <c r="AW519" s="1076"/>
      <c r="AX519" s="1076"/>
      <c r="AY519" s="1076"/>
    </row>
    <row r="520" spans="1:51" ht="19.149999999999999" customHeight="1" x14ac:dyDescent="0.25">
      <c r="A520" s="1189"/>
      <c r="B520" s="1018"/>
      <c r="C520" s="1378" t="s">
        <v>543</v>
      </c>
      <c r="D520" s="161" t="s">
        <v>340</v>
      </c>
      <c r="E520" s="1225"/>
      <c r="F520" s="1225"/>
      <c r="G520" s="1225">
        <v>4</v>
      </c>
      <c r="H520" s="1225">
        <v>8</v>
      </c>
      <c r="I520" s="1225">
        <v>10</v>
      </c>
      <c r="J520" s="1225"/>
      <c r="K520" s="1306"/>
      <c r="L520" s="1225"/>
      <c r="M520" s="1225"/>
      <c r="N520" s="1006"/>
      <c r="O520" s="1022"/>
      <c r="P520" s="1225"/>
      <c r="Q520" s="1022"/>
      <c r="R520" s="1022"/>
      <c r="S520" s="1327"/>
      <c r="T520" s="1006">
        <f t="shared" si="92"/>
        <v>4</v>
      </c>
      <c r="U520" s="1006">
        <f t="shared" si="90"/>
        <v>8</v>
      </c>
      <c r="V520" s="1225">
        <f t="shared" si="91"/>
        <v>10</v>
      </c>
      <c r="W520" s="1225"/>
      <c r="X520" s="1006"/>
      <c r="Y520" s="1006"/>
      <c r="Z520" s="1225"/>
      <c r="AA520" s="1225"/>
      <c r="AB520" s="1020"/>
      <c r="AC520" s="1020"/>
      <c r="AD520" s="1020"/>
      <c r="AE520" s="1020"/>
      <c r="AF520" s="1332" t="s">
        <v>1576</v>
      </c>
      <c r="AG520" s="1274" t="s">
        <v>543</v>
      </c>
      <c r="AH520" s="1334" t="s">
        <v>1446</v>
      </c>
      <c r="AI520" s="1334" t="s">
        <v>1447</v>
      </c>
      <c r="AJ520" s="1275" t="s">
        <v>1433</v>
      </c>
      <c r="AK520" s="1275" t="s">
        <v>457</v>
      </c>
      <c r="AL520" s="1275" t="s">
        <v>610</v>
      </c>
      <c r="AM520" s="1275" t="s">
        <v>603</v>
      </c>
      <c r="AN520" s="1282">
        <v>258034</v>
      </c>
      <c r="AO520" s="1277">
        <v>128107</v>
      </c>
      <c r="AP520" s="1277">
        <v>129927</v>
      </c>
      <c r="AQ520" s="1278" t="s">
        <v>459</v>
      </c>
      <c r="AR520" s="1278" t="s">
        <v>459</v>
      </c>
      <c r="AS520" s="1278" t="s">
        <v>459</v>
      </c>
      <c r="AT520" s="1278" t="s">
        <v>459</v>
      </c>
      <c r="AU520" s="1278" t="s">
        <v>459</v>
      </c>
      <c r="AV520" s="1278" t="s">
        <v>459</v>
      </c>
      <c r="AW520" s="1278" t="s">
        <v>459</v>
      </c>
      <c r="AX520" s="1282">
        <v>256731</v>
      </c>
      <c r="AY520" s="1232" t="s">
        <v>1577</v>
      </c>
    </row>
    <row r="521" spans="1:51" ht="19.149999999999999" customHeight="1" x14ac:dyDescent="0.25">
      <c r="A521" s="1189"/>
      <c r="B521" s="1018"/>
      <c r="C521" s="1379"/>
      <c r="D521" s="164" t="s">
        <v>343</v>
      </c>
      <c r="E521" s="1020"/>
      <c r="F521" s="1020"/>
      <c r="G521" s="1225">
        <f>+G520*$T$419/$T$418</f>
        <v>4229866.666666667</v>
      </c>
      <c r="H521" s="1225">
        <f>+H520*$U$419/$U$418</f>
        <v>37132000</v>
      </c>
      <c r="I521" s="1225">
        <f>+I520*$V$419/$V$418</f>
        <v>37040000</v>
      </c>
      <c r="J521" s="1225"/>
      <c r="K521" s="1225"/>
      <c r="L521" s="1225"/>
      <c r="M521" s="1225"/>
      <c r="N521" s="1225"/>
      <c r="O521" s="1225"/>
      <c r="P521" s="1225"/>
      <c r="Q521" s="1225"/>
      <c r="R521" s="1225"/>
      <c r="S521" s="1022"/>
      <c r="T521" s="1006">
        <f t="shared" si="92"/>
        <v>4229866.666666667</v>
      </c>
      <c r="U521" s="1006">
        <f t="shared" si="90"/>
        <v>37132000</v>
      </c>
      <c r="V521" s="1225">
        <f t="shared" si="91"/>
        <v>37040000</v>
      </c>
      <c r="W521" s="1225"/>
      <c r="X521" s="1006"/>
      <c r="Y521" s="1006"/>
      <c r="Z521" s="1225"/>
      <c r="AA521" s="1225"/>
      <c r="AB521" s="1020"/>
      <c r="AC521" s="1020"/>
      <c r="AD521" s="1020"/>
      <c r="AE521" s="1020"/>
      <c r="AF521" s="1203"/>
      <c r="AG521" s="1204"/>
      <c r="AH521" s="1237"/>
      <c r="AI521" s="1237"/>
      <c r="AJ521" s="1073"/>
      <c r="AK521" s="1073"/>
      <c r="AL521" s="1073"/>
      <c r="AM521" s="1073"/>
      <c r="AN521" s="1073"/>
      <c r="AO521" s="1073"/>
      <c r="AP521" s="1073"/>
      <c r="AQ521" s="1073"/>
      <c r="AR521" s="1073"/>
      <c r="AS521" s="1073"/>
      <c r="AT521" s="1073"/>
      <c r="AU521" s="1073"/>
      <c r="AV521" s="1073"/>
      <c r="AW521" s="1073"/>
      <c r="AX521" s="1073"/>
      <c r="AY521" s="1073"/>
    </row>
    <row r="522" spans="1:51" ht="28.9" customHeight="1" x14ac:dyDescent="0.25">
      <c r="A522" s="1189"/>
      <c r="B522" s="1018"/>
      <c r="C522" s="1379"/>
      <c r="D522" s="165" t="s">
        <v>345</v>
      </c>
      <c r="E522" s="1020"/>
      <c r="F522" s="1020"/>
      <c r="G522" s="1020"/>
      <c r="H522" s="1020"/>
      <c r="I522" s="1020"/>
      <c r="J522" s="1020"/>
      <c r="K522" s="1335"/>
      <c r="L522" s="1020"/>
      <c r="M522" s="1020"/>
      <c r="N522" s="1059"/>
      <c r="O522" s="1327"/>
      <c r="P522" s="1022"/>
      <c r="Q522" s="1327"/>
      <c r="R522" s="1327"/>
      <c r="S522" s="1022"/>
      <c r="T522" s="1006">
        <f t="shared" si="92"/>
        <v>0</v>
      </c>
      <c r="U522" s="1006">
        <f t="shared" si="90"/>
        <v>0</v>
      </c>
      <c r="V522" s="1225">
        <f t="shared" si="91"/>
        <v>0</v>
      </c>
      <c r="W522" s="1225"/>
      <c r="X522" s="1006"/>
      <c r="Y522" s="1006"/>
      <c r="Z522" s="1225"/>
      <c r="AA522" s="1225"/>
      <c r="AB522" s="1020"/>
      <c r="AC522" s="1020"/>
      <c r="AD522" s="1020"/>
      <c r="AE522" s="1020"/>
      <c r="AF522" s="1203"/>
      <c r="AG522" s="1204"/>
      <c r="AH522" s="1237"/>
      <c r="AI522" s="1237"/>
      <c r="AJ522" s="1073"/>
      <c r="AK522" s="1073"/>
      <c r="AL522" s="1073"/>
      <c r="AM522" s="1073"/>
      <c r="AN522" s="1073"/>
      <c r="AO522" s="1073"/>
      <c r="AP522" s="1073"/>
      <c r="AQ522" s="1073"/>
      <c r="AR522" s="1073"/>
      <c r="AS522" s="1073"/>
      <c r="AT522" s="1073"/>
      <c r="AU522" s="1073"/>
      <c r="AV522" s="1073"/>
      <c r="AW522" s="1073"/>
      <c r="AX522" s="1073"/>
      <c r="AY522" s="1073"/>
    </row>
    <row r="523" spans="1:51" ht="28.9" customHeight="1" x14ac:dyDescent="0.25">
      <c r="A523" s="1189"/>
      <c r="B523" s="1018"/>
      <c r="C523" s="1379"/>
      <c r="D523" s="164" t="s">
        <v>346</v>
      </c>
      <c r="E523" s="1020"/>
      <c r="F523" s="1020"/>
      <c r="G523" s="1020">
        <f>+$T$421/9</f>
        <v>8833422.555555556</v>
      </c>
      <c r="H523" s="1020">
        <f>+$U$421/13</f>
        <v>9762277.307692308</v>
      </c>
      <c r="I523" s="1020">
        <f>+$V$421/13</f>
        <v>10421357.538461538</v>
      </c>
      <c r="J523" s="1020"/>
      <c r="K523" s="1020"/>
      <c r="L523" s="1020"/>
      <c r="M523" s="1020"/>
      <c r="N523" s="1020"/>
      <c r="O523" s="1020"/>
      <c r="P523" s="1327"/>
      <c r="Q523" s="1327"/>
      <c r="R523" s="1327"/>
      <c r="S523" s="1022"/>
      <c r="T523" s="1006">
        <f t="shared" si="92"/>
        <v>8833422.555555556</v>
      </c>
      <c r="U523" s="1006">
        <f t="shared" si="90"/>
        <v>9762277.307692308</v>
      </c>
      <c r="V523" s="1225">
        <f t="shared" si="91"/>
        <v>10421357.538461538</v>
      </c>
      <c r="W523" s="1225"/>
      <c r="X523" s="1006"/>
      <c r="Y523" s="1006"/>
      <c r="Z523" s="1225"/>
      <c r="AA523" s="1225"/>
      <c r="AB523" s="1020"/>
      <c r="AC523" s="1020"/>
      <c r="AD523" s="1020"/>
      <c r="AE523" s="1020"/>
      <c r="AF523" s="1203"/>
      <c r="AG523" s="1204"/>
      <c r="AH523" s="1237"/>
      <c r="AI523" s="1237"/>
      <c r="AJ523" s="1073"/>
      <c r="AK523" s="1073"/>
      <c r="AL523" s="1073"/>
      <c r="AM523" s="1073"/>
      <c r="AN523" s="1073"/>
      <c r="AO523" s="1073"/>
      <c r="AP523" s="1073"/>
      <c r="AQ523" s="1073"/>
      <c r="AR523" s="1073"/>
      <c r="AS523" s="1073"/>
      <c r="AT523" s="1073"/>
      <c r="AU523" s="1073"/>
      <c r="AV523" s="1073"/>
      <c r="AW523" s="1073"/>
      <c r="AX523" s="1073"/>
      <c r="AY523" s="1073"/>
    </row>
    <row r="524" spans="1:51" ht="28.9" customHeight="1" x14ac:dyDescent="0.25">
      <c r="A524" s="1189"/>
      <c r="B524" s="1018"/>
      <c r="C524" s="1379"/>
      <c r="D524" s="165" t="s">
        <v>347</v>
      </c>
      <c r="E524" s="1225"/>
      <c r="F524" s="1225"/>
      <c r="G524" s="1225">
        <v>4</v>
      </c>
      <c r="H524" s="1225">
        <v>8</v>
      </c>
      <c r="I524" s="1225">
        <v>10</v>
      </c>
      <c r="J524" s="1225"/>
      <c r="K524" s="1306"/>
      <c r="L524" s="1225"/>
      <c r="M524" s="1225"/>
      <c r="N524" s="1225"/>
      <c r="O524" s="1022"/>
      <c r="P524" s="1225"/>
      <c r="Q524" s="1022"/>
      <c r="R524" s="1022"/>
      <c r="S524" s="1022"/>
      <c r="T524" s="1006">
        <f>+T520+T522</f>
        <v>4</v>
      </c>
      <c r="U524" s="1006">
        <f t="shared" si="90"/>
        <v>8</v>
      </c>
      <c r="V524" s="1225">
        <f t="shared" si="91"/>
        <v>10</v>
      </c>
      <c r="W524" s="1225"/>
      <c r="X524" s="1006"/>
      <c r="Y524" s="1006"/>
      <c r="Z524" s="1225"/>
      <c r="AA524" s="1225"/>
      <c r="AB524" s="1020"/>
      <c r="AC524" s="1020"/>
      <c r="AD524" s="1020"/>
      <c r="AE524" s="1020"/>
      <c r="AF524" s="1203"/>
      <c r="AG524" s="1204"/>
      <c r="AH524" s="1237"/>
      <c r="AI524" s="1237"/>
      <c r="AJ524" s="1073"/>
      <c r="AK524" s="1073"/>
      <c r="AL524" s="1073"/>
      <c r="AM524" s="1073"/>
      <c r="AN524" s="1073"/>
      <c r="AO524" s="1073"/>
      <c r="AP524" s="1073"/>
      <c r="AQ524" s="1073"/>
      <c r="AR524" s="1073"/>
      <c r="AS524" s="1073"/>
      <c r="AT524" s="1073"/>
      <c r="AU524" s="1073"/>
      <c r="AV524" s="1073"/>
      <c r="AW524" s="1073"/>
      <c r="AX524" s="1073"/>
      <c r="AY524" s="1073"/>
    </row>
    <row r="525" spans="1:51" ht="28.9" customHeight="1" x14ac:dyDescent="0.25">
      <c r="A525" s="1189"/>
      <c r="B525" s="1018"/>
      <c r="C525" s="1169"/>
      <c r="D525" s="164" t="s">
        <v>348</v>
      </c>
      <c r="E525" s="1026"/>
      <c r="F525" s="1026"/>
      <c r="G525" s="1026">
        <f>+G521+G523</f>
        <v>13063289.222222224</v>
      </c>
      <c r="H525" s="1026">
        <f>+H521+H523</f>
        <v>46894277.307692304</v>
      </c>
      <c r="I525" s="1026">
        <f>+I521+I523</f>
        <v>47461357.538461536</v>
      </c>
      <c r="J525" s="1020"/>
      <c r="K525" s="1020"/>
      <c r="L525" s="1026"/>
      <c r="M525" s="1026"/>
      <c r="N525" s="1026"/>
      <c r="O525" s="1026"/>
      <c r="P525" s="1026"/>
      <c r="Q525" s="1026"/>
      <c r="R525" s="1026"/>
      <c r="S525" s="1327"/>
      <c r="T525" s="1006">
        <f>+T521+T523</f>
        <v>13063289.222222224</v>
      </c>
      <c r="U525" s="1006">
        <f t="shared" si="90"/>
        <v>46894277.307692304</v>
      </c>
      <c r="V525" s="1225">
        <f t="shared" si="91"/>
        <v>47461357.538461536</v>
      </c>
      <c r="W525" s="1225"/>
      <c r="X525" s="1006"/>
      <c r="Y525" s="1006"/>
      <c r="Z525" s="1225"/>
      <c r="AA525" s="1225"/>
      <c r="AB525" s="1020"/>
      <c r="AC525" s="1020"/>
      <c r="AD525" s="1020"/>
      <c r="AE525" s="1020"/>
      <c r="AF525" s="1173"/>
      <c r="AG525" s="1190"/>
      <c r="AH525" s="1238"/>
      <c r="AI525" s="1238"/>
      <c r="AJ525" s="1076"/>
      <c r="AK525" s="1076"/>
      <c r="AL525" s="1076"/>
      <c r="AM525" s="1076"/>
      <c r="AN525" s="1076"/>
      <c r="AO525" s="1076"/>
      <c r="AP525" s="1076"/>
      <c r="AQ525" s="1076"/>
      <c r="AR525" s="1076"/>
      <c r="AS525" s="1076"/>
      <c r="AT525" s="1076"/>
      <c r="AU525" s="1076"/>
      <c r="AV525" s="1076"/>
      <c r="AW525" s="1076"/>
      <c r="AX525" s="1076"/>
      <c r="AY525" s="1076"/>
    </row>
    <row r="526" spans="1:51" ht="19.149999999999999" customHeight="1" x14ac:dyDescent="0.25">
      <c r="A526" s="1189"/>
      <c r="B526" s="1018"/>
      <c r="C526" s="1153" t="s">
        <v>625</v>
      </c>
      <c r="D526" s="161" t="s">
        <v>340</v>
      </c>
      <c r="E526" s="1225"/>
      <c r="F526" s="1225"/>
      <c r="G526" s="1225"/>
      <c r="H526" s="1225"/>
      <c r="I526" s="1225"/>
      <c r="J526" s="1225"/>
      <c r="K526" s="1306"/>
      <c r="L526" s="1225"/>
      <c r="M526" s="1225"/>
      <c r="N526" s="1006"/>
      <c r="O526" s="1022"/>
      <c r="P526" s="1225"/>
      <c r="Q526" s="1022"/>
      <c r="R526" s="1022"/>
      <c r="S526" s="1327"/>
      <c r="T526" s="1006">
        <f t="shared" si="92"/>
        <v>0</v>
      </c>
      <c r="U526" s="1006">
        <f t="shared" si="90"/>
        <v>0</v>
      </c>
      <c r="V526" s="1225">
        <f t="shared" si="91"/>
        <v>0</v>
      </c>
      <c r="W526" s="1225"/>
      <c r="X526" s="1006"/>
      <c r="Y526" s="1006"/>
      <c r="Z526" s="1225"/>
      <c r="AA526" s="1225"/>
      <c r="AB526" s="1020"/>
      <c r="AC526" s="1020"/>
      <c r="AD526" s="1020"/>
      <c r="AE526" s="1020"/>
      <c r="AF526" s="1332"/>
      <c r="AG526" s="1274" t="str">
        <f>+C526</f>
        <v>17- LA CANDELARIA</v>
      </c>
      <c r="AH526" s="1334" t="s">
        <v>470</v>
      </c>
      <c r="AI526" s="1334" t="s">
        <v>626</v>
      </c>
      <c r="AJ526" s="1275"/>
      <c r="AK526" s="1275" t="s">
        <v>457</v>
      </c>
      <c r="AL526" s="1275" t="s">
        <v>610</v>
      </c>
      <c r="AM526" s="1275" t="s">
        <v>603</v>
      </c>
      <c r="AN526" s="1282">
        <v>18409</v>
      </c>
      <c r="AO526" s="1277">
        <v>9361</v>
      </c>
      <c r="AP526" s="1277">
        <v>9048</v>
      </c>
      <c r="AQ526" s="1278" t="s">
        <v>459</v>
      </c>
      <c r="AR526" s="1278" t="s">
        <v>459</v>
      </c>
      <c r="AS526" s="1278" t="s">
        <v>459</v>
      </c>
      <c r="AT526" s="1278" t="s">
        <v>459</v>
      </c>
      <c r="AU526" s="1278" t="s">
        <v>459</v>
      </c>
      <c r="AV526" s="1278" t="s">
        <v>459</v>
      </c>
      <c r="AW526" s="1278" t="s">
        <v>459</v>
      </c>
      <c r="AX526" s="1282">
        <v>633874</v>
      </c>
      <c r="AY526" s="1232"/>
    </row>
    <row r="527" spans="1:51" ht="19.149999999999999" customHeight="1" x14ac:dyDescent="0.25">
      <c r="A527" s="1189"/>
      <c r="B527" s="1018"/>
      <c r="C527" s="1018"/>
      <c r="D527" s="164" t="s">
        <v>343</v>
      </c>
      <c r="E527" s="1020"/>
      <c r="F527" s="1020"/>
      <c r="G527" s="1020"/>
      <c r="H527" s="1020"/>
      <c r="I527" s="1020"/>
      <c r="J527" s="1020"/>
      <c r="K527" s="1335"/>
      <c r="L527" s="1020"/>
      <c r="M527" s="1020"/>
      <c r="N527" s="1020"/>
      <c r="O527" s="1225"/>
      <c r="P527" s="1225"/>
      <c r="Q527" s="1225"/>
      <c r="R527" s="1225"/>
      <c r="S527" s="1022"/>
      <c r="T527" s="1006">
        <f t="shared" si="92"/>
        <v>0</v>
      </c>
      <c r="U527" s="1006">
        <f t="shared" si="90"/>
        <v>0</v>
      </c>
      <c r="V527" s="1225">
        <f t="shared" si="91"/>
        <v>0</v>
      </c>
      <c r="W527" s="1225"/>
      <c r="X527" s="1006"/>
      <c r="Y527" s="1006"/>
      <c r="Z527" s="1225"/>
      <c r="AA527" s="1225"/>
      <c r="AB527" s="1020"/>
      <c r="AC527" s="1020"/>
      <c r="AD527" s="1020"/>
      <c r="AE527" s="1020"/>
      <c r="AF527" s="1203"/>
      <c r="AG527" s="1204"/>
      <c r="AH527" s="1073"/>
      <c r="AI527" s="1073"/>
      <c r="AJ527" s="1073"/>
      <c r="AK527" s="1073"/>
      <c r="AL527" s="1073"/>
      <c r="AM527" s="1073"/>
      <c r="AN527" s="1073"/>
      <c r="AO527" s="1073"/>
      <c r="AP527" s="1073"/>
      <c r="AQ527" s="1073"/>
      <c r="AR527" s="1073"/>
      <c r="AS527" s="1073"/>
      <c r="AT527" s="1073"/>
      <c r="AU527" s="1073"/>
      <c r="AV527" s="1073"/>
      <c r="AW527" s="1073"/>
      <c r="AX527" s="1073"/>
      <c r="AY527" s="1073"/>
    </row>
    <row r="528" spans="1:51" ht="28.9" customHeight="1" x14ac:dyDescent="0.25">
      <c r="A528" s="1189"/>
      <c r="B528" s="1018"/>
      <c r="C528" s="1018"/>
      <c r="D528" s="165" t="s">
        <v>345</v>
      </c>
      <c r="E528" s="1020"/>
      <c r="F528" s="1020"/>
      <c r="G528" s="1020"/>
      <c r="H528" s="1020"/>
      <c r="I528" s="1020"/>
      <c r="J528" s="1020"/>
      <c r="K528" s="1335"/>
      <c r="L528" s="1020"/>
      <c r="M528" s="1020"/>
      <c r="N528" s="1059"/>
      <c r="O528" s="1327"/>
      <c r="P528" s="1022"/>
      <c r="Q528" s="1327"/>
      <c r="R528" s="1327"/>
      <c r="S528" s="1022"/>
      <c r="T528" s="1006">
        <f t="shared" si="92"/>
        <v>0</v>
      </c>
      <c r="U528" s="1006">
        <f t="shared" si="90"/>
        <v>0</v>
      </c>
      <c r="V528" s="1225">
        <f t="shared" si="91"/>
        <v>0</v>
      </c>
      <c r="W528" s="1225"/>
      <c r="X528" s="1006"/>
      <c r="Y528" s="1006"/>
      <c r="Z528" s="1225"/>
      <c r="AA528" s="1225"/>
      <c r="AB528" s="1020"/>
      <c r="AC528" s="1020"/>
      <c r="AD528" s="1020"/>
      <c r="AE528" s="1020"/>
      <c r="AF528" s="1203"/>
      <c r="AG528" s="1204"/>
      <c r="AH528" s="1073"/>
      <c r="AI528" s="1073"/>
      <c r="AJ528" s="1073"/>
      <c r="AK528" s="1073"/>
      <c r="AL528" s="1073"/>
      <c r="AM528" s="1073"/>
      <c r="AN528" s="1073"/>
      <c r="AO528" s="1073"/>
      <c r="AP528" s="1073"/>
      <c r="AQ528" s="1073"/>
      <c r="AR528" s="1073"/>
      <c r="AS528" s="1073"/>
      <c r="AT528" s="1073"/>
      <c r="AU528" s="1073"/>
      <c r="AV528" s="1073"/>
      <c r="AW528" s="1073"/>
      <c r="AX528" s="1073"/>
      <c r="AY528" s="1073"/>
    </row>
    <row r="529" spans="1:51" ht="28.9" customHeight="1" x14ac:dyDescent="0.25">
      <c r="A529" s="1189"/>
      <c r="B529" s="1018"/>
      <c r="C529" s="1018"/>
      <c r="D529" s="164" t="s">
        <v>346</v>
      </c>
      <c r="E529" s="1020"/>
      <c r="F529" s="1020"/>
      <c r="G529" s="1020"/>
      <c r="H529" s="1020"/>
      <c r="I529" s="1020"/>
      <c r="J529" s="1020"/>
      <c r="K529" s="1335"/>
      <c r="L529" s="1020"/>
      <c r="M529" s="1020"/>
      <c r="N529" s="1020"/>
      <c r="O529" s="1327"/>
      <c r="P529" s="1327"/>
      <c r="Q529" s="1327"/>
      <c r="R529" s="1327"/>
      <c r="S529" s="1022"/>
      <c r="T529" s="1006">
        <f t="shared" si="92"/>
        <v>0</v>
      </c>
      <c r="U529" s="1006">
        <f t="shared" si="90"/>
        <v>0</v>
      </c>
      <c r="V529" s="1225">
        <f t="shared" si="91"/>
        <v>0</v>
      </c>
      <c r="W529" s="1225"/>
      <c r="X529" s="1006"/>
      <c r="Y529" s="1006"/>
      <c r="Z529" s="1225"/>
      <c r="AA529" s="1225"/>
      <c r="AB529" s="1020"/>
      <c r="AC529" s="1020"/>
      <c r="AD529" s="1020"/>
      <c r="AE529" s="1020"/>
      <c r="AF529" s="1203"/>
      <c r="AG529" s="1204"/>
      <c r="AH529" s="1073"/>
      <c r="AI529" s="1073"/>
      <c r="AJ529" s="1073"/>
      <c r="AK529" s="1073"/>
      <c r="AL529" s="1073"/>
      <c r="AM529" s="1073"/>
      <c r="AN529" s="1073"/>
      <c r="AO529" s="1073"/>
      <c r="AP529" s="1073"/>
      <c r="AQ529" s="1073"/>
      <c r="AR529" s="1073"/>
      <c r="AS529" s="1073"/>
      <c r="AT529" s="1073"/>
      <c r="AU529" s="1073"/>
      <c r="AV529" s="1073"/>
      <c r="AW529" s="1073"/>
      <c r="AX529" s="1073"/>
      <c r="AY529" s="1073"/>
    </row>
    <row r="530" spans="1:51" ht="28.9" customHeight="1" x14ac:dyDescent="0.25">
      <c r="A530" s="1189"/>
      <c r="B530" s="1018"/>
      <c r="C530" s="1018"/>
      <c r="D530" s="165" t="s">
        <v>347</v>
      </c>
      <c r="E530" s="1225"/>
      <c r="F530" s="1225"/>
      <c r="G530" s="1225"/>
      <c r="H530" s="1225"/>
      <c r="I530" s="1225"/>
      <c r="J530" s="1225"/>
      <c r="K530" s="1306"/>
      <c r="L530" s="1225"/>
      <c r="M530" s="1225"/>
      <c r="N530" s="1225"/>
      <c r="O530" s="1022"/>
      <c r="P530" s="1225"/>
      <c r="Q530" s="1022"/>
      <c r="R530" s="1022"/>
      <c r="S530" s="1022"/>
      <c r="T530" s="1006">
        <f t="shared" si="92"/>
        <v>0</v>
      </c>
      <c r="U530" s="1006">
        <f t="shared" si="90"/>
        <v>0</v>
      </c>
      <c r="V530" s="1225">
        <f t="shared" si="91"/>
        <v>0</v>
      </c>
      <c r="W530" s="1225"/>
      <c r="X530" s="1006"/>
      <c r="Y530" s="1006"/>
      <c r="Z530" s="1225"/>
      <c r="AA530" s="1225"/>
      <c r="AB530" s="1020"/>
      <c r="AC530" s="1020"/>
      <c r="AD530" s="1020"/>
      <c r="AE530" s="1020"/>
      <c r="AF530" s="1203"/>
      <c r="AG530" s="1204"/>
      <c r="AH530" s="1073"/>
      <c r="AI530" s="1073"/>
      <c r="AJ530" s="1073"/>
      <c r="AK530" s="1073"/>
      <c r="AL530" s="1073"/>
      <c r="AM530" s="1073"/>
      <c r="AN530" s="1073"/>
      <c r="AO530" s="1073"/>
      <c r="AP530" s="1073"/>
      <c r="AQ530" s="1073"/>
      <c r="AR530" s="1073"/>
      <c r="AS530" s="1073"/>
      <c r="AT530" s="1073"/>
      <c r="AU530" s="1073"/>
      <c r="AV530" s="1073"/>
      <c r="AW530" s="1073"/>
      <c r="AX530" s="1073"/>
      <c r="AY530" s="1073"/>
    </row>
    <row r="531" spans="1:51" ht="28.9" customHeight="1" x14ac:dyDescent="0.25">
      <c r="A531" s="1189"/>
      <c r="B531" s="1018"/>
      <c r="C531" s="1048"/>
      <c r="D531" s="164" t="s">
        <v>348</v>
      </c>
      <c r="E531" s="1026"/>
      <c r="F531" s="1026"/>
      <c r="G531" s="1026"/>
      <c r="H531" s="1020"/>
      <c r="I531" s="1020"/>
      <c r="J531" s="1020"/>
      <c r="K531" s="1340"/>
      <c r="L531" s="1026"/>
      <c r="M531" s="1026"/>
      <c r="N531" s="1026"/>
      <c r="O531" s="1026"/>
      <c r="P531" s="1026"/>
      <c r="Q531" s="1026"/>
      <c r="R531" s="1026"/>
      <c r="S531" s="1327"/>
      <c r="T531" s="1006">
        <f t="shared" si="92"/>
        <v>0</v>
      </c>
      <c r="U531" s="1006">
        <f t="shared" si="90"/>
        <v>0</v>
      </c>
      <c r="V531" s="1225">
        <f t="shared" si="91"/>
        <v>0</v>
      </c>
      <c r="W531" s="1225"/>
      <c r="X531" s="1006"/>
      <c r="Y531" s="1006"/>
      <c r="Z531" s="1225"/>
      <c r="AA531" s="1225"/>
      <c r="AB531" s="1020"/>
      <c r="AC531" s="1020"/>
      <c r="AD531" s="1020"/>
      <c r="AE531" s="1020"/>
      <c r="AF531" s="1173"/>
      <c r="AG531" s="1190"/>
      <c r="AH531" s="1076"/>
      <c r="AI531" s="1076"/>
      <c r="AJ531" s="1076"/>
      <c r="AK531" s="1076"/>
      <c r="AL531" s="1076"/>
      <c r="AM531" s="1076"/>
      <c r="AN531" s="1076"/>
      <c r="AO531" s="1076"/>
      <c r="AP531" s="1076"/>
      <c r="AQ531" s="1076"/>
      <c r="AR531" s="1076"/>
      <c r="AS531" s="1076"/>
      <c r="AT531" s="1076"/>
      <c r="AU531" s="1076"/>
      <c r="AV531" s="1076"/>
      <c r="AW531" s="1076"/>
      <c r="AX531" s="1076"/>
      <c r="AY531" s="1076"/>
    </row>
    <row r="532" spans="1:51" ht="19.149999999999999" customHeight="1" x14ac:dyDescent="0.25">
      <c r="A532" s="1189"/>
      <c r="B532" s="1018"/>
      <c r="C532" s="1378" t="s">
        <v>627</v>
      </c>
      <c r="D532" s="161" t="s">
        <v>340</v>
      </c>
      <c r="E532" s="1225"/>
      <c r="F532" s="1225"/>
      <c r="G532" s="1225"/>
      <c r="H532" s="1225"/>
      <c r="I532" s="1225"/>
      <c r="J532" s="1225"/>
      <c r="K532" s="1306"/>
      <c r="L532" s="1225"/>
      <c r="M532" s="1225"/>
      <c r="N532" s="1006"/>
      <c r="O532" s="1022"/>
      <c r="P532" s="1225"/>
      <c r="Q532" s="1022"/>
      <c r="R532" s="1022"/>
      <c r="S532" s="1327"/>
      <c r="T532" s="1006">
        <f t="shared" si="92"/>
        <v>0</v>
      </c>
      <c r="U532" s="1006">
        <f t="shared" si="90"/>
        <v>0</v>
      </c>
      <c r="V532" s="1225">
        <f t="shared" si="91"/>
        <v>0</v>
      </c>
      <c r="W532" s="1225"/>
      <c r="X532" s="1006"/>
      <c r="Y532" s="1006"/>
      <c r="Z532" s="1225"/>
      <c r="AA532" s="1225"/>
      <c r="AB532" s="1020"/>
      <c r="AC532" s="1020"/>
      <c r="AD532" s="1020"/>
      <c r="AE532" s="1020"/>
      <c r="AF532" s="1329"/>
      <c r="AG532" s="1274" t="str">
        <f>+C532</f>
        <v>18- RAFAEL URIBE URIBE</v>
      </c>
      <c r="AH532" s="1275" t="s">
        <v>628</v>
      </c>
      <c r="AI532" s="1334" t="s">
        <v>629</v>
      </c>
      <c r="AJ532" s="1275"/>
      <c r="AK532" s="1275" t="s">
        <v>457</v>
      </c>
      <c r="AL532" s="1275" t="s">
        <v>610</v>
      </c>
      <c r="AM532" s="1275" t="s">
        <v>603</v>
      </c>
      <c r="AN532" s="1282">
        <v>389238</v>
      </c>
      <c r="AO532" s="1277">
        <v>191448</v>
      </c>
      <c r="AP532" s="1277">
        <v>197790</v>
      </c>
      <c r="AQ532" s="1278" t="s">
        <v>459</v>
      </c>
      <c r="AR532" s="1278" t="s">
        <v>459</v>
      </c>
      <c r="AS532" s="1278" t="s">
        <v>459</v>
      </c>
      <c r="AT532" s="1278" t="s">
        <v>459</v>
      </c>
      <c r="AU532" s="1278" t="s">
        <v>459</v>
      </c>
      <c r="AV532" s="1278" t="s">
        <v>459</v>
      </c>
      <c r="AW532" s="1278" t="s">
        <v>459</v>
      </c>
      <c r="AX532" s="1277">
        <v>8185614</v>
      </c>
      <c r="AY532" s="1232"/>
    </row>
    <row r="533" spans="1:51" ht="19.149999999999999" customHeight="1" x14ac:dyDescent="0.25">
      <c r="A533" s="1189"/>
      <c r="B533" s="1018"/>
      <c r="C533" s="1379"/>
      <c r="D533" s="164" t="s">
        <v>343</v>
      </c>
      <c r="E533" s="1020"/>
      <c r="F533" s="1020"/>
      <c r="G533" s="1020"/>
      <c r="H533" s="1020"/>
      <c r="I533" s="1020"/>
      <c r="J533" s="1020"/>
      <c r="K533" s="1335"/>
      <c r="L533" s="1020"/>
      <c r="M533" s="1020"/>
      <c r="N533" s="1020"/>
      <c r="O533" s="1327"/>
      <c r="P533" s="1327"/>
      <c r="Q533" s="1225"/>
      <c r="R533" s="1225"/>
      <c r="S533" s="1022"/>
      <c r="T533" s="1006">
        <f t="shared" si="92"/>
        <v>0</v>
      </c>
      <c r="U533" s="1006">
        <f t="shared" si="90"/>
        <v>0</v>
      </c>
      <c r="V533" s="1225">
        <f t="shared" si="91"/>
        <v>0</v>
      </c>
      <c r="W533" s="1225"/>
      <c r="X533" s="1006"/>
      <c r="Y533" s="1006"/>
      <c r="Z533" s="1225"/>
      <c r="AA533" s="1225"/>
      <c r="AB533" s="1020"/>
      <c r="AC533" s="1020"/>
      <c r="AD533" s="1020"/>
      <c r="AE533" s="1020"/>
      <c r="AF533" s="1203"/>
      <c r="AG533" s="1204"/>
      <c r="AH533" s="1073"/>
      <c r="AI533" s="1073"/>
      <c r="AJ533" s="1073"/>
      <c r="AK533" s="1073"/>
      <c r="AL533" s="1073"/>
      <c r="AM533" s="1073"/>
      <c r="AN533" s="1073"/>
      <c r="AO533" s="1073"/>
      <c r="AP533" s="1073"/>
      <c r="AQ533" s="1073"/>
      <c r="AR533" s="1073"/>
      <c r="AS533" s="1073"/>
      <c r="AT533" s="1073"/>
      <c r="AU533" s="1073"/>
      <c r="AV533" s="1073"/>
      <c r="AW533" s="1073"/>
      <c r="AX533" s="1073"/>
      <c r="AY533" s="1073"/>
    </row>
    <row r="534" spans="1:51" ht="28.9" customHeight="1" x14ac:dyDescent="0.25">
      <c r="A534" s="1189"/>
      <c r="B534" s="1018"/>
      <c r="C534" s="1379"/>
      <c r="D534" s="165" t="s">
        <v>345</v>
      </c>
      <c r="E534" s="1020"/>
      <c r="F534" s="1020"/>
      <c r="G534" s="1020"/>
      <c r="H534" s="1020"/>
      <c r="I534" s="1020"/>
      <c r="J534" s="1020"/>
      <c r="K534" s="1335"/>
      <c r="L534" s="1020"/>
      <c r="M534" s="1020"/>
      <c r="N534" s="1059"/>
      <c r="O534" s="1327"/>
      <c r="P534" s="1022"/>
      <c r="Q534" s="1327"/>
      <c r="R534" s="1327"/>
      <c r="S534" s="1022"/>
      <c r="T534" s="1006">
        <f t="shared" si="92"/>
        <v>0</v>
      </c>
      <c r="U534" s="1006">
        <f t="shared" si="90"/>
        <v>0</v>
      </c>
      <c r="V534" s="1225">
        <f t="shared" si="91"/>
        <v>0</v>
      </c>
      <c r="W534" s="1225"/>
      <c r="X534" s="1006"/>
      <c r="Y534" s="1006"/>
      <c r="Z534" s="1225"/>
      <c r="AA534" s="1225"/>
      <c r="AB534" s="1020"/>
      <c r="AC534" s="1020"/>
      <c r="AD534" s="1020"/>
      <c r="AE534" s="1020"/>
      <c r="AF534" s="1203"/>
      <c r="AG534" s="1204"/>
      <c r="AH534" s="1073"/>
      <c r="AI534" s="1073"/>
      <c r="AJ534" s="1073"/>
      <c r="AK534" s="1073"/>
      <c r="AL534" s="1073"/>
      <c r="AM534" s="1073"/>
      <c r="AN534" s="1073"/>
      <c r="AO534" s="1073"/>
      <c r="AP534" s="1073"/>
      <c r="AQ534" s="1073"/>
      <c r="AR534" s="1073"/>
      <c r="AS534" s="1073"/>
      <c r="AT534" s="1073"/>
      <c r="AU534" s="1073"/>
      <c r="AV534" s="1073"/>
      <c r="AW534" s="1073"/>
      <c r="AX534" s="1073"/>
      <c r="AY534" s="1073"/>
    </row>
    <row r="535" spans="1:51" ht="28.9" customHeight="1" x14ac:dyDescent="0.25">
      <c r="A535" s="1189"/>
      <c r="B535" s="1018"/>
      <c r="C535" s="1379"/>
      <c r="D535" s="164" t="s">
        <v>346</v>
      </c>
      <c r="E535" s="1020"/>
      <c r="F535" s="1020"/>
      <c r="G535" s="1020"/>
      <c r="H535" s="1020"/>
      <c r="I535" s="1020"/>
      <c r="J535" s="1020"/>
      <c r="K535" s="1335"/>
      <c r="L535" s="1020"/>
      <c r="M535" s="1020"/>
      <c r="N535" s="1020"/>
      <c r="O535" s="1327"/>
      <c r="P535" s="1327"/>
      <c r="Q535" s="1327"/>
      <c r="R535" s="1327"/>
      <c r="S535" s="1022"/>
      <c r="T535" s="1006">
        <f t="shared" si="92"/>
        <v>0</v>
      </c>
      <c r="U535" s="1006">
        <f t="shared" si="90"/>
        <v>0</v>
      </c>
      <c r="V535" s="1225">
        <f t="shared" si="91"/>
        <v>0</v>
      </c>
      <c r="W535" s="1225"/>
      <c r="X535" s="1006"/>
      <c r="Y535" s="1006"/>
      <c r="Z535" s="1225"/>
      <c r="AA535" s="1225"/>
      <c r="AB535" s="1020"/>
      <c r="AC535" s="1020"/>
      <c r="AD535" s="1020"/>
      <c r="AE535" s="1020"/>
      <c r="AF535" s="1203"/>
      <c r="AG535" s="1204"/>
      <c r="AH535" s="1073"/>
      <c r="AI535" s="1073"/>
      <c r="AJ535" s="1073"/>
      <c r="AK535" s="1073"/>
      <c r="AL535" s="1073"/>
      <c r="AM535" s="1073"/>
      <c r="AN535" s="1073"/>
      <c r="AO535" s="1073"/>
      <c r="AP535" s="1073"/>
      <c r="AQ535" s="1073"/>
      <c r="AR535" s="1073"/>
      <c r="AS535" s="1073"/>
      <c r="AT535" s="1073"/>
      <c r="AU535" s="1073"/>
      <c r="AV535" s="1073"/>
      <c r="AW535" s="1073"/>
      <c r="AX535" s="1073"/>
      <c r="AY535" s="1073"/>
    </row>
    <row r="536" spans="1:51" ht="28.9" customHeight="1" x14ac:dyDescent="0.25">
      <c r="A536" s="1189"/>
      <c r="B536" s="1018"/>
      <c r="C536" s="1379"/>
      <c r="D536" s="165" t="s">
        <v>347</v>
      </c>
      <c r="E536" s="1225"/>
      <c r="F536" s="1225"/>
      <c r="G536" s="1225"/>
      <c r="H536" s="1225"/>
      <c r="I536" s="1225"/>
      <c r="J536" s="1225"/>
      <c r="K536" s="1306"/>
      <c r="L536" s="1225"/>
      <c r="M536" s="1225"/>
      <c r="N536" s="1225"/>
      <c r="O536" s="1022"/>
      <c r="P536" s="1225"/>
      <c r="Q536" s="1022"/>
      <c r="R536" s="1022"/>
      <c r="S536" s="1022"/>
      <c r="T536" s="1006">
        <f t="shared" si="92"/>
        <v>0</v>
      </c>
      <c r="U536" s="1006">
        <f t="shared" si="90"/>
        <v>0</v>
      </c>
      <c r="V536" s="1225">
        <f t="shared" si="91"/>
        <v>0</v>
      </c>
      <c r="W536" s="1225"/>
      <c r="X536" s="1006"/>
      <c r="Y536" s="1006"/>
      <c r="Z536" s="1225"/>
      <c r="AA536" s="1225"/>
      <c r="AB536" s="1020"/>
      <c r="AC536" s="1020"/>
      <c r="AD536" s="1020"/>
      <c r="AE536" s="1020"/>
      <c r="AF536" s="1203"/>
      <c r="AG536" s="1204"/>
      <c r="AH536" s="1073"/>
      <c r="AI536" s="1073"/>
      <c r="AJ536" s="1073"/>
      <c r="AK536" s="1073"/>
      <c r="AL536" s="1073"/>
      <c r="AM536" s="1073"/>
      <c r="AN536" s="1073"/>
      <c r="AO536" s="1073"/>
      <c r="AP536" s="1073"/>
      <c r="AQ536" s="1073"/>
      <c r="AR536" s="1073"/>
      <c r="AS536" s="1073"/>
      <c r="AT536" s="1073"/>
      <c r="AU536" s="1073"/>
      <c r="AV536" s="1073"/>
      <c r="AW536" s="1073"/>
      <c r="AX536" s="1073"/>
      <c r="AY536" s="1073"/>
    </row>
    <row r="537" spans="1:51" ht="28.9" customHeight="1" x14ac:dyDescent="0.25">
      <c r="A537" s="1189"/>
      <c r="B537" s="1018"/>
      <c r="C537" s="1169"/>
      <c r="D537" s="164" t="s">
        <v>348</v>
      </c>
      <c r="E537" s="1026"/>
      <c r="F537" s="1026"/>
      <c r="G537" s="1026"/>
      <c r="H537" s="1026"/>
      <c r="I537" s="1026"/>
      <c r="J537" s="1026"/>
      <c r="K537" s="1340"/>
      <c r="L537" s="1026"/>
      <c r="M537" s="1026"/>
      <c r="N537" s="1026"/>
      <c r="O537" s="1022"/>
      <c r="P537" s="1022"/>
      <c r="Q537" s="1327"/>
      <c r="R537" s="1327"/>
      <c r="S537" s="1327"/>
      <c r="T537" s="1006">
        <f t="shared" si="92"/>
        <v>0</v>
      </c>
      <c r="U537" s="1006">
        <f t="shared" si="90"/>
        <v>0</v>
      </c>
      <c r="V537" s="1225">
        <f t="shared" si="91"/>
        <v>0</v>
      </c>
      <c r="W537" s="1225"/>
      <c r="X537" s="1006"/>
      <c r="Y537" s="1006"/>
      <c r="Z537" s="1225"/>
      <c r="AA537" s="1225"/>
      <c r="AB537" s="1020"/>
      <c r="AC537" s="1020"/>
      <c r="AD537" s="1020"/>
      <c r="AE537" s="1020"/>
      <c r="AF537" s="1173"/>
      <c r="AG537" s="1190"/>
      <c r="AH537" s="1076"/>
      <c r="AI537" s="1076"/>
      <c r="AJ537" s="1076"/>
      <c r="AK537" s="1076"/>
      <c r="AL537" s="1076"/>
      <c r="AM537" s="1076"/>
      <c r="AN537" s="1076"/>
      <c r="AO537" s="1076"/>
      <c r="AP537" s="1076"/>
      <c r="AQ537" s="1076"/>
      <c r="AR537" s="1076"/>
      <c r="AS537" s="1076"/>
      <c r="AT537" s="1076"/>
      <c r="AU537" s="1076"/>
      <c r="AV537" s="1076"/>
      <c r="AW537" s="1076"/>
      <c r="AX537" s="1076"/>
      <c r="AY537" s="1076"/>
    </row>
    <row r="538" spans="1:51" ht="19.149999999999999" customHeight="1" x14ac:dyDescent="0.25">
      <c r="A538" s="1189"/>
      <c r="B538" s="1018"/>
      <c r="C538" s="1153" t="s">
        <v>510</v>
      </c>
      <c r="D538" s="161" t="s">
        <v>340</v>
      </c>
      <c r="E538" s="1225"/>
      <c r="F538" s="1225"/>
      <c r="G538" s="1225"/>
      <c r="H538" s="1225">
        <v>1</v>
      </c>
      <c r="I538" s="1225">
        <v>1</v>
      </c>
      <c r="J538" s="1225"/>
      <c r="K538" s="1306"/>
      <c r="L538" s="1225"/>
      <c r="M538" s="1225"/>
      <c r="N538" s="1006"/>
      <c r="O538" s="1022"/>
      <c r="P538" s="1225"/>
      <c r="Q538" s="1022"/>
      <c r="R538" s="1022"/>
      <c r="S538" s="1327"/>
      <c r="T538" s="1006">
        <f t="shared" si="92"/>
        <v>0</v>
      </c>
      <c r="U538" s="1006">
        <f t="shared" si="90"/>
        <v>1</v>
      </c>
      <c r="V538" s="1225">
        <f t="shared" si="91"/>
        <v>1</v>
      </c>
      <c r="W538" s="1225"/>
      <c r="X538" s="1006"/>
      <c r="Y538" s="1006"/>
      <c r="Z538" s="1225"/>
      <c r="AA538" s="1225"/>
      <c r="AB538" s="1020"/>
      <c r="AC538" s="1020"/>
      <c r="AD538" s="1020"/>
      <c r="AE538" s="1020"/>
      <c r="AF538" s="1332" t="s">
        <v>1482</v>
      </c>
      <c r="AG538" s="1274" t="s">
        <v>510</v>
      </c>
      <c r="AH538" s="1334" t="s">
        <v>630</v>
      </c>
      <c r="AI538" s="1334" t="s">
        <v>631</v>
      </c>
      <c r="AJ538" s="1275"/>
      <c r="AK538" s="1275" t="s">
        <v>457</v>
      </c>
      <c r="AL538" s="1275">
        <v>3</v>
      </c>
      <c r="AM538" s="1275" t="s">
        <v>603</v>
      </c>
      <c r="AN538" s="1282">
        <v>661592</v>
      </c>
      <c r="AO538" s="1277">
        <v>329690</v>
      </c>
      <c r="AP538" s="1277">
        <v>331902</v>
      </c>
      <c r="AQ538" s="1278" t="s">
        <v>459</v>
      </c>
      <c r="AR538" s="1278" t="s">
        <v>459</v>
      </c>
      <c r="AS538" s="1278" t="s">
        <v>459</v>
      </c>
      <c r="AT538" s="1278" t="s">
        <v>459</v>
      </c>
      <c r="AU538" s="1278" t="s">
        <v>459</v>
      </c>
      <c r="AV538" s="1278" t="s">
        <v>459</v>
      </c>
      <c r="AW538" s="1278" t="s">
        <v>459</v>
      </c>
      <c r="AX538" s="1282">
        <v>661592</v>
      </c>
      <c r="AY538" s="1332" t="s">
        <v>1483</v>
      </c>
    </row>
    <row r="539" spans="1:51" ht="19.149999999999999" customHeight="1" x14ac:dyDescent="0.25">
      <c r="A539" s="1189"/>
      <c r="B539" s="1018"/>
      <c r="C539" s="1018"/>
      <c r="D539" s="164" t="s">
        <v>343</v>
      </c>
      <c r="E539" s="1020"/>
      <c r="F539" s="1020"/>
      <c r="G539" s="1020"/>
      <c r="H539" s="1225">
        <f>+H538*$U$419/$U$418</f>
        <v>4641500</v>
      </c>
      <c r="I539" s="1225">
        <f>+I538*$V$419/$V$418</f>
        <v>3704000</v>
      </c>
      <c r="J539" s="1225"/>
      <c r="K539" s="1225"/>
      <c r="L539" s="1225"/>
      <c r="M539" s="1225"/>
      <c r="N539" s="1225"/>
      <c r="O539" s="1225"/>
      <c r="P539" s="1225"/>
      <c r="Q539" s="1225"/>
      <c r="R539" s="1225"/>
      <c r="S539" s="1022"/>
      <c r="T539" s="1006">
        <f t="shared" si="92"/>
        <v>0</v>
      </c>
      <c r="U539" s="1006">
        <f t="shared" si="90"/>
        <v>4641500</v>
      </c>
      <c r="V539" s="1225">
        <f t="shared" si="91"/>
        <v>3704000</v>
      </c>
      <c r="W539" s="1225"/>
      <c r="X539" s="1006"/>
      <c r="Y539" s="1006"/>
      <c r="Z539" s="1225"/>
      <c r="AA539" s="1225"/>
      <c r="AB539" s="1020"/>
      <c r="AC539" s="1020"/>
      <c r="AD539" s="1020"/>
      <c r="AE539" s="1020"/>
      <c r="AF539" s="1203"/>
      <c r="AG539" s="1204"/>
      <c r="AH539" s="1073"/>
      <c r="AI539" s="1073"/>
      <c r="AJ539" s="1073"/>
      <c r="AK539" s="1073"/>
      <c r="AL539" s="1073"/>
      <c r="AM539" s="1073"/>
      <c r="AN539" s="1073"/>
      <c r="AO539" s="1073"/>
      <c r="AP539" s="1073"/>
      <c r="AQ539" s="1073"/>
      <c r="AR539" s="1073"/>
      <c r="AS539" s="1073"/>
      <c r="AT539" s="1073"/>
      <c r="AU539" s="1073"/>
      <c r="AV539" s="1073"/>
      <c r="AW539" s="1073"/>
      <c r="AX539" s="1073"/>
      <c r="AY539" s="1203"/>
    </row>
    <row r="540" spans="1:51" ht="28.9" customHeight="1" x14ac:dyDescent="0.25">
      <c r="A540" s="1189"/>
      <c r="B540" s="1018"/>
      <c r="C540" s="1018"/>
      <c r="D540" s="165" t="s">
        <v>345</v>
      </c>
      <c r="E540" s="1020"/>
      <c r="F540" s="1020"/>
      <c r="G540" s="1020"/>
      <c r="H540" s="1020"/>
      <c r="I540" s="1020"/>
      <c r="J540" s="1020"/>
      <c r="K540" s="1335"/>
      <c r="L540" s="1020"/>
      <c r="M540" s="1020"/>
      <c r="N540" s="1059"/>
      <c r="O540" s="1327"/>
      <c r="P540" s="1022"/>
      <c r="Q540" s="1327"/>
      <c r="R540" s="1327"/>
      <c r="S540" s="1022"/>
      <c r="T540" s="1006">
        <f t="shared" si="92"/>
        <v>0</v>
      </c>
      <c r="U540" s="1006">
        <f t="shared" si="90"/>
        <v>0</v>
      </c>
      <c r="V540" s="1225">
        <f t="shared" si="91"/>
        <v>0</v>
      </c>
      <c r="W540" s="1225"/>
      <c r="X540" s="1006"/>
      <c r="Y540" s="1006"/>
      <c r="Z540" s="1225"/>
      <c r="AA540" s="1225"/>
      <c r="AB540" s="1020"/>
      <c r="AC540" s="1020"/>
      <c r="AD540" s="1020"/>
      <c r="AE540" s="1020"/>
      <c r="AF540" s="1203"/>
      <c r="AG540" s="1204"/>
      <c r="AH540" s="1073"/>
      <c r="AI540" s="1073"/>
      <c r="AJ540" s="1073"/>
      <c r="AK540" s="1073"/>
      <c r="AL540" s="1073"/>
      <c r="AM540" s="1073"/>
      <c r="AN540" s="1073"/>
      <c r="AO540" s="1073"/>
      <c r="AP540" s="1073"/>
      <c r="AQ540" s="1073"/>
      <c r="AR540" s="1073"/>
      <c r="AS540" s="1073"/>
      <c r="AT540" s="1073"/>
      <c r="AU540" s="1073"/>
      <c r="AV540" s="1073"/>
      <c r="AW540" s="1073"/>
      <c r="AX540" s="1073"/>
      <c r="AY540" s="1203"/>
    </row>
    <row r="541" spans="1:51" ht="28.9" customHeight="1" x14ac:dyDescent="0.25">
      <c r="A541" s="1189"/>
      <c r="B541" s="1018"/>
      <c r="C541" s="1018"/>
      <c r="D541" s="164" t="s">
        <v>346</v>
      </c>
      <c r="E541" s="1020"/>
      <c r="F541" s="1020"/>
      <c r="G541" s="1020"/>
      <c r="H541" s="1020">
        <f>+$U$421/13</f>
        <v>9762277.307692308</v>
      </c>
      <c r="I541" s="1020">
        <f>+$V$421/13</f>
        <v>10421357.538461538</v>
      </c>
      <c r="J541" s="1020"/>
      <c r="K541" s="1020"/>
      <c r="L541" s="1020"/>
      <c r="M541" s="1020"/>
      <c r="N541" s="1020"/>
      <c r="O541" s="1020"/>
      <c r="P541" s="1327"/>
      <c r="Q541" s="1327"/>
      <c r="R541" s="1327"/>
      <c r="S541" s="1022"/>
      <c r="T541" s="1006">
        <f t="shared" si="92"/>
        <v>0</v>
      </c>
      <c r="U541" s="1006">
        <f t="shared" si="90"/>
        <v>9762277.307692308</v>
      </c>
      <c r="V541" s="1225">
        <f t="shared" si="91"/>
        <v>10421357.538461538</v>
      </c>
      <c r="W541" s="1225"/>
      <c r="X541" s="1006"/>
      <c r="Y541" s="1006"/>
      <c r="Z541" s="1225"/>
      <c r="AA541" s="1225"/>
      <c r="AB541" s="1020"/>
      <c r="AC541" s="1020"/>
      <c r="AD541" s="1020"/>
      <c r="AE541" s="1020"/>
      <c r="AF541" s="1203"/>
      <c r="AG541" s="1204"/>
      <c r="AH541" s="1073"/>
      <c r="AI541" s="1073"/>
      <c r="AJ541" s="1073"/>
      <c r="AK541" s="1073"/>
      <c r="AL541" s="1073"/>
      <c r="AM541" s="1073"/>
      <c r="AN541" s="1073"/>
      <c r="AO541" s="1073"/>
      <c r="AP541" s="1073"/>
      <c r="AQ541" s="1073"/>
      <c r="AR541" s="1073"/>
      <c r="AS541" s="1073"/>
      <c r="AT541" s="1073"/>
      <c r="AU541" s="1073"/>
      <c r="AV541" s="1073"/>
      <c r="AW541" s="1073"/>
      <c r="AX541" s="1073"/>
      <c r="AY541" s="1203"/>
    </row>
    <row r="542" spans="1:51" ht="28.9" customHeight="1" x14ac:dyDescent="0.25">
      <c r="A542" s="1189"/>
      <c r="B542" s="1018"/>
      <c r="C542" s="1018"/>
      <c r="D542" s="165" t="s">
        <v>347</v>
      </c>
      <c r="E542" s="1225"/>
      <c r="F542" s="1225"/>
      <c r="G542" s="1225"/>
      <c r="H542" s="1225">
        <v>1</v>
      </c>
      <c r="I542" s="1225">
        <v>1</v>
      </c>
      <c r="J542" s="1225"/>
      <c r="K542" s="1306"/>
      <c r="L542" s="1225"/>
      <c r="M542" s="1225"/>
      <c r="N542" s="1225"/>
      <c r="O542" s="1022"/>
      <c r="P542" s="1225"/>
      <c r="Q542" s="1022"/>
      <c r="R542" s="1022"/>
      <c r="S542" s="1022"/>
      <c r="T542" s="1006">
        <f t="shared" si="92"/>
        <v>0</v>
      </c>
      <c r="U542" s="1006">
        <f t="shared" si="90"/>
        <v>1</v>
      </c>
      <c r="V542" s="1225">
        <f t="shared" si="91"/>
        <v>1</v>
      </c>
      <c r="W542" s="1225"/>
      <c r="X542" s="1006"/>
      <c r="Y542" s="1006"/>
      <c r="Z542" s="1225"/>
      <c r="AA542" s="1225"/>
      <c r="AB542" s="1020"/>
      <c r="AC542" s="1020"/>
      <c r="AD542" s="1020"/>
      <c r="AE542" s="1020"/>
      <c r="AF542" s="1203"/>
      <c r="AG542" s="1204"/>
      <c r="AH542" s="1073"/>
      <c r="AI542" s="1073"/>
      <c r="AJ542" s="1073"/>
      <c r="AK542" s="1073"/>
      <c r="AL542" s="1073"/>
      <c r="AM542" s="1073"/>
      <c r="AN542" s="1073"/>
      <c r="AO542" s="1073"/>
      <c r="AP542" s="1073"/>
      <c r="AQ542" s="1073"/>
      <c r="AR542" s="1073"/>
      <c r="AS542" s="1073"/>
      <c r="AT542" s="1073"/>
      <c r="AU542" s="1073"/>
      <c r="AV542" s="1073"/>
      <c r="AW542" s="1073"/>
      <c r="AX542" s="1073"/>
      <c r="AY542" s="1203"/>
    </row>
    <row r="543" spans="1:51" ht="28.9" customHeight="1" x14ac:dyDescent="0.25">
      <c r="A543" s="1189"/>
      <c r="B543" s="1018"/>
      <c r="C543" s="1048"/>
      <c r="D543" s="164" t="s">
        <v>348</v>
      </c>
      <c r="E543" s="1026"/>
      <c r="F543" s="1026"/>
      <c r="G543" s="1020"/>
      <c r="H543" s="1026">
        <f>+H539+H541</f>
        <v>14403777.307692308</v>
      </c>
      <c r="I543" s="1026">
        <f>+I539+I541</f>
        <v>14125357.538461538</v>
      </c>
      <c r="J543" s="1020"/>
      <c r="K543" s="1020"/>
      <c r="L543" s="1026"/>
      <c r="M543" s="1026"/>
      <c r="N543" s="1026"/>
      <c r="O543" s="1026"/>
      <c r="P543" s="1026"/>
      <c r="Q543" s="1026"/>
      <c r="R543" s="1026"/>
      <c r="S543" s="1327"/>
      <c r="T543" s="1006">
        <f t="shared" si="92"/>
        <v>0</v>
      </c>
      <c r="U543" s="1006">
        <f t="shared" si="90"/>
        <v>14403777.307692308</v>
      </c>
      <c r="V543" s="1225">
        <f t="shared" si="91"/>
        <v>14125357.538461538</v>
      </c>
      <c r="W543" s="1225"/>
      <c r="X543" s="1006"/>
      <c r="Y543" s="1006"/>
      <c r="Z543" s="1225"/>
      <c r="AA543" s="1225"/>
      <c r="AB543" s="1020"/>
      <c r="AC543" s="1020"/>
      <c r="AD543" s="1020"/>
      <c r="AE543" s="1020"/>
      <c r="AF543" s="1173"/>
      <c r="AG543" s="1190"/>
      <c r="AH543" s="1076"/>
      <c r="AI543" s="1076"/>
      <c r="AJ543" s="1076"/>
      <c r="AK543" s="1076"/>
      <c r="AL543" s="1076"/>
      <c r="AM543" s="1076"/>
      <c r="AN543" s="1076"/>
      <c r="AO543" s="1076"/>
      <c r="AP543" s="1076"/>
      <c r="AQ543" s="1076"/>
      <c r="AR543" s="1076"/>
      <c r="AS543" s="1076"/>
      <c r="AT543" s="1076"/>
      <c r="AU543" s="1076"/>
      <c r="AV543" s="1076"/>
      <c r="AW543" s="1076"/>
      <c r="AX543" s="1076"/>
      <c r="AY543" s="1173"/>
    </row>
    <row r="544" spans="1:51" ht="19.149999999999999" customHeight="1" x14ac:dyDescent="0.25">
      <c r="A544" s="1189"/>
      <c r="B544" s="1018"/>
      <c r="C544" s="1380" t="s">
        <v>511</v>
      </c>
      <c r="D544" s="161" t="s">
        <v>340</v>
      </c>
      <c r="E544" s="1225"/>
      <c r="F544" s="1225"/>
      <c r="G544" s="1225">
        <v>80</v>
      </c>
      <c r="H544" s="1225">
        <v>70</v>
      </c>
      <c r="I544" s="1225">
        <f>+I418-V418</f>
        <v>45</v>
      </c>
      <c r="J544" s="1225"/>
      <c r="K544" s="1306"/>
      <c r="L544" s="1225"/>
      <c r="M544" s="1225"/>
      <c r="N544" s="1225"/>
      <c r="O544" s="1022"/>
      <c r="P544" s="1225"/>
      <c r="Q544" s="1022"/>
      <c r="R544" s="1022"/>
      <c r="S544" s="1022"/>
      <c r="T544" s="1022"/>
      <c r="U544" s="1022"/>
      <c r="V544" s="1022"/>
      <c r="W544" s="1022"/>
      <c r="X544" s="1022"/>
      <c r="Y544" s="1022"/>
      <c r="Z544" s="1022"/>
      <c r="AA544" s="1225"/>
      <c r="AB544" s="1022"/>
      <c r="AC544" s="1225"/>
      <c r="AD544" s="1059"/>
      <c r="AE544" s="1020"/>
      <c r="AF544" s="1023"/>
      <c r="AG544" s="1244" t="s">
        <v>632</v>
      </c>
      <c r="AH544" s="1243" t="s">
        <v>633</v>
      </c>
      <c r="AI544" s="1243" t="s">
        <v>633</v>
      </c>
      <c r="AJ544" s="1243"/>
      <c r="AK544" s="1243" t="s">
        <v>457</v>
      </c>
      <c r="AL544" s="1243"/>
      <c r="AM544" s="1243" t="s">
        <v>603</v>
      </c>
      <c r="AN544" s="1252">
        <v>7968095</v>
      </c>
      <c r="AO544" s="1252">
        <v>3815676</v>
      </c>
      <c r="AP544" s="1252">
        <v>4152419</v>
      </c>
      <c r="AQ544" s="1072" t="s">
        <v>459</v>
      </c>
      <c r="AR544" s="1072" t="s">
        <v>459</v>
      </c>
      <c r="AS544" s="1072" t="s">
        <v>459</v>
      </c>
      <c r="AT544" s="1072" t="s">
        <v>459</v>
      </c>
      <c r="AU544" s="1341" t="s">
        <v>459</v>
      </c>
      <c r="AV544" s="1341" t="s">
        <v>459</v>
      </c>
      <c r="AW544" s="1341" t="s">
        <v>459</v>
      </c>
      <c r="AX544" s="1252">
        <v>7936534</v>
      </c>
      <c r="AY544" s="1183"/>
    </row>
    <row r="545" spans="1:51" ht="19.149999999999999" customHeight="1" x14ac:dyDescent="0.25">
      <c r="A545" s="1189"/>
      <c r="B545" s="1018"/>
      <c r="C545" s="1379"/>
      <c r="D545" s="164" t="s">
        <v>343</v>
      </c>
      <c r="E545" s="1225"/>
      <c r="F545" s="1225"/>
      <c r="G545" s="1020">
        <f>+G419-T419</f>
        <v>1023037000</v>
      </c>
      <c r="H545" s="1020">
        <f>+H419-U419</f>
        <v>869101000</v>
      </c>
      <c r="I545" s="1225">
        <f t="shared" ref="I545:I548" si="93">+I419-V419</f>
        <v>814001000</v>
      </c>
      <c r="J545" s="1020"/>
      <c r="K545" s="1020"/>
      <c r="L545" s="1020"/>
      <c r="M545" s="1225"/>
      <c r="N545" s="1225"/>
      <c r="O545" s="1225"/>
      <c r="P545" s="1225"/>
      <c r="Q545" s="1225"/>
      <c r="R545" s="1225"/>
      <c r="S545" s="1022"/>
      <c r="T545" s="1022"/>
      <c r="U545" s="1022"/>
      <c r="V545" s="1022"/>
      <c r="W545" s="1022"/>
      <c r="X545" s="1022"/>
      <c r="Y545" s="1022"/>
      <c r="Z545" s="1022"/>
      <c r="AA545" s="1225"/>
      <c r="AB545" s="1022"/>
      <c r="AC545" s="1327"/>
      <c r="AD545" s="1059"/>
      <c r="AE545" s="1020"/>
      <c r="AF545" s="1023"/>
      <c r="AG545" s="1240"/>
      <c r="AH545" s="1240"/>
      <c r="AI545" s="1240"/>
      <c r="AJ545" s="1240"/>
      <c r="AK545" s="1240"/>
      <c r="AL545" s="1240"/>
      <c r="AM545" s="1240"/>
      <c r="AN545" s="1240"/>
      <c r="AO545" s="1240"/>
      <c r="AP545" s="1240"/>
      <c r="AQ545" s="1240"/>
      <c r="AR545" s="1240"/>
      <c r="AS545" s="1240"/>
      <c r="AT545" s="1240"/>
      <c r="AU545" s="1240"/>
      <c r="AV545" s="1240"/>
      <c r="AW545" s="1240"/>
      <c r="AX545" s="1240"/>
      <c r="AY545" s="1183"/>
    </row>
    <row r="546" spans="1:51" ht="28.9" customHeight="1" x14ac:dyDescent="0.25">
      <c r="A546" s="1189"/>
      <c r="B546" s="1018"/>
      <c r="C546" s="1379"/>
      <c r="D546" s="165" t="s">
        <v>345</v>
      </c>
      <c r="E546" s="1225"/>
      <c r="F546" s="1225"/>
      <c r="G546" s="1225">
        <v>0</v>
      </c>
      <c r="H546" s="1225">
        <v>0</v>
      </c>
      <c r="I546" s="1225">
        <f t="shared" si="93"/>
        <v>0</v>
      </c>
      <c r="J546" s="1225"/>
      <c r="K546" s="1225"/>
      <c r="L546" s="1225"/>
      <c r="M546" s="1225"/>
      <c r="N546" s="1023"/>
      <c r="O546" s="1225"/>
      <c r="P546" s="1225"/>
      <c r="Q546" s="1225"/>
      <c r="R546" s="1225"/>
      <c r="S546" s="1342"/>
      <c r="T546" s="1023"/>
      <c r="U546" s="1023"/>
      <c r="V546" s="1023"/>
      <c r="W546" s="1023"/>
      <c r="X546" s="1023"/>
      <c r="Y546" s="1225"/>
      <c r="Z546" s="1023"/>
      <c r="AA546" s="1225"/>
      <c r="AB546" s="1023"/>
      <c r="AC546" s="1225"/>
      <c r="AD546" s="1059"/>
      <c r="AE546" s="1020"/>
      <c r="AF546" s="1023"/>
      <c r="AG546" s="1240"/>
      <c r="AH546" s="1240"/>
      <c r="AI546" s="1240"/>
      <c r="AJ546" s="1240"/>
      <c r="AK546" s="1240"/>
      <c r="AL546" s="1240"/>
      <c r="AM546" s="1240"/>
      <c r="AN546" s="1240"/>
      <c r="AO546" s="1240"/>
      <c r="AP546" s="1240"/>
      <c r="AQ546" s="1240"/>
      <c r="AR546" s="1240"/>
      <c r="AS546" s="1240"/>
      <c r="AT546" s="1240"/>
      <c r="AU546" s="1240"/>
      <c r="AV546" s="1240"/>
      <c r="AW546" s="1240"/>
      <c r="AX546" s="1240"/>
      <c r="AY546" s="1183"/>
    </row>
    <row r="547" spans="1:51" ht="28.9" customHeight="1" x14ac:dyDescent="0.25">
      <c r="A547" s="1189"/>
      <c r="B547" s="1018"/>
      <c r="C547" s="1379"/>
      <c r="D547" s="164" t="s">
        <v>346</v>
      </c>
      <c r="E547" s="1225"/>
      <c r="F547" s="1225"/>
      <c r="G547" s="1225">
        <f>+G421-T421</f>
        <v>118893552</v>
      </c>
      <c r="H547" s="1225">
        <f>+H421-U421</f>
        <v>71484750</v>
      </c>
      <c r="I547" s="1225">
        <f t="shared" si="93"/>
        <v>62916707</v>
      </c>
      <c r="J547" s="1225"/>
      <c r="K547" s="1020"/>
      <c r="L547" s="1020"/>
      <c r="M547" s="1020"/>
      <c r="N547" s="1020"/>
      <c r="O547" s="1020"/>
      <c r="P547" s="1020"/>
      <c r="Q547" s="1020"/>
      <c r="R547" s="1020"/>
      <c r="S547" s="1023"/>
      <c r="T547" s="1023"/>
      <c r="U547" s="1023"/>
      <c r="V547" s="1023"/>
      <c r="W547" s="1023"/>
      <c r="X547" s="1023"/>
      <c r="Y547" s="1225"/>
      <c r="Z547" s="1023"/>
      <c r="AA547" s="1225"/>
      <c r="AB547" s="1023"/>
      <c r="AC547" s="1225"/>
      <c r="AD547" s="1059"/>
      <c r="AE547" s="1020"/>
      <c r="AF547" s="1023"/>
      <c r="AG547" s="1240"/>
      <c r="AH547" s="1240"/>
      <c r="AI547" s="1240"/>
      <c r="AJ547" s="1240"/>
      <c r="AK547" s="1240"/>
      <c r="AL547" s="1240"/>
      <c r="AM547" s="1240"/>
      <c r="AN547" s="1240"/>
      <c r="AO547" s="1240"/>
      <c r="AP547" s="1240"/>
      <c r="AQ547" s="1240"/>
      <c r="AR547" s="1240"/>
      <c r="AS547" s="1240"/>
      <c r="AT547" s="1240"/>
      <c r="AU547" s="1240"/>
      <c r="AV547" s="1240"/>
      <c r="AW547" s="1240"/>
      <c r="AX547" s="1240"/>
      <c r="AY547" s="1183"/>
    </row>
    <row r="548" spans="1:51" ht="28.9" customHeight="1" x14ac:dyDescent="0.25">
      <c r="A548" s="1189"/>
      <c r="B548" s="1018"/>
      <c r="C548" s="1379"/>
      <c r="D548" s="165" t="s">
        <v>347</v>
      </c>
      <c r="E548" s="1225"/>
      <c r="F548" s="1225"/>
      <c r="G548" s="1225">
        <v>80</v>
      </c>
      <c r="H548" s="1225">
        <v>70</v>
      </c>
      <c r="I548" s="1225">
        <f t="shared" si="93"/>
        <v>45</v>
      </c>
      <c r="J548" s="1225"/>
      <c r="K548" s="1225"/>
      <c r="L548" s="1225"/>
      <c r="M548" s="1225"/>
      <c r="N548" s="1225"/>
      <c r="O548" s="1225"/>
      <c r="P548" s="1225"/>
      <c r="Q548" s="1225"/>
      <c r="R548" s="1225"/>
      <c r="S548" s="1225"/>
      <c r="T548" s="1023"/>
      <c r="U548" s="1023"/>
      <c r="V548" s="1023"/>
      <c r="W548" s="1023"/>
      <c r="X548" s="1225"/>
      <c r="Y548" s="1225"/>
      <c r="Z548" s="1023"/>
      <c r="AA548" s="1225"/>
      <c r="AB548" s="1023"/>
      <c r="AC548" s="1225"/>
      <c r="AD548" s="1059"/>
      <c r="AE548" s="1020"/>
      <c r="AF548" s="1023"/>
      <c r="AG548" s="1240"/>
      <c r="AH548" s="1240"/>
      <c r="AI548" s="1240"/>
      <c r="AJ548" s="1240"/>
      <c r="AK548" s="1240"/>
      <c r="AL548" s="1240"/>
      <c r="AM548" s="1240"/>
      <c r="AN548" s="1240"/>
      <c r="AO548" s="1240"/>
      <c r="AP548" s="1240"/>
      <c r="AQ548" s="1240"/>
      <c r="AR548" s="1240"/>
      <c r="AS548" s="1240"/>
      <c r="AT548" s="1240"/>
      <c r="AU548" s="1240"/>
      <c r="AV548" s="1240"/>
      <c r="AW548" s="1240"/>
      <c r="AX548" s="1240"/>
      <c r="AY548" s="1183"/>
    </row>
    <row r="549" spans="1:51" ht="28.9" customHeight="1" x14ac:dyDescent="0.25">
      <c r="A549" s="1189"/>
      <c r="B549" s="1018"/>
      <c r="C549" s="1169"/>
      <c r="D549" s="164" t="s">
        <v>348</v>
      </c>
      <c r="E549" s="1225"/>
      <c r="F549" s="1225"/>
      <c r="G549" s="1020">
        <f>+G545+G547</f>
        <v>1141930552</v>
      </c>
      <c r="H549" s="1020">
        <f>+H545+H547</f>
        <v>940585750</v>
      </c>
      <c r="I549" s="1225">
        <f>+I423-V423</f>
        <v>876917707</v>
      </c>
      <c r="J549" s="1020"/>
      <c r="K549" s="1026"/>
      <c r="L549" s="1026"/>
      <c r="M549" s="1026"/>
      <c r="N549" s="1026"/>
      <c r="O549" s="1026"/>
      <c r="P549" s="1026"/>
      <c r="Q549" s="1026"/>
      <c r="R549" s="1026"/>
      <c r="S549" s="1225"/>
      <c r="T549" s="1023"/>
      <c r="U549" s="1023"/>
      <c r="V549" s="1023"/>
      <c r="W549" s="1023"/>
      <c r="X549" s="1225"/>
      <c r="Y549" s="1225"/>
      <c r="Z549" s="1023"/>
      <c r="AA549" s="1225"/>
      <c r="AB549" s="1023"/>
      <c r="AC549" s="1225"/>
      <c r="AD549" s="1059"/>
      <c r="AE549" s="1020"/>
      <c r="AF549" s="1023"/>
      <c r="AG549" s="1241"/>
      <c r="AH549" s="1241"/>
      <c r="AI549" s="1241"/>
      <c r="AJ549" s="1241"/>
      <c r="AK549" s="1241"/>
      <c r="AL549" s="1241"/>
      <c r="AM549" s="1241"/>
      <c r="AN549" s="1241"/>
      <c r="AO549" s="1241"/>
      <c r="AP549" s="1241"/>
      <c r="AQ549" s="1241"/>
      <c r="AR549" s="1241"/>
      <c r="AS549" s="1241"/>
      <c r="AT549" s="1241"/>
      <c r="AU549" s="1241"/>
      <c r="AV549" s="1241"/>
      <c r="AW549" s="1241"/>
      <c r="AX549" s="1241"/>
      <c r="AY549" s="1183"/>
    </row>
    <row r="550" spans="1:51" ht="19.149999999999999" customHeight="1" x14ac:dyDescent="0.25">
      <c r="A550" s="1189"/>
      <c r="B550" s="1018"/>
      <c r="C550" s="1217" t="s">
        <v>512</v>
      </c>
      <c r="D550" s="161" t="s">
        <v>340</v>
      </c>
      <c r="E550" s="1225">
        <f t="shared" ref="E550:F555" si="94">+E418</f>
        <v>110</v>
      </c>
      <c r="F550" s="1225">
        <f t="shared" si="94"/>
        <v>110</v>
      </c>
      <c r="G550" s="1225">
        <f t="shared" ref="G550:L550" si="95">G424+G430+G442+G466+G472+G478+G484+G490+G496+G502+G508+G514+G520+G538+G544</f>
        <v>110</v>
      </c>
      <c r="H550" s="1225">
        <f t="shared" ref="H550:I555" si="96">H424+H430+H442+H448+H466+H472+H478+H484+H490+H496+H502+H508+H514+H520+H538+H544</f>
        <v>110</v>
      </c>
      <c r="I550" s="1225">
        <f t="shared" si="96"/>
        <v>110</v>
      </c>
      <c r="J550" s="1225"/>
      <c r="K550" s="1225"/>
      <c r="L550" s="1225"/>
      <c r="M550" s="1225"/>
      <c r="N550" s="1225"/>
      <c r="O550" s="1225"/>
      <c r="P550" s="1225"/>
      <c r="Q550" s="1225"/>
      <c r="R550" s="1225"/>
      <c r="S550" s="1299"/>
      <c r="T550" s="1225">
        <f t="shared" ref="T550:Y550" si="97">T424+T430+T442+T466+T472+T478+T484+T490+T496+T502+T508+T514+T520+T538+T544</f>
        <v>30</v>
      </c>
      <c r="U550" s="1225">
        <f t="shared" ref="U550:V555" si="98">U424+U430+U442+U448+U466+U472+U478+U484+U490+U496+U502+U508+U514+U520+U538+U544</f>
        <v>40</v>
      </c>
      <c r="V550" s="1225">
        <f t="shared" si="98"/>
        <v>65</v>
      </c>
      <c r="W550" s="1225"/>
      <c r="X550" s="1225">
        <f t="shared" si="97"/>
        <v>0</v>
      </c>
      <c r="Y550" s="1225">
        <f t="shared" si="97"/>
        <v>0</v>
      </c>
      <c r="Z550" s="1225">
        <f t="shared" ref="Z550:AA555" si="99">Z424+Z430+Z442+Z466+Z472+Z478+Z484+Z490+Z496+Z502+Z508+Z514+Z520+Z538+Z544</f>
        <v>0</v>
      </c>
      <c r="AA550" s="1225">
        <f t="shared" si="99"/>
        <v>0</v>
      </c>
      <c r="AB550" s="1225">
        <f t="shared" ref="AB550:AC555" si="100">AB424+AB430+AB442+AB460+AB466+AB472+AB478+AB484+AB490+AB496+AB502+AB508+AB514+AB520+AB526+AB538+AB544</f>
        <v>0</v>
      </c>
      <c r="AC550" s="1225">
        <f t="shared" si="100"/>
        <v>0</v>
      </c>
      <c r="AD550" s="1225">
        <f t="shared" ref="AD550:AD555" si="101">AD424+AD430+AD442+AD460+AD466+AD472+AD478+AD484+AD490+AD496+AD502+AD508+AD514+AD520+AD526+AD532+AD538+AD544</f>
        <v>0</v>
      </c>
      <c r="AE550" s="1225">
        <f t="shared" ref="AE550:AE555" si="102">AE424+AE430+AE442+AE448+AE460+AE466+AE472+AE478+AE484+AE490+AE496+AE502+AE508+AE514+AE520+AE526+AE532+AE538+AE544</f>
        <v>0</v>
      </c>
      <c r="AF550" s="1023"/>
      <c r="AG550" s="1243" t="s">
        <v>456</v>
      </c>
      <c r="AH550" s="1243" t="s">
        <v>178</v>
      </c>
      <c r="AI550" s="1243" t="s">
        <v>178</v>
      </c>
      <c r="AJ550" s="1243" t="s">
        <v>178</v>
      </c>
      <c r="AK550" s="1244" t="s">
        <v>457</v>
      </c>
      <c r="AL550" s="1243"/>
      <c r="AM550" s="1243" t="s">
        <v>603</v>
      </c>
      <c r="AN550" s="1252">
        <v>7968095</v>
      </c>
      <c r="AO550" s="1252">
        <v>3815676</v>
      </c>
      <c r="AP550" s="1252">
        <v>4152419</v>
      </c>
      <c r="AQ550" s="1341" t="s">
        <v>459</v>
      </c>
      <c r="AR550" s="1341" t="s">
        <v>459</v>
      </c>
      <c r="AS550" s="1341" t="s">
        <v>459</v>
      </c>
      <c r="AT550" s="1341" t="s">
        <v>459</v>
      </c>
      <c r="AU550" s="1341" t="s">
        <v>459</v>
      </c>
      <c r="AV550" s="1341" t="s">
        <v>459</v>
      </c>
      <c r="AW550" s="1341" t="s">
        <v>459</v>
      </c>
      <c r="AX550" s="1252">
        <v>7936534</v>
      </c>
      <c r="AY550" s="1183"/>
    </row>
    <row r="551" spans="1:51" ht="19.149999999999999" customHeight="1" x14ac:dyDescent="0.25">
      <c r="A551" s="1189"/>
      <c r="B551" s="1018"/>
      <c r="C551" s="1018"/>
      <c r="D551" s="164" t="s">
        <v>343</v>
      </c>
      <c r="E551" s="1225">
        <f t="shared" si="94"/>
        <v>1054761000</v>
      </c>
      <c r="F551" s="1225">
        <f t="shared" si="94"/>
        <v>1054761000</v>
      </c>
      <c r="G551" s="1225">
        <f t="shared" ref="G551:L551" si="103">G425+G431+G443+G467+G473+G479+G485+G491+G497+G503+G509+G515+G521+G539+G545</f>
        <v>1054761000</v>
      </c>
      <c r="H551" s="1225">
        <f t="shared" si="96"/>
        <v>1054761000</v>
      </c>
      <c r="I551" s="1225">
        <f>I425+I431+I443+I449+I467+I473+I479+I485+I491+I497+I503+I509+I515+I521+I539+I545</f>
        <v>1054761000</v>
      </c>
      <c r="J551" s="1225"/>
      <c r="K551" s="1225"/>
      <c r="L551" s="1225"/>
      <c r="M551" s="1225"/>
      <c r="N551" s="1225"/>
      <c r="O551" s="1225"/>
      <c r="P551" s="1225"/>
      <c r="Q551" s="1225"/>
      <c r="R551" s="1225"/>
      <c r="S551" s="1219"/>
      <c r="T551" s="1225">
        <f t="shared" ref="T551:Y551" si="104">T425+T431+T443+T467+T473+T479+T485+T491+T497+T503+T509+T515+T521+T539+T545</f>
        <v>31724000.000000004</v>
      </c>
      <c r="U551" s="1225">
        <f t="shared" si="98"/>
        <v>185660000</v>
      </c>
      <c r="V551" s="1225">
        <f t="shared" ref="V551" si="105">V425+V431+V443+V449+V467+V473+V479+V485+V491+V497+V503+V509+V515+V521+V539+V545</f>
        <v>240760000</v>
      </c>
      <c r="W551" s="1225"/>
      <c r="X551" s="1225">
        <f t="shared" si="104"/>
        <v>0</v>
      </c>
      <c r="Y551" s="1225">
        <f t="shared" si="104"/>
        <v>0</v>
      </c>
      <c r="Z551" s="1225">
        <f t="shared" si="99"/>
        <v>0</v>
      </c>
      <c r="AA551" s="1225">
        <f t="shared" si="99"/>
        <v>0</v>
      </c>
      <c r="AB551" s="1225">
        <f t="shared" si="100"/>
        <v>0</v>
      </c>
      <c r="AC551" s="1225">
        <f t="shared" si="100"/>
        <v>0</v>
      </c>
      <c r="AD551" s="1225">
        <f t="shared" si="101"/>
        <v>0</v>
      </c>
      <c r="AE551" s="1225">
        <f t="shared" si="102"/>
        <v>0</v>
      </c>
      <c r="AF551" s="1023"/>
      <c r="AG551" s="1240"/>
      <c r="AH551" s="1240"/>
      <c r="AI551" s="1240"/>
      <c r="AJ551" s="1240"/>
      <c r="AK551" s="1240"/>
      <c r="AL551" s="1240"/>
      <c r="AM551" s="1240"/>
      <c r="AN551" s="1240"/>
      <c r="AO551" s="1240"/>
      <c r="AP551" s="1240"/>
      <c r="AQ551" s="1240"/>
      <c r="AR551" s="1240"/>
      <c r="AS551" s="1240"/>
      <c r="AT551" s="1240"/>
      <c r="AU551" s="1240"/>
      <c r="AV551" s="1240"/>
      <c r="AW551" s="1240"/>
      <c r="AX551" s="1240"/>
      <c r="AY551" s="1183"/>
    </row>
    <row r="552" spans="1:51" ht="28.9" customHeight="1" x14ac:dyDescent="0.25">
      <c r="A552" s="1189"/>
      <c r="B552" s="1018"/>
      <c r="C552" s="1018"/>
      <c r="D552" s="165" t="s">
        <v>345</v>
      </c>
      <c r="E552" s="1225">
        <f t="shared" si="94"/>
        <v>0</v>
      </c>
      <c r="F552" s="1225">
        <f t="shared" si="94"/>
        <v>0</v>
      </c>
      <c r="G552" s="1225">
        <f t="shared" ref="G552:L553" si="106">G426+G432+G444+G468+G474+G480+G486+G492+G498+G504+G510+G516+G522+G540+G546</f>
        <v>0</v>
      </c>
      <c r="H552" s="1225">
        <f t="shared" si="96"/>
        <v>0</v>
      </c>
      <c r="I552" s="1225">
        <f t="shared" ref="I552" si="107">I426+I432+I444+I450+I468+I474+I480+I486+I492+I498+I504+I510+I516+I522+I540+I546</f>
        <v>0</v>
      </c>
      <c r="J552" s="1225"/>
      <c r="K552" s="1225"/>
      <c r="L552" s="1225"/>
      <c r="M552" s="1225"/>
      <c r="N552" s="1225"/>
      <c r="O552" s="1225"/>
      <c r="P552" s="1225"/>
      <c r="Q552" s="1225"/>
      <c r="R552" s="1225"/>
      <c r="S552" s="1219"/>
      <c r="T552" s="1225">
        <f t="shared" ref="T552:Y552" si="108">T426+T432+T444+T468+T474+T480+T486+T492+T498+T504+T510+T516+T522+T540+T546</f>
        <v>0</v>
      </c>
      <c r="U552" s="1225">
        <f t="shared" si="98"/>
        <v>0</v>
      </c>
      <c r="V552" s="1225">
        <f t="shared" ref="V552" si="109">V426+V432+V444+V450+V468+V474+V480+V486+V492+V498+V504+V510+V516+V522+V540+V546</f>
        <v>0</v>
      </c>
      <c r="W552" s="1225"/>
      <c r="X552" s="1225">
        <f t="shared" si="108"/>
        <v>0</v>
      </c>
      <c r="Y552" s="1225">
        <f t="shared" si="108"/>
        <v>0</v>
      </c>
      <c r="Z552" s="1225">
        <f t="shared" si="99"/>
        <v>0</v>
      </c>
      <c r="AA552" s="1225">
        <f t="shared" si="99"/>
        <v>0</v>
      </c>
      <c r="AB552" s="1225">
        <f t="shared" si="100"/>
        <v>0</v>
      </c>
      <c r="AC552" s="1225">
        <f t="shared" si="100"/>
        <v>0</v>
      </c>
      <c r="AD552" s="1225">
        <f t="shared" si="101"/>
        <v>0</v>
      </c>
      <c r="AE552" s="1225">
        <f t="shared" si="102"/>
        <v>0</v>
      </c>
      <c r="AF552" s="1023"/>
      <c r="AG552" s="1240"/>
      <c r="AH552" s="1240"/>
      <c r="AI552" s="1240"/>
      <c r="AJ552" s="1240"/>
      <c r="AK552" s="1240"/>
      <c r="AL552" s="1240"/>
      <c r="AM552" s="1240"/>
      <c r="AN552" s="1240"/>
      <c r="AO552" s="1240"/>
      <c r="AP552" s="1240"/>
      <c r="AQ552" s="1240"/>
      <c r="AR552" s="1240"/>
      <c r="AS552" s="1240"/>
      <c r="AT552" s="1240"/>
      <c r="AU552" s="1240"/>
      <c r="AV552" s="1240"/>
      <c r="AW552" s="1240"/>
      <c r="AX552" s="1240"/>
      <c r="AY552" s="1183"/>
    </row>
    <row r="553" spans="1:51" ht="28.9" customHeight="1" x14ac:dyDescent="0.25">
      <c r="A553" s="1189"/>
      <c r="B553" s="1018"/>
      <c r="C553" s="1018"/>
      <c r="D553" s="164" t="s">
        <v>346</v>
      </c>
      <c r="E553" s="1225">
        <f t="shared" si="94"/>
        <v>198394355</v>
      </c>
      <c r="F553" s="1225">
        <f t="shared" si="94"/>
        <v>0</v>
      </c>
      <c r="G553" s="1225">
        <f t="shared" si="106"/>
        <v>198394355</v>
      </c>
      <c r="H553" s="1225">
        <f t="shared" si="96"/>
        <v>198394354.99999997</v>
      </c>
      <c r="I553" s="1225">
        <f>I427+I433+I445+I451+I469+I475+I481+I487+I493+I499+I505+I511+I517+I523+I541+I547</f>
        <v>198394355</v>
      </c>
      <c r="J553" s="1225"/>
      <c r="K553" s="1225"/>
      <c r="L553" s="1225"/>
      <c r="M553" s="1225"/>
      <c r="N553" s="1225"/>
      <c r="O553" s="1225"/>
      <c r="P553" s="1225"/>
      <c r="Q553" s="1225"/>
      <c r="R553" s="1225"/>
      <c r="S553" s="1219"/>
      <c r="T553" s="1225">
        <f>T427+T433+T445+T469+T475+T481+T487+T493+T499+T505+T511+T517+T523+T541+T547</f>
        <v>79500802.999999985</v>
      </c>
      <c r="U553" s="1225">
        <f t="shared" si="98"/>
        <v>126909604.99999997</v>
      </c>
      <c r="V553" s="1225">
        <f t="shared" ref="V553" si="110">V427+V433+V445+V451+V469+V475+V481+V487+V493+V499+V505+V511+V517+V523+V541+V547</f>
        <v>135477648</v>
      </c>
      <c r="W553" s="1225"/>
      <c r="X553" s="1225">
        <f>X427+X433+X445+X469+X475+X481+X487+X493+X499+X505+X511+X517+X523+X541+X547</f>
        <v>0</v>
      </c>
      <c r="Y553" s="1225">
        <f>Y427+Y433+Y445+Y469+Y475+Y481+Y487+Y493+Y499+Y505+Y511+Y517+Y523+Y541+Y547</f>
        <v>0</v>
      </c>
      <c r="Z553" s="1225">
        <f t="shared" si="99"/>
        <v>0</v>
      </c>
      <c r="AA553" s="1225">
        <f t="shared" si="99"/>
        <v>0</v>
      </c>
      <c r="AB553" s="1225">
        <f t="shared" si="100"/>
        <v>0</v>
      </c>
      <c r="AC553" s="1225">
        <f t="shared" si="100"/>
        <v>0</v>
      </c>
      <c r="AD553" s="1225">
        <f t="shared" si="101"/>
        <v>0</v>
      </c>
      <c r="AE553" s="1225">
        <f t="shared" si="102"/>
        <v>0</v>
      </c>
      <c r="AF553" s="1023"/>
      <c r="AG553" s="1240"/>
      <c r="AH553" s="1240"/>
      <c r="AI553" s="1240"/>
      <c r="AJ553" s="1240"/>
      <c r="AK553" s="1240"/>
      <c r="AL553" s="1240"/>
      <c r="AM553" s="1240"/>
      <c r="AN553" s="1240"/>
      <c r="AO553" s="1240"/>
      <c r="AP553" s="1240"/>
      <c r="AQ553" s="1240"/>
      <c r="AR553" s="1240"/>
      <c r="AS553" s="1240"/>
      <c r="AT553" s="1240"/>
      <c r="AU553" s="1240"/>
      <c r="AV553" s="1240"/>
      <c r="AW553" s="1240"/>
      <c r="AX553" s="1240"/>
      <c r="AY553" s="1183"/>
    </row>
    <row r="554" spans="1:51" ht="28.9" customHeight="1" x14ac:dyDescent="0.25">
      <c r="A554" s="1189"/>
      <c r="B554" s="1018"/>
      <c r="C554" s="1018"/>
      <c r="D554" s="165" t="s">
        <v>347</v>
      </c>
      <c r="E554" s="1225">
        <f t="shared" si="94"/>
        <v>110</v>
      </c>
      <c r="F554" s="1225">
        <f t="shared" si="94"/>
        <v>110</v>
      </c>
      <c r="G554" s="1225">
        <f t="shared" ref="G554:L554" si="111">G428+G434+G446+G470+G476+G482+G488+G494+G500+G506+G512+G518+G524+G542+G548</f>
        <v>110</v>
      </c>
      <c r="H554" s="1225">
        <f t="shared" si="96"/>
        <v>110</v>
      </c>
      <c r="I554" s="1225">
        <f t="shared" ref="I554" si="112">I428+I434+I446+I452+I470+I476+I482+I488+I494+I500+I506+I512+I518+I524+I542+I548</f>
        <v>110</v>
      </c>
      <c r="J554" s="1225"/>
      <c r="K554" s="1225"/>
      <c r="L554" s="1225"/>
      <c r="M554" s="1225"/>
      <c r="N554" s="1225"/>
      <c r="O554" s="1225"/>
      <c r="P554" s="1225"/>
      <c r="Q554" s="1225"/>
      <c r="R554" s="1225"/>
      <c r="S554" s="1219"/>
      <c r="T554" s="1225">
        <f t="shared" ref="T554:Y554" si="113">T428+T434+T446+T470+T476+T482+T488+T494+T500+T506+T512+T518+T524+T542+T548</f>
        <v>30</v>
      </c>
      <c r="U554" s="1225">
        <f t="shared" si="98"/>
        <v>40</v>
      </c>
      <c r="V554" s="1225">
        <f t="shared" ref="V554" si="114">V428+V434+V446+V452+V470+V476+V482+V488+V494+V500+V506+V512+V518+V524+V542+V548</f>
        <v>65</v>
      </c>
      <c r="W554" s="1225"/>
      <c r="X554" s="1225">
        <f t="shared" si="113"/>
        <v>0</v>
      </c>
      <c r="Y554" s="1225">
        <f t="shared" si="113"/>
        <v>0</v>
      </c>
      <c r="Z554" s="1225">
        <f t="shared" si="99"/>
        <v>0</v>
      </c>
      <c r="AA554" s="1225">
        <f t="shared" si="99"/>
        <v>0</v>
      </c>
      <c r="AB554" s="1225">
        <f t="shared" si="100"/>
        <v>0</v>
      </c>
      <c r="AC554" s="1225">
        <f t="shared" si="100"/>
        <v>0</v>
      </c>
      <c r="AD554" s="1225">
        <f t="shared" si="101"/>
        <v>0</v>
      </c>
      <c r="AE554" s="1225">
        <f t="shared" si="102"/>
        <v>0</v>
      </c>
      <c r="AF554" s="1023"/>
      <c r="AG554" s="1240"/>
      <c r="AH554" s="1240"/>
      <c r="AI554" s="1240"/>
      <c r="AJ554" s="1240"/>
      <c r="AK554" s="1240"/>
      <c r="AL554" s="1240"/>
      <c r="AM554" s="1240"/>
      <c r="AN554" s="1240"/>
      <c r="AO554" s="1240"/>
      <c r="AP554" s="1240"/>
      <c r="AQ554" s="1240"/>
      <c r="AR554" s="1240"/>
      <c r="AS554" s="1240"/>
      <c r="AT554" s="1240"/>
      <c r="AU554" s="1240"/>
      <c r="AV554" s="1240"/>
      <c r="AW554" s="1240"/>
      <c r="AX554" s="1240"/>
      <c r="AY554" s="1183"/>
    </row>
    <row r="555" spans="1:51" ht="28.9" customHeight="1" thickBot="1" x14ac:dyDescent="0.3">
      <c r="A555" s="1190"/>
      <c r="B555" s="1376"/>
      <c r="C555" s="1048"/>
      <c r="D555" s="164" t="s">
        <v>348</v>
      </c>
      <c r="E555" s="1225">
        <f t="shared" si="94"/>
        <v>1253155355</v>
      </c>
      <c r="F555" s="1225">
        <f t="shared" si="94"/>
        <v>1054761000</v>
      </c>
      <c r="G555" s="1225">
        <f>G429+G435+G447+G471+G477+G483+G489+G495+G501+G507+G513+G519+G525+G543+G549</f>
        <v>1253155355</v>
      </c>
      <c r="H555" s="1225">
        <f t="shared" si="96"/>
        <v>1253155355</v>
      </c>
      <c r="I555" s="1225">
        <f t="shared" si="96"/>
        <v>1253155355</v>
      </c>
      <c r="J555" s="1225"/>
      <c r="K555" s="1225"/>
      <c r="L555" s="1225"/>
      <c r="M555" s="1225"/>
      <c r="N555" s="1225"/>
      <c r="O555" s="1225"/>
      <c r="P555" s="1225"/>
      <c r="Q555" s="1225"/>
      <c r="R555" s="1225"/>
      <c r="S555" s="1221"/>
      <c r="T555" s="1225">
        <f>T429+T435+T447+T471+T477+T483+T489+T495+T501+T507+T513+T519+T525+T543+T549</f>
        <v>111224803.00000001</v>
      </c>
      <c r="U555" s="1225">
        <f t="shared" si="98"/>
        <v>312569605</v>
      </c>
      <c r="V555" s="1225">
        <f t="shared" ref="V555" si="115">V429+V435+V447+V453+V471+V477+V483+V489+V495+V501+V507+V513+V519+V525+V543+V549</f>
        <v>376237648.00000012</v>
      </c>
      <c r="W555" s="1225"/>
      <c r="X555" s="1225">
        <f>X429+X435+X447+X471+X477+X483+X489+X495+X501+X507+X513+X519+X525+X543+X549</f>
        <v>0</v>
      </c>
      <c r="Y555" s="1225">
        <f>Y429+Y435+Y447+Y471+Y477+Y483+Y489+Y495+Y501+Y507+Y513+Y519+Y525+Y543+Y549</f>
        <v>0</v>
      </c>
      <c r="Z555" s="1225">
        <f t="shared" si="99"/>
        <v>0</v>
      </c>
      <c r="AA555" s="1225">
        <f t="shared" si="99"/>
        <v>0</v>
      </c>
      <c r="AB555" s="1225">
        <f t="shared" si="100"/>
        <v>0</v>
      </c>
      <c r="AC555" s="1225">
        <f t="shared" si="100"/>
        <v>0</v>
      </c>
      <c r="AD555" s="1225">
        <f t="shared" si="101"/>
        <v>0</v>
      </c>
      <c r="AE555" s="1225">
        <f t="shared" si="102"/>
        <v>0</v>
      </c>
      <c r="AF555" s="1023"/>
      <c r="AG555" s="1241"/>
      <c r="AH555" s="1241"/>
      <c r="AI555" s="1241"/>
      <c r="AJ555" s="1241"/>
      <c r="AK555" s="1241"/>
      <c r="AL555" s="1241"/>
      <c r="AM555" s="1241"/>
      <c r="AN555" s="1241"/>
      <c r="AO555" s="1241"/>
      <c r="AP555" s="1241"/>
      <c r="AQ555" s="1241"/>
      <c r="AR555" s="1241"/>
      <c r="AS555" s="1241"/>
      <c r="AT555" s="1241"/>
      <c r="AU555" s="1241"/>
      <c r="AV555" s="1241"/>
      <c r="AW555" s="1241"/>
      <c r="AX555" s="1241"/>
      <c r="AY555" s="1183"/>
    </row>
    <row r="556" spans="1:51" ht="19.149999999999999" customHeight="1" x14ac:dyDescent="0.25">
      <c r="A556" s="1216">
        <v>6</v>
      </c>
      <c r="B556" s="1374" t="s">
        <v>358</v>
      </c>
      <c r="C556" s="1217" t="s">
        <v>634</v>
      </c>
      <c r="D556" s="161" t="s">
        <v>340</v>
      </c>
      <c r="E556" s="1225">
        <f>+INVERSIÓN!DN45</f>
        <v>16</v>
      </c>
      <c r="F556" s="1225">
        <v>16</v>
      </c>
      <c r="G556" s="1225">
        <v>16</v>
      </c>
      <c r="H556" s="1225">
        <v>16</v>
      </c>
      <c r="I556" s="1225">
        <v>16</v>
      </c>
      <c r="J556" s="1225"/>
      <c r="K556" s="1225"/>
      <c r="L556" s="1225"/>
      <c r="M556" s="1225"/>
      <c r="N556" s="1006"/>
      <c r="O556" s="1225"/>
      <c r="P556" s="1225"/>
      <c r="Q556" s="1225"/>
      <c r="R556" s="1343"/>
      <c r="S556" s="1006"/>
      <c r="T556" s="1006">
        <v>2</v>
      </c>
      <c r="U556" s="1006">
        <v>2</v>
      </c>
      <c r="V556" s="1006">
        <v>4</v>
      </c>
      <c r="W556" s="1006"/>
      <c r="X556" s="1006"/>
      <c r="Y556" s="1006"/>
      <c r="Z556" s="1225"/>
      <c r="AA556" s="1006"/>
      <c r="AB556" s="1006"/>
      <c r="AC556" s="1225"/>
      <c r="AD556" s="1225"/>
      <c r="AE556" s="1225"/>
      <c r="AF556" s="1006"/>
      <c r="AG556" s="1244" t="s">
        <v>635</v>
      </c>
      <c r="AH556" s="1243" t="s">
        <v>178</v>
      </c>
      <c r="AI556" s="1243" t="s">
        <v>178</v>
      </c>
      <c r="AJ556" s="1243" t="s">
        <v>178</v>
      </c>
      <c r="AK556" s="1244" t="s">
        <v>457</v>
      </c>
      <c r="AL556" s="1243" t="s">
        <v>610</v>
      </c>
      <c r="AM556" s="1243" t="s">
        <v>603</v>
      </c>
      <c r="AN556" s="1252">
        <v>8034649</v>
      </c>
      <c r="AO556" s="1252">
        <v>3847592</v>
      </c>
      <c r="AP556" s="1252">
        <v>418057</v>
      </c>
      <c r="AQ556" s="1072" t="s">
        <v>459</v>
      </c>
      <c r="AR556" s="1072" t="s">
        <v>459</v>
      </c>
      <c r="AS556" s="1072" t="s">
        <v>459</v>
      </c>
      <c r="AT556" s="1072" t="s">
        <v>459</v>
      </c>
      <c r="AU556" s="1072" t="s">
        <v>459</v>
      </c>
      <c r="AV556" s="1072" t="s">
        <v>459</v>
      </c>
      <c r="AW556" s="1072" t="s">
        <v>459</v>
      </c>
      <c r="AX556" s="1252">
        <v>8034649</v>
      </c>
      <c r="AY556" s="1072" t="s">
        <v>636</v>
      </c>
    </row>
    <row r="557" spans="1:51" ht="21" customHeight="1" x14ac:dyDescent="0.25">
      <c r="A557" s="1189"/>
      <c r="B557" s="1018"/>
      <c r="C557" s="1018"/>
      <c r="D557" s="164" t="s">
        <v>343</v>
      </c>
      <c r="E557" s="1225">
        <f>+INVERSIÓN!DN46</f>
        <v>378930000</v>
      </c>
      <c r="F557" s="1225">
        <v>378930000</v>
      </c>
      <c r="G557" s="1225">
        <v>378930000</v>
      </c>
      <c r="H557" s="1225">
        <v>378930000</v>
      </c>
      <c r="I557" s="1225">
        <v>378930000</v>
      </c>
      <c r="J557" s="1225"/>
      <c r="K557" s="1225"/>
      <c r="L557" s="1225"/>
      <c r="M557" s="1225"/>
      <c r="N557" s="1006"/>
      <c r="O557" s="1006"/>
      <c r="P557" s="1006"/>
      <c r="Q557" s="1225"/>
      <c r="R557" s="1343"/>
      <c r="S557" s="1344"/>
      <c r="T557" s="1006">
        <v>22045000</v>
      </c>
      <c r="U557" s="1006">
        <v>93753000</v>
      </c>
      <c r="V557" s="1006">
        <v>109213000</v>
      </c>
      <c r="W557" s="1006"/>
      <c r="X557" s="1020"/>
      <c r="Y557" s="1006"/>
      <c r="Z557" s="1225"/>
      <c r="AA557" s="1225"/>
      <c r="AB557" s="1006"/>
      <c r="AC557" s="1225"/>
      <c r="AD557" s="1006"/>
      <c r="AE557" s="1225"/>
      <c r="AF557" s="1325"/>
      <c r="AG557" s="1247"/>
      <c r="AH557" s="1246"/>
      <c r="AI557" s="1246"/>
      <c r="AJ557" s="1246"/>
      <c r="AK557" s="1247"/>
      <c r="AL557" s="1246"/>
      <c r="AM557" s="1246"/>
      <c r="AN557" s="1345"/>
      <c r="AO557" s="1345"/>
      <c r="AP557" s="1345"/>
      <c r="AQ557" s="1240"/>
      <c r="AR557" s="1240"/>
      <c r="AS557" s="1240"/>
      <c r="AT557" s="1240"/>
      <c r="AU557" s="1240"/>
      <c r="AV557" s="1240"/>
      <c r="AW557" s="1240"/>
      <c r="AX557" s="1345"/>
      <c r="AY557" s="1240"/>
    </row>
    <row r="558" spans="1:51" ht="21" customHeight="1" x14ac:dyDescent="0.25">
      <c r="A558" s="1189"/>
      <c r="B558" s="1018"/>
      <c r="C558" s="1018"/>
      <c r="D558" s="165" t="s">
        <v>345</v>
      </c>
      <c r="E558" s="1225">
        <f>+INVERSIÓN!DN48</f>
        <v>0</v>
      </c>
      <c r="F558" s="1225">
        <v>0</v>
      </c>
      <c r="G558" s="1225">
        <v>0</v>
      </c>
      <c r="H558" s="1225">
        <v>0</v>
      </c>
      <c r="I558" s="1225">
        <v>0</v>
      </c>
      <c r="J558" s="1225"/>
      <c r="K558" s="1225"/>
      <c r="L558" s="1225"/>
      <c r="M558" s="1225"/>
      <c r="N558" s="1006"/>
      <c r="O558" s="1006"/>
      <c r="P558" s="1006"/>
      <c r="Q558" s="1225"/>
      <c r="R558" s="1225"/>
      <c r="S558" s="1344"/>
      <c r="T558" s="1006">
        <v>0</v>
      </c>
      <c r="U558" s="1006">
        <v>0</v>
      </c>
      <c r="V558" s="1006">
        <v>0</v>
      </c>
      <c r="W558" s="1006"/>
      <c r="X558" s="1006"/>
      <c r="Y558" s="1006"/>
      <c r="Z558" s="1225"/>
      <c r="AA558" s="1225"/>
      <c r="AB558" s="1006"/>
      <c r="AC558" s="1006"/>
      <c r="AD558" s="1225"/>
      <c r="AE558" s="1225"/>
      <c r="AF558" s="1219"/>
      <c r="AG558" s="1247"/>
      <c r="AH558" s="1246"/>
      <c r="AI558" s="1246"/>
      <c r="AJ558" s="1246"/>
      <c r="AK558" s="1247"/>
      <c r="AL558" s="1246"/>
      <c r="AM558" s="1246"/>
      <c r="AN558" s="1345"/>
      <c r="AO558" s="1345"/>
      <c r="AP558" s="1345"/>
      <c r="AQ558" s="1240"/>
      <c r="AR558" s="1240"/>
      <c r="AS558" s="1240"/>
      <c r="AT558" s="1240"/>
      <c r="AU558" s="1240"/>
      <c r="AV558" s="1240"/>
      <c r="AW558" s="1240"/>
      <c r="AX558" s="1345"/>
      <c r="AY558" s="1240"/>
    </row>
    <row r="559" spans="1:51" ht="21" customHeight="1" x14ac:dyDescent="0.25">
      <c r="A559" s="1189"/>
      <c r="B559" s="1018"/>
      <c r="C559" s="1018"/>
      <c r="D559" s="164" t="s">
        <v>346</v>
      </c>
      <c r="E559" s="1225">
        <f>+INVERSIÓN!DN49</f>
        <v>28144567</v>
      </c>
      <c r="F559" s="1225">
        <v>28144567</v>
      </c>
      <c r="G559" s="1225">
        <v>28144567</v>
      </c>
      <c r="H559" s="1225">
        <v>28144567</v>
      </c>
      <c r="I559" s="1225">
        <v>28144567</v>
      </c>
      <c r="J559" s="1225"/>
      <c r="K559" s="1225"/>
      <c r="L559" s="1225"/>
      <c r="M559" s="1225"/>
      <c r="N559" s="1006"/>
      <c r="O559" s="1006"/>
      <c r="P559" s="1006"/>
      <c r="Q559" s="1006"/>
      <c r="R559" s="1343"/>
      <c r="S559" s="1344"/>
      <c r="T559" s="1006">
        <v>10020200</v>
      </c>
      <c r="U559" s="1006">
        <v>26975567</v>
      </c>
      <c r="V559" s="1006">
        <v>26975567</v>
      </c>
      <c r="W559" s="1006"/>
      <c r="X559" s="1020"/>
      <c r="Y559" s="1006"/>
      <c r="Z559" s="1225"/>
      <c r="AA559" s="1225"/>
      <c r="AB559" s="1225"/>
      <c r="AC559" s="1006"/>
      <c r="AD559" s="1006"/>
      <c r="AE559" s="1006"/>
      <c r="AF559" s="1219"/>
      <c r="AG559" s="1247"/>
      <c r="AH559" s="1246"/>
      <c r="AI559" s="1246"/>
      <c r="AJ559" s="1246"/>
      <c r="AK559" s="1247"/>
      <c r="AL559" s="1246"/>
      <c r="AM559" s="1246"/>
      <c r="AN559" s="1345"/>
      <c r="AO559" s="1345"/>
      <c r="AP559" s="1345"/>
      <c r="AQ559" s="1240"/>
      <c r="AR559" s="1240"/>
      <c r="AS559" s="1240"/>
      <c r="AT559" s="1240"/>
      <c r="AU559" s="1240"/>
      <c r="AV559" s="1240"/>
      <c r="AW559" s="1240"/>
      <c r="AX559" s="1345"/>
      <c r="AY559" s="1240"/>
    </row>
    <row r="560" spans="1:51" ht="21" customHeight="1" x14ac:dyDescent="0.25">
      <c r="A560" s="1189"/>
      <c r="B560" s="1018"/>
      <c r="C560" s="1018"/>
      <c r="D560" s="165" t="s">
        <v>347</v>
      </c>
      <c r="E560" s="1225">
        <f>+INVERSIÓN!DN50</f>
        <v>16</v>
      </c>
      <c r="F560" s="1225">
        <v>16</v>
      </c>
      <c r="G560" s="1225">
        <v>16</v>
      </c>
      <c r="H560" s="1225">
        <v>16</v>
      </c>
      <c r="I560" s="1225">
        <v>16</v>
      </c>
      <c r="J560" s="1225"/>
      <c r="K560" s="1225"/>
      <c r="L560" s="1225"/>
      <c r="M560" s="1225"/>
      <c r="N560" s="1006"/>
      <c r="O560" s="1006"/>
      <c r="P560" s="1006"/>
      <c r="Q560" s="1006"/>
      <c r="R560" s="1225"/>
      <c r="S560" s="1344"/>
      <c r="T560" s="1006">
        <v>2</v>
      </c>
      <c r="U560" s="1006">
        <v>2</v>
      </c>
      <c r="V560" s="1006">
        <v>4</v>
      </c>
      <c r="W560" s="1006"/>
      <c r="X560" s="1225"/>
      <c r="Y560" s="1006"/>
      <c r="Z560" s="1225"/>
      <c r="AA560" s="1006"/>
      <c r="AB560" s="1006"/>
      <c r="AC560" s="1225"/>
      <c r="AD560" s="1225"/>
      <c r="AE560" s="1225"/>
      <c r="AF560" s="1219"/>
      <c r="AG560" s="1247"/>
      <c r="AH560" s="1246"/>
      <c r="AI560" s="1246"/>
      <c r="AJ560" s="1246"/>
      <c r="AK560" s="1247"/>
      <c r="AL560" s="1246"/>
      <c r="AM560" s="1246"/>
      <c r="AN560" s="1345"/>
      <c r="AO560" s="1345"/>
      <c r="AP560" s="1345"/>
      <c r="AQ560" s="1240"/>
      <c r="AR560" s="1240"/>
      <c r="AS560" s="1240"/>
      <c r="AT560" s="1240"/>
      <c r="AU560" s="1240"/>
      <c r="AV560" s="1240"/>
      <c r="AW560" s="1240"/>
      <c r="AX560" s="1345"/>
      <c r="AY560" s="1240"/>
    </row>
    <row r="561" spans="1:51" ht="21" customHeight="1" x14ac:dyDescent="0.25">
      <c r="A561" s="1189"/>
      <c r="B561" s="1018"/>
      <c r="C561" s="1048"/>
      <c r="D561" s="164" t="s">
        <v>348</v>
      </c>
      <c r="E561" s="1225">
        <f>+INVERSIÓN!DN51</f>
        <v>407074567</v>
      </c>
      <c r="F561" s="1059">
        <v>407074567</v>
      </c>
      <c r="G561" s="1059">
        <v>407074567</v>
      </c>
      <c r="H561" s="1059">
        <v>407074567</v>
      </c>
      <c r="I561" s="1225">
        <v>407074567</v>
      </c>
      <c r="J561" s="1225"/>
      <c r="K561" s="1225"/>
      <c r="L561" s="1225"/>
      <c r="M561" s="1026"/>
      <c r="N561" s="1006"/>
      <c r="O561" s="1006"/>
      <c r="P561" s="1006"/>
      <c r="Q561" s="1006"/>
      <c r="R561" s="1006"/>
      <c r="S561" s="1344"/>
      <c r="T561" s="1006">
        <v>32065200</v>
      </c>
      <c r="U561" s="1006">
        <v>120728567</v>
      </c>
      <c r="V561" s="1006">
        <f>+V557+V559</f>
        <v>136188567</v>
      </c>
      <c r="W561" s="1006"/>
      <c r="X561" s="1006"/>
      <c r="Y561" s="1006"/>
      <c r="Z561" s="1026"/>
      <c r="AA561" s="1026"/>
      <c r="AB561" s="1026"/>
      <c r="AC561" s="1026"/>
      <c r="AD561" s="1026"/>
      <c r="AE561" s="1026"/>
      <c r="AF561" s="1221"/>
      <c r="AG561" s="1250"/>
      <c r="AH561" s="1249"/>
      <c r="AI561" s="1249"/>
      <c r="AJ561" s="1249"/>
      <c r="AK561" s="1250"/>
      <c r="AL561" s="1249"/>
      <c r="AM561" s="1249"/>
      <c r="AN561" s="1346"/>
      <c r="AO561" s="1346"/>
      <c r="AP561" s="1346"/>
      <c r="AQ561" s="1241"/>
      <c r="AR561" s="1241"/>
      <c r="AS561" s="1241"/>
      <c r="AT561" s="1241"/>
      <c r="AU561" s="1241"/>
      <c r="AV561" s="1241"/>
      <c r="AW561" s="1241"/>
      <c r="AX561" s="1346"/>
      <c r="AY561" s="1241"/>
    </row>
    <row r="562" spans="1:51" ht="19.149999999999999" customHeight="1" x14ac:dyDescent="0.25">
      <c r="A562" s="1189"/>
      <c r="B562" s="1018"/>
      <c r="C562" s="1378" t="s">
        <v>637</v>
      </c>
      <c r="D562" s="161" t="s">
        <v>340</v>
      </c>
      <c r="E562" s="1225"/>
      <c r="F562" s="1225"/>
      <c r="G562" s="1026"/>
      <c r="H562" s="1026"/>
      <c r="I562" s="1026"/>
      <c r="J562" s="1026"/>
      <c r="K562" s="1026"/>
      <c r="L562" s="1026"/>
      <c r="M562" s="1026"/>
      <c r="N562" s="1026"/>
      <c r="O562" s="1026"/>
      <c r="P562" s="1026"/>
      <c r="Q562" s="1026"/>
      <c r="R562" s="1026"/>
      <c r="S562" s="1006"/>
      <c r="T562" s="1006"/>
      <c r="U562" s="1006"/>
      <c r="V562" s="1026"/>
      <c r="W562" s="1026"/>
      <c r="X562" s="1026"/>
      <c r="Y562" s="1026"/>
      <c r="Z562" s="1026"/>
      <c r="AA562" s="1225"/>
      <c r="AB562" s="1026"/>
      <c r="AC562" s="1026"/>
      <c r="AD562" s="1026"/>
      <c r="AE562" s="1026"/>
      <c r="AF562" s="1325"/>
      <c r="AG562" s="1242" t="s">
        <v>638</v>
      </c>
      <c r="AH562" s="1243" t="s">
        <v>639</v>
      </c>
      <c r="AI562" s="1243" t="s">
        <v>640</v>
      </c>
      <c r="AJ562" s="1243" t="s">
        <v>641</v>
      </c>
      <c r="AK562" s="1244" t="s">
        <v>457</v>
      </c>
      <c r="AL562" s="1243" t="s">
        <v>610</v>
      </c>
      <c r="AM562" s="1243" t="s">
        <v>603</v>
      </c>
      <c r="AN562" s="1243">
        <v>594611</v>
      </c>
      <c r="AO562" s="1243">
        <v>272967</v>
      </c>
      <c r="AP562" s="1243">
        <v>321644</v>
      </c>
      <c r="AQ562" s="1072" t="s">
        <v>459</v>
      </c>
      <c r="AR562" s="1072" t="s">
        <v>459</v>
      </c>
      <c r="AS562" s="1072" t="s">
        <v>459</v>
      </c>
      <c r="AT562" s="1072" t="s">
        <v>459</v>
      </c>
      <c r="AU562" s="1072" t="s">
        <v>459</v>
      </c>
      <c r="AV562" s="1072" t="s">
        <v>459</v>
      </c>
      <c r="AW562" s="1072" t="s">
        <v>459</v>
      </c>
      <c r="AX562" s="1243">
        <v>594611</v>
      </c>
      <c r="AY562" s="1072" t="s">
        <v>636</v>
      </c>
    </row>
    <row r="563" spans="1:51" ht="19.149999999999999" customHeight="1" x14ac:dyDescent="0.25">
      <c r="A563" s="1189"/>
      <c r="B563" s="1018"/>
      <c r="C563" s="1379"/>
      <c r="D563" s="164" t="s">
        <v>343</v>
      </c>
      <c r="E563" s="1225"/>
      <c r="F563" s="1225"/>
      <c r="G563" s="1026"/>
      <c r="H563" s="1026"/>
      <c r="I563" s="1020"/>
      <c r="J563" s="1020"/>
      <c r="K563" s="1225"/>
      <c r="L563" s="1225"/>
      <c r="M563" s="1225"/>
      <c r="N563" s="1225"/>
      <c r="O563" s="1225"/>
      <c r="P563" s="1225"/>
      <c r="Q563" s="1225"/>
      <c r="R563" s="1225"/>
      <c r="S563" s="1006"/>
      <c r="T563" s="1006"/>
      <c r="U563" s="1006"/>
      <c r="V563" s="1026"/>
      <c r="W563" s="1026"/>
      <c r="X563" s="1026"/>
      <c r="Y563" s="1026"/>
      <c r="Z563" s="1026"/>
      <c r="AA563" s="1225"/>
      <c r="AB563" s="1026"/>
      <c r="AC563" s="1026"/>
      <c r="AD563" s="1026"/>
      <c r="AE563" s="1026"/>
      <c r="AF563" s="1219"/>
      <c r="AG563" s="1245"/>
      <c r="AH563" s="1246"/>
      <c r="AI563" s="1246"/>
      <c r="AJ563" s="1246"/>
      <c r="AK563" s="1247"/>
      <c r="AL563" s="1246"/>
      <c r="AM563" s="1246"/>
      <c r="AN563" s="1240"/>
      <c r="AO563" s="1240"/>
      <c r="AP563" s="1240"/>
      <c r="AQ563" s="1240"/>
      <c r="AR563" s="1240"/>
      <c r="AS563" s="1240"/>
      <c r="AT563" s="1240"/>
      <c r="AU563" s="1240"/>
      <c r="AV563" s="1240"/>
      <c r="AW563" s="1240"/>
      <c r="AX563" s="1240"/>
      <c r="AY563" s="1240"/>
    </row>
    <row r="564" spans="1:51" ht="28.9" customHeight="1" x14ac:dyDescent="0.25">
      <c r="A564" s="1189"/>
      <c r="B564" s="1018"/>
      <c r="C564" s="1379"/>
      <c r="D564" s="165" t="s">
        <v>345</v>
      </c>
      <c r="E564" s="1225"/>
      <c r="F564" s="1225"/>
      <c r="G564" s="1026"/>
      <c r="H564" s="1026"/>
      <c r="I564" s="1026"/>
      <c r="J564" s="1026"/>
      <c r="K564" s="1026"/>
      <c r="L564" s="1026"/>
      <c r="M564" s="1026"/>
      <c r="N564" s="1026"/>
      <c r="O564" s="1026"/>
      <c r="P564" s="1026"/>
      <c r="Q564" s="1026"/>
      <c r="R564" s="1026"/>
      <c r="S564" s="1006"/>
      <c r="T564" s="1006"/>
      <c r="U564" s="1006"/>
      <c r="V564" s="1026"/>
      <c r="W564" s="1026"/>
      <c r="X564" s="1026"/>
      <c r="Y564" s="1026"/>
      <c r="Z564" s="1026"/>
      <c r="AA564" s="1225"/>
      <c r="AB564" s="1026"/>
      <c r="AC564" s="1026"/>
      <c r="AD564" s="1026"/>
      <c r="AE564" s="1026"/>
      <c r="AF564" s="1219"/>
      <c r="AG564" s="1245"/>
      <c r="AH564" s="1246"/>
      <c r="AI564" s="1246"/>
      <c r="AJ564" s="1246"/>
      <c r="AK564" s="1247"/>
      <c r="AL564" s="1246"/>
      <c r="AM564" s="1246"/>
      <c r="AN564" s="1240"/>
      <c r="AO564" s="1240"/>
      <c r="AP564" s="1240"/>
      <c r="AQ564" s="1240"/>
      <c r="AR564" s="1240"/>
      <c r="AS564" s="1240"/>
      <c r="AT564" s="1240"/>
      <c r="AU564" s="1240"/>
      <c r="AV564" s="1240"/>
      <c r="AW564" s="1240"/>
      <c r="AX564" s="1240"/>
      <c r="AY564" s="1240"/>
    </row>
    <row r="565" spans="1:51" ht="28.9" customHeight="1" x14ac:dyDescent="0.25">
      <c r="A565" s="1189"/>
      <c r="B565" s="1018"/>
      <c r="C565" s="1379"/>
      <c r="D565" s="164" t="s">
        <v>346</v>
      </c>
      <c r="E565" s="1225"/>
      <c r="F565" s="1225"/>
      <c r="G565" s="1026"/>
      <c r="H565" s="1026"/>
      <c r="I565" s="1026"/>
      <c r="J565" s="1026"/>
      <c r="K565" s="1026"/>
      <c r="L565" s="1026"/>
      <c r="M565" s="1026"/>
      <c r="N565" s="1026"/>
      <c r="O565" s="1026"/>
      <c r="P565" s="1026"/>
      <c r="Q565" s="1026"/>
      <c r="R565" s="1026"/>
      <c r="S565" s="1006"/>
      <c r="T565" s="1006"/>
      <c r="U565" s="1006"/>
      <c r="V565" s="1026"/>
      <c r="W565" s="1026"/>
      <c r="X565" s="1026"/>
      <c r="Y565" s="1026"/>
      <c r="Z565" s="1026"/>
      <c r="AA565" s="1225"/>
      <c r="AB565" s="1026"/>
      <c r="AC565" s="1026"/>
      <c r="AD565" s="1026"/>
      <c r="AE565" s="1026"/>
      <c r="AF565" s="1219"/>
      <c r="AG565" s="1245"/>
      <c r="AH565" s="1246"/>
      <c r="AI565" s="1246"/>
      <c r="AJ565" s="1246"/>
      <c r="AK565" s="1247"/>
      <c r="AL565" s="1246"/>
      <c r="AM565" s="1246"/>
      <c r="AN565" s="1240"/>
      <c r="AO565" s="1240"/>
      <c r="AP565" s="1240"/>
      <c r="AQ565" s="1240"/>
      <c r="AR565" s="1240"/>
      <c r="AS565" s="1240"/>
      <c r="AT565" s="1240"/>
      <c r="AU565" s="1240"/>
      <c r="AV565" s="1240"/>
      <c r="AW565" s="1240"/>
      <c r="AX565" s="1240"/>
      <c r="AY565" s="1240"/>
    </row>
    <row r="566" spans="1:51" ht="28.9" customHeight="1" x14ac:dyDescent="0.25">
      <c r="A566" s="1189"/>
      <c r="B566" s="1018"/>
      <c r="C566" s="1379"/>
      <c r="D566" s="165" t="s">
        <v>347</v>
      </c>
      <c r="E566" s="1225"/>
      <c r="F566" s="1225"/>
      <c r="G566" s="1026"/>
      <c r="H566" s="1026"/>
      <c r="I566" s="1026"/>
      <c r="J566" s="1026"/>
      <c r="K566" s="1026"/>
      <c r="L566" s="1026"/>
      <c r="M566" s="1026"/>
      <c r="N566" s="1026"/>
      <c r="O566" s="1026"/>
      <c r="P566" s="1026"/>
      <c r="Q566" s="1026"/>
      <c r="R566" s="1026"/>
      <c r="S566" s="1006"/>
      <c r="T566" s="1006"/>
      <c r="U566" s="1006"/>
      <c r="V566" s="1026"/>
      <c r="W566" s="1026"/>
      <c r="X566" s="1026"/>
      <c r="Y566" s="1026"/>
      <c r="Z566" s="1026"/>
      <c r="AA566" s="1225"/>
      <c r="AB566" s="1026"/>
      <c r="AC566" s="1026"/>
      <c r="AD566" s="1026"/>
      <c r="AE566" s="1026"/>
      <c r="AF566" s="1219"/>
      <c r="AG566" s="1245"/>
      <c r="AH566" s="1246"/>
      <c r="AI566" s="1246"/>
      <c r="AJ566" s="1246"/>
      <c r="AK566" s="1247"/>
      <c r="AL566" s="1246"/>
      <c r="AM566" s="1246"/>
      <c r="AN566" s="1240"/>
      <c r="AO566" s="1240"/>
      <c r="AP566" s="1240"/>
      <c r="AQ566" s="1240"/>
      <c r="AR566" s="1240"/>
      <c r="AS566" s="1240"/>
      <c r="AT566" s="1240"/>
      <c r="AU566" s="1240"/>
      <c r="AV566" s="1240"/>
      <c r="AW566" s="1240"/>
      <c r="AX566" s="1240"/>
      <c r="AY566" s="1240"/>
    </row>
    <row r="567" spans="1:51" ht="28.9" customHeight="1" x14ac:dyDescent="0.25">
      <c r="A567" s="1189"/>
      <c r="B567" s="1018"/>
      <c r="C567" s="1169"/>
      <c r="D567" s="164" t="s">
        <v>348</v>
      </c>
      <c r="E567" s="1225"/>
      <c r="F567" s="1225"/>
      <c r="G567" s="1026"/>
      <c r="H567" s="1026"/>
      <c r="I567" s="1020"/>
      <c r="J567" s="1020"/>
      <c r="K567" s="1026"/>
      <c r="L567" s="1020"/>
      <c r="M567" s="1026"/>
      <c r="N567" s="1026"/>
      <c r="O567" s="1026"/>
      <c r="P567" s="1026"/>
      <c r="Q567" s="1026"/>
      <c r="R567" s="1026"/>
      <c r="S567" s="1006"/>
      <c r="T567" s="1006"/>
      <c r="U567" s="1006"/>
      <c r="V567" s="1026"/>
      <c r="W567" s="1026"/>
      <c r="X567" s="1026"/>
      <c r="Y567" s="1026"/>
      <c r="Z567" s="1026"/>
      <c r="AA567" s="1225"/>
      <c r="AB567" s="1026"/>
      <c r="AC567" s="1026"/>
      <c r="AD567" s="1026"/>
      <c r="AE567" s="1026"/>
      <c r="AF567" s="1221"/>
      <c r="AG567" s="1248"/>
      <c r="AH567" s="1249"/>
      <c r="AI567" s="1249"/>
      <c r="AJ567" s="1249"/>
      <c r="AK567" s="1250"/>
      <c r="AL567" s="1249"/>
      <c r="AM567" s="1249"/>
      <c r="AN567" s="1241"/>
      <c r="AO567" s="1241"/>
      <c r="AP567" s="1241"/>
      <c r="AQ567" s="1241"/>
      <c r="AR567" s="1241"/>
      <c r="AS567" s="1241"/>
      <c r="AT567" s="1241"/>
      <c r="AU567" s="1241"/>
      <c r="AV567" s="1241"/>
      <c r="AW567" s="1241"/>
      <c r="AX567" s="1241"/>
      <c r="AY567" s="1241"/>
    </row>
    <row r="568" spans="1:51" ht="19.149999999999999" customHeight="1" x14ac:dyDescent="0.25">
      <c r="A568" s="1189"/>
      <c r="B568" s="1018"/>
      <c r="C568" s="1378" t="s">
        <v>472</v>
      </c>
      <c r="D568" s="161" t="s">
        <v>340</v>
      </c>
      <c r="E568" s="1225"/>
      <c r="F568" s="1225"/>
      <c r="G568" s="1026"/>
      <c r="H568" s="1026"/>
      <c r="I568" s="1020"/>
      <c r="J568" s="1026"/>
      <c r="K568" s="1026"/>
      <c r="L568" s="1026"/>
      <c r="M568" s="1026"/>
      <c r="N568" s="1026"/>
      <c r="O568" s="1026"/>
      <c r="P568" s="1026"/>
      <c r="Q568" s="1026"/>
      <c r="R568" s="1026"/>
      <c r="S568" s="1325"/>
      <c r="T568" s="1026"/>
      <c r="U568" s="1026"/>
      <c r="V568" s="1020"/>
      <c r="W568" s="1026"/>
      <c r="X568" s="1026"/>
      <c r="Y568" s="1026"/>
      <c r="Z568" s="1026"/>
      <c r="AA568" s="1225"/>
      <c r="AB568" s="1026"/>
      <c r="AC568" s="1026"/>
      <c r="AD568" s="1026"/>
      <c r="AE568" s="1026"/>
      <c r="AF568" s="1347"/>
      <c r="AG568" s="1242" t="s">
        <v>561</v>
      </c>
      <c r="AH568" s="1243">
        <v>97</v>
      </c>
      <c r="AI568" s="1243" t="s">
        <v>642</v>
      </c>
      <c r="AJ568" s="1243" t="s">
        <v>643</v>
      </c>
      <c r="AK568" s="1244" t="s">
        <v>457</v>
      </c>
      <c r="AL568" s="1243" t="s">
        <v>610</v>
      </c>
      <c r="AM568" s="1243" t="s">
        <v>603</v>
      </c>
      <c r="AN568" s="1243">
        <v>182103</v>
      </c>
      <c r="AO568" s="1243">
        <v>87517</v>
      </c>
      <c r="AP568" s="1243">
        <v>94586</v>
      </c>
      <c r="AQ568" s="1072" t="s">
        <v>459</v>
      </c>
      <c r="AR568" s="1072" t="s">
        <v>459</v>
      </c>
      <c r="AS568" s="1072" t="s">
        <v>459</v>
      </c>
      <c r="AT568" s="1072" t="s">
        <v>459</v>
      </c>
      <c r="AU568" s="1072" t="s">
        <v>459</v>
      </c>
      <c r="AV568" s="1072" t="s">
        <v>459</v>
      </c>
      <c r="AW568" s="1072" t="s">
        <v>459</v>
      </c>
      <c r="AX568" s="1243">
        <v>182103</v>
      </c>
      <c r="AY568" s="1072" t="s">
        <v>636</v>
      </c>
    </row>
    <row r="569" spans="1:51" ht="19.149999999999999" customHeight="1" x14ac:dyDescent="0.25">
      <c r="A569" s="1189"/>
      <c r="B569" s="1018"/>
      <c r="C569" s="1379"/>
      <c r="D569" s="164" t="s">
        <v>343</v>
      </c>
      <c r="E569" s="1225"/>
      <c r="F569" s="1225"/>
      <c r="G569" s="1026"/>
      <c r="H569" s="1026"/>
      <c r="I569" s="1020"/>
      <c r="J569" s="1225"/>
      <c r="K569" s="1225"/>
      <c r="L569" s="1225"/>
      <c r="M569" s="1225"/>
      <c r="N569" s="1225"/>
      <c r="O569" s="1225"/>
      <c r="P569" s="1225"/>
      <c r="Q569" s="1225"/>
      <c r="R569" s="1225"/>
      <c r="S569" s="1219"/>
      <c r="T569" s="1026"/>
      <c r="U569" s="1026"/>
      <c r="V569" s="1020"/>
      <c r="W569" s="1026"/>
      <c r="X569" s="1026"/>
      <c r="Y569" s="1026"/>
      <c r="Z569" s="1026"/>
      <c r="AA569" s="1225"/>
      <c r="AB569" s="1026"/>
      <c r="AC569" s="1026"/>
      <c r="AD569" s="1026"/>
      <c r="AE569" s="1026"/>
      <c r="AF569" s="1230"/>
      <c r="AG569" s="1245"/>
      <c r="AH569" s="1246"/>
      <c r="AI569" s="1246"/>
      <c r="AJ569" s="1246"/>
      <c r="AK569" s="1247"/>
      <c r="AL569" s="1246"/>
      <c r="AM569" s="1246"/>
      <c r="AN569" s="1240"/>
      <c r="AO569" s="1240"/>
      <c r="AP569" s="1240"/>
      <c r="AQ569" s="1240"/>
      <c r="AR569" s="1240"/>
      <c r="AS569" s="1240"/>
      <c r="AT569" s="1240"/>
      <c r="AU569" s="1240"/>
      <c r="AV569" s="1240"/>
      <c r="AW569" s="1240"/>
      <c r="AX569" s="1240"/>
      <c r="AY569" s="1240"/>
    </row>
    <row r="570" spans="1:51" ht="28.9" customHeight="1" x14ac:dyDescent="0.25">
      <c r="A570" s="1189"/>
      <c r="B570" s="1018"/>
      <c r="C570" s="1379"/>
      <c r="D570" s="165" t="s">
        <v>345</v>
      </c>
      <c r="E570" s="1225"/>
      <c r="F570" s="1225"/>
      <c r="G570" s="1026"/>
      <c r="H570" s="1026"/>
      <c r="I570" s="1020"/>
      <c r="J570" s="1026"/>
      <c r="K570" s="1026"/>
      <c r="L570" s="1026"/>
      <c r="M570" s="1026"/>
      <c r="N570" s="1026"/>
      <c r="O570" s="1026"/>
      <c r="P570" s="1026"/>
      <c r="Q570" s="1026"/>
      <c r="R570" s="1026"/>
      <c r="S570" s="1219"/>
      <c r="T570" s="1026"/>
      <c r="U570" s="1026"/>
      <c r="V570" s="1020"/>
      <c r="W570" s="1026"/>
      <c r="X570" s="1026"/>
      <c r="Y570" s="1026"/>
      <c r="Z570" s="1026"/>
      <c r="AA570" s="1225"/>
      <c r="AB570" s="1026"/>
      <c r="AC570" s="1026"/>
      <c r="AD570" s="1026"/>
      <c r="AE570" s="1026"/>
      <c r="AF570" s="1230"/>
      <c r="AG570" s="1245"/>
      <c r="AH570" s="1246"/>
      <c r="AI570" s="1246"/>
      <c r="AJ570" s="1246"/>
      <c r="AK570" s="1247"/>
      <c r="AL570" s="1246"/>
      <c r="AM570" s="1246"/>
      <c r="AN570" s="1240"/>
      <c r="AO570" s="1240"/>
      <c r="AP570" s="1240"/>
      <c r="AQ570" s="1240"/>
      <c r="AR570" s="1240"/>
      <c r="AS570" s="1240"/>
      <c r="AT570" s="1240"/>
      <c r="AU570" s="1240"/>
      <c r="AV570" s="1240"/>
      <c r="AW570" s="1240"/>
      <c r="AX570" s="1240"/>
      <c r="AY570" s="1240"/>
    </row>
    <row r="571" spans="1:51" ht="28.9" customHeight="1" x14ac:dyDescent="0.25">
      <c r="A571" s="1189"/>
      <c r="B571" s="1018"/>
      <c r="C571" s="1379"/>
      <c r="D571" s="164" t="s">
        <v>346</v>
      </c>
      <c r="E571" s="1225"/>
      <c r="F571" s="1225"/>
      <c r="G571" s="1026"/>
      <c r="H571" s="1026"/>
      <c r="I571" s="1020"/>
      <c r="J571" s="1026"/>
      <c r="K571" s="1026"/>
      <c r="L571" s="1026"/>
      <c r="M571" s="1026"/>
      <c r="N571" s="1026"/>
      <c r="O571" s="1026"/>
      <c r="P571" s="1026"/>
      <c r="Q571" s="1026"/>
      <c r="R571" s="1026"/>
      <c r="S571" s="1219"/>
      <c r="T571" s="1026"/>
      <c r="U571" s="1026"/>
      <c r="V571" s="1020"/>
      <c r="W571" s="1026"/>
      <c r="X571" s="1026"/>
      <c r="Y571" s="1026"/>
      <c r="Z571" s="1026"/>
      <c r="AA571" s="1225"/>
      <c r="AB571" s="1026"/>
      <c r="AC571" s="1026"/>
      <c r="AD571" s="1026"/>
      <c r="AE571" s="1026"/>
      <c r="AF571" s="1230"/>
      <c r="AG571" s="1245"/>
      <c r="AH571" s="1246"/>
      <c r="AI571" s="1246"/>
      <c r="AJ571" s="1246"/>
      <c r="AK571" s="1247"/>
      <c r="AL571" s="1246"/>
      <c r="AM571" s="1246"/>
      <c r="AN571" s="1240"/>
      <c r="AO571" s="1240"/>
      <c r="AP571" s="1240"/>
      <c r="AQ571" s="1240"/>
      <c r="AR571" s="1240"/>
      <c r="AS571" s="1240"/>
      <c r="AT571" s="1240"/>
      <c r="AU571" s="1240"/>
      <c r="AV571" s="1240"/>
      <c r="AW571" s="1240"/>
      <c r="AX571" s="1240"/>
      <c r="AY571" s="1240"/>
    </row>
    <row r="572" spans="1:51" ht="28.9" customHeight="1" x14ac:dyDescent="0.25">
      <c r="A572" s="1189"/>
      <c r="B572" s="1018"/>
      <c r="C572" s="1379"/>
      <c r="D572" s="165" t="s">
        <v>347</v>
      </c>
      <c r="E572" s="1225"/>
      <c r="F572" s="1225"/>
      <c r="G572" s="1026"/>
      <c r="H572" s="1026"/>
      <c r="I572" s="1020"/>
      <c r="J572" s="1026"/>
      <c r="K572" s="1026"/>
      <c r="L572" s="1026"/>
      <c r="M572" s="1026"/>
      <c r="N572" s="1026"/>
      <c r="O572" s="1026"/>
      <c r="P572" s="1026"/>
      <c r="Q572" s="1026"/>
      <c r="R572" s="1026"/>
      <c r="S572" s="1219"/>
      <c r="T572" s="1026"/>
      <c r="U572" s="1026"/>
      <c r="V572" s="1020"/>
      <c r="W572" s="1026"/>
      <c r="X572" s="1026"/>
      <c r="Y572" s="1026"/>
      <c r="Z572" s="1026"/>
      <c r="AA572" s="1225"/>
      <c r="AB572" s="1026"/>
      <c r="AC572" s="1026"/>
      <c r="AD572" s="1026"/>
      <c r="AE572" s="1026"/>
      <c r="AF572" s="1230"/>
      <c r="AG572" s="1245"/>
      <c r="AH572" s="1246"/>
      <c r="AI572" s="1246"/>
      <c r="AJ572" s="1246"/>
      <c r="AK572" s="1247"/>
      <c r="AL572" s="1246"/>
      <c r="AM572" s="1246"/>
      <c r="AN572" s="1240"/>
      <c r="AO572" s="1240"/>
      <c r="AP572" s="1240"/>
      <c r="AQ572" s="1240"/>
      <c r="AR572" s="1240"/>
      <c r="AS572" s="1240"/>
      <c r="AT572" s="1240"/>
      <c r="AU572" s="1240"/>
      <c r="AV572" s="1240"/>
      <c r="AW572" s="1240"/>
      <c r="AX572" s="1240"/>
      <c r="AY572" s="1240"/>
    </row>
    <row r="573" spans="1:51" ht="28.9" customHeight="1" x14ac:dyDescent="0.25">
      <c r="A573" s="1189"/>
      <c r="B573" s="1018"/>
      <c r="C573" s="1169"/>
      <c r="D573" s="164" t="s">
        <v>348</v>
      </c>
      <c r="E573" s="1225"/>
      <c r="F573" s="1225"/>
      <c r="G573" s="1026"/>
      <c r="H573" s="1026"/>
      <c r="I573" s="1020"/>
      <c r="J573" s="1020"/>
      <c r="K573" s="1020"/>
      <c r="L573" s="1020"/>
      <c r="M573" s="1026"/>
      <c r="N573" s="1026"/>
      <c r="O573" s="1026"/>
      <c r="P573" s="1026"/>
      <c r="Q573" s="1026"/>
      <c r="R573" s="1026"/>
      <c r="S573" s="1221"/>
      <c r="T573" s="1026"/>
      <c r="U573" s="1026"/>
      <c r="V573" s="1020"/>
      <c r="W573" s="1026"/>
      <c r="X573" s="1026"/>
      <c r="Y573" s="1026"/>
      <c r="Z573" s="1026"/>
      <c r="AA573" s="1225"/>
      <c r="AB573" s="1026"/>
      <c r="AC573" s="1026"/>
      <c r="AD573" s="1026"/>
      <c r="AE573" s="1026"/>
      <c r="AF573" s="1251"/>
      <c r="AG573" s="1248"/>
      <c r="AH573" s="1249"/>
      <c r="AI573" s="1249"/>
      <c r="AJ573" s="1249"/>
      <c r="AK573" s="1250"/>
      <c r="AL573" s="1249"/>
      <c r="AM573" s="1249"/>
      <c r="AN573" s="1241"/>
      <c r="AO573" s="1241"/>
      <c r="AP573" s="1241"/>
      <c r="AQ573" s="1241"/>
      <c r="AR573" s="1241"/>
      <c r="AS573" s="1241"/>
      <c r="AT573" s="1241"/>
      <c r="AU573" s="1241"/>
      <c r="AV573" s="1241"/>
      <c r="AW573" s="1241"/>
      <c r="AX573" s="1241"/>
      <c r="AY573" s="1241"/>
    </row>
    <row r="574" spans="1:51" ht="19.149999999999999" customHeight="1" x14ac:dyDescent="0.25">
      <c r="A574" s="1189"/>
      <c r="B574" s="1018"/>
      <c r="C574" s="1378" t="s">
        <v>477</v>
      </c>
      <c r="D574" s="161" t="s">
        <v>340</v>
      </c>
      <c r="E574" s="1225"/>
      <c r="F574" s="1225"/>
      <c r="G574" s="1026"/>
      <c r="H574" s="1026"/>
      <c r="I574" s="1026"/>
      <c r="J574" s="1026"/>
      <c r="K574" s="1340"/>
      <c r="L574" s="1026"/>
      <c r="M574" s="1026"/>
      <c r="N574" s="1026"/>
      <c r="O574" s="1026"/>
      <c r="P574" s="1026"/>
      <c r="Q574" s="1026"/>
      <c r="R574" s="1026"/>
      <c r="S574" s="1006"/>
      <c r="T574" s="1006"/>
      <c r="U574" s="1026"/>
      <c r="V574" s="1026"/>
      <c r="W574" s="1026"/>
      <c r="X574" s="1026"/>
      <c r="Y574" s="1026"/>
      <c r="Z574" s="1026"/>
      <c r="AA574" s="1225"/>
      <c r="AB574" s="1026"/>
      <c r="AC574" s="1026"/>
      <c r="AD574" s="1026"/>
      <c r="AE574" s="1026"/>
      <c r="AF574" s="1347"/>
      <c r="AG574" s="1242" t="s">
        <v>604</v>
      </c>
      <c r="AH574" s="1243">
        <v>50</v>
      </c>
      <c r="AI574" s="1243" t="s">
        <v>644</v>
      </c>
      <c r="AJ574" s="1243" t="s">
        <v>645</v>
      </c>
      <c r="AK574" s="1243" t="s">
        <v>457</v>
      </c>
      <c r="AL574" s="1243">
        <v>1</v>
      </c>
      <c r="AM574" s="1243" t="s">
        <v>603</v>
      </c>
      <c r="AN574" s="1243">
        <v>409106</v>
      </c>
      <c r="AO574" s="1243">
        <v>196903</v>
      </c>
      <c r="AP574" s="1243">
        <v>212203</v>
      </c>
      <c r="AQ574" s="1072" t="s">
        <v>459</v>
      </c>
      <c r="AR574" s="1072" t="s">
        <v>459</v>
      </c>
      <c r="AS574" s="1072" t="s">
        <v>459</v>
      </c>
      <c r="AT574" s="1072" t="s">
        <v>459</v>
      </c>
      <c r="AU574" s="1072" t="s">
        <v>459</v>
      </c>
      <c r="AV574" s="1072" t="s">
        <v>459</v>
      </c>
      <c r="AW574" s="1072" t="s">
        <v>459</v>
      </c>
      <c r="AX574" s="1243">
        <v>409106</v>
      </c>
      <c r="AY574" s="1243" t="s">
        <v>636</v>
      </c>
    </row>
    <row r="575" spans="1:51" ht="19.149999999999999" customHeight="1" x14ac:dyDescent="0.25">
      <c r="A575" s="1189"/>
      <c r="B575" s="1018"/>
      <c r="C575" s="1379"/>
      <c r="D575" s="164" t="s">
        <v>343</v>
      </c>
      <c r="E575" s="1225"/>
      <c r="F575" s="1225"/>
      <c r="G575" s="1026"/>
      <c r="H575" s="1020"/>
      <c r="I575" s="1225"/>
      <c r="J575" s="1225"/>
      <c r="K575" s="1225"/>
      <c r="L575" s="1225"/>
      <c r="M575" s="1225"/>
      <c r="N575" s="1225"/>
      <c r="O575" s="1225"/>
      <c r="P575" s="1225"/>
      <c r="Q575" s="1225"/>
      <c r="R575" s="1225"/>
      <c r="S575" s="1006"/>
      <c r="T575" s="1006"/>
      <c r="U575" s="1020"/>
      <c r="V575" s="1026"/>
      <c r="W575" s="1026"/>
      <c r="X575" s="1026"/>
      <c r="Y575" s="1026"/>
      <c r="Z575" s="1026"/>
      <c r="AA575" s="1225"/>
      <c r="AB575" s="1026"/>
      <c r="AC575" s="1026"/>
      <c r="AD575" s="1026"/>
      <c r="AE575" s="1026"/>
      <c r="AF575" s="1230"/>
      <c r="AG575" s="1245"/>
      <c r="AH575" s="1246"/>
      <c r="AI575" s="1246"/>
      <c r="AJ575" s="1246"/>
      <c r="AK575" s="1246"/>
      <c r="AL575" s="1246"/>
      <c r="AM575" s="1246"/>
      <c r="AN575" s="1240"/>
      <c r="AO575" s="1240"/>
      <c r="AP575" s="1240"/>
      <c r="AQ575" s="1240"/>
      <c r="AR575" s="1240"/>
      <c r="AS575" s="1240"/>
      <c r="AT575" s="1240"/>
      <c r="AU575" s="1240"/>
      <c r="AV575" s="1240"/>
      <c r="AW575" s="1240"/>
      <c r="AX575" s="1240"/>
      <c r="AY575" s="1240"/>
    </row>
    <row r="576" spans="1:51" ht="28.9" customHeight="1" x14ac:dyDescent="0.25">
      <c r="A576" s="1189"/>
      <c r="B576" s="1018"/>
      <c r="C576" s="1379"/>
      <c r="D576" s="165" t="s">
        <v>345</v>
      </c>
      <c r="E576" s="1225"/>
      <c r="F576" s="1225"/>
      <c r="G576" s="1026"/>
      <c r="H576" s="1026"/>
      <c r="I576" s="1026"/>
      <c r="J576" s="1026"/>
      <c r="K576" s="1340"/>
      <c r="L576" s="1026"/>
      <c r="M576" s="1026"/>
      <c r="N576" s="1026"/>
      <c r="O576" s="1026"/>
      <c r="P576" s="1026"/>
      <c r="Q576" s="1026"/>
      <c r="R576" s="1026"/>
      <c r="S576" s="1006"/>
      <c r="T576" s="1006"/>
      <c r="U576" s="1026"/>
      <c r="V576" s="1026"/>
      <c r="W576" s="1026"/>
      <c r="X576" s="1026"/>
      <c r="Y576" s="1026"/>
      <c r="Z576" s="1026"/>
      <c r="AA576" s="1225"/>
      <c r="AB576" s="1026"/>
      <c r="AC576" s="1026"/>
      <c r="AD576" s="1026"/>
      <c r="AE576" s="1026"/>
      <c r="AF576" s="1230"/>
      <c r="AG576" s="1245"/>
      <c r="AH576" s="1246"/>
      <c r="AI576" s="1246"/>
      <c r="AJ576" s="1246"/>
      <c r="AK576" s="1246"/>
      <c r="AL576" s="1246"/>
      <c r="AM576" s="1246"/>
      <c r="AN576" s="1240"/>
      <c r="AO576" s="1240"/>
      <c r="AP576" s="1240"/>
      <c r="AQ576" s="1240"/>
      <c r="AR576" s="1240"/>
      <c r="AS576" s="1240"/>
      <c r="AT576" s="1240"/>
      <c r="AU576" s="1240"/>
      <c r="AV576" s="1240"/>
      <c r="AW576" s="1240"/>
      <c r="AX576" s="1240"/>
      <c r="AY576" s="1240"/>
    </row>
    <row r="577" spans="1:51" ht="28.9" customHeight="1" x14ac:dyDescent="0.25">
      <c r="A577" s="1189"/>
      <c r="B577" s="1018"/>
      <c r="C577" s="1379"/>
      <c r="D577" s="164" t="s">
        <v>346</v>
      </c>
      <c r="E577" s="1225"/>
      <c r="F577" s="1225"/>
      <c r="G577" s="1026"/>
      <c r="H577" s="1026"/>
      <c r="I577" s="1026"/>
      <c r="J577" s="1026"/>
      <c r="K577" s="1026"/>
      <c r="L577" s="1026"/>
      <c r="M577" s="1026"/>
      <c r="N577" s="1026"/>
      <c r="O577" s="1026"/>
      <c r="P577" s="1026"/>
      <c r="Q577" s="1026"/>
      <c r="R577" s="1026"/>
      <c r="S577" s="1006"/>
      <c r="T577" s="1006"/>
      <c r="U577" s="1026"/>
      <c r="V577" s="1026"/>
      <c r="W577" s="1026"/>
      <c r="X577" s="1026"/>
      <c r="Y577" s="1026"/>
      <c r="Z577" s="1026"/>
      <c r="AA577" s="1225"/>
      <c r="AB577" s="1026"/>
      <c r="AC577" s="1026"/>
      <c r="AD577" s="1026"/>
      <c r="AE577" s="1026"/>
      <c r="AF577" s="1230"/>
      <c r="AG577" s="1245"/>
      <c r="AH577" s="1246"/>
      <c r="AI577" s="1246"/>
      <c r="AJ577" s="1246"/>
      <c r="AK577" s="1246"/>
      <c r="AL577" s="1246"/>
      <c r="AM577" s="1246"/>
      <c r="AN577" s="1240"/>
      <c r="AO577" s="1240"/>
      <c r="AP577" s="1240"/>
      <c r="AQ577" s="1240"/>
      <c r="AR577" s="1240"/>
      <c r="AS577" s="1240"/>
      <c r="AT577" s="1240"/>
      <c r="AU577" s="1240"/>
      <c r="AV577" s="1240"/>
      <c r="AW577" s="1240"/>
      <c r="AX577" s="1240"/>
      <c r="AY577" s="1240"/>
    </row>
    <row r="578" spans="1:51" ht="28.9" customHeight="1" x14ac:dyDescent="0.25">
      <c r="A578" s="1189"/>
      <c r="B578" s="1018"/>
      <c r="C578" s="1379"/>
      <c r="D578" s="165" t="s">
        <v>347</v>
      </c>
      <c r="E578" s="1225"/>
      <c r="F578" s="1225"/>
      <c r="G578" s="1026"/>
      <c r="H578" s="1026"/>
      <c r="I578" s="1026"/>
      <c r="J578" s="1026"/>
      <c r="K578" s="1340"/>
      <c r="L578" s="1026"/>
      <c r="M578" s="1026"/>
      <c r="N578" s="1026"/>
      <c r="O578" s="1026"/>
      <c r="P578" s="1026"/>
      <c r="Q578" s="1026"/>
      <c r="R578" s="1026"/>
      <c r="S578" s="1006"/>
      <c r="T578" s="1006"/>
      <c r="U578" s="1026"/>
      <c r="V578" s="1026"/>
      <c r="W578" s="1026"/>
      <c r="X578" s="1026"/>
      <c r="Y578" s="1026"/>
      <c r="Z578" s="1026"/>
      <c r="AA578" s="1225"/>
      <c r="AB578" s="1026"/>
      <c r="AC578" s="1026"/>
      <c r="AD578" s="1026"/>
      <c r="AE578" s="1026"/>
      <c r="AF578" s="1230"/>
      <c r="AG578" s="1245"/>
      <c r="AH578" s="1246"/>
      <c r="AI578" s="1246"/>
      <c r="AJ578" s="1246"/>
      <c r="AK578" s="1246"/>
      <c r="AL578" s="1246"/>
      <c r="AM578" s="1246"/>
      <c r="AN578" s="1240"/>
      <c r="AO578" s="1240"/>
      <c r="AP578" s="1240"/>
      <c r="AQ578" s="1240"/>
      <c r="AR578" s="1240"/>
      <c r="AS578" s="1240"/>
      <c r="AT578" s="1240"/>
      <c r="AU578" s="1240"/>
      <c r="AV578" s="1240"/>
      <c r="AW578" s="1240"/>
      <c r="AX578" s="1240"/>
      <c r="AY578" s="1240"/>
    </row>
    <row r="579" spans="1:51" ht="28.9" customHeight="1" x14ac:dyDescent="0.25">
      <c r="A579" s="1189"/>
      <c r="B579" s="1018"/>
      <c r="C579" s="1169"/>
      <c r="D579" s="164" t="s">
        <v>348</v>
      </c>
      <c r="E579" s="1225"/>
      <c r="F579" s="1225"/>
      <c r="G579" s="1026"/>
      <c r="H579" s="1020"/>
      <c r="I579" s="1020"/>
      <c r="J579" s="1020"/>
      <c r="K579" s="1026"/>
      <c r="L579" s="1020"/>
      <c r="M579" s="1026"/>
      <c r="N579" s="1026"/>
      <c r="O579" s="1026"/>
      <c r="P579" s="1026"/>
      <c r="Q579" s="1026"/>
      <c r="R579" s="1026"/>
      <c r="S579" s="1006"/>
      <c r="T579" s="1006"/>
      <c r="U579" s="1020"/>
      <c r="V579" s="1026"/>
      <c r="W579" s="1026"/>
      <c r="X579" s="1026"/>
      <c r="Y579" s="1026"/>
      <c r="Z579" s="1026"/>
      <c r="AA579" s="1225"/>
      <c r="AB579" s="1026"/>
      <c r="AC579" s="1026"/>
      <c r="AD579" s="1026"/>
      <c r="AE579" s="1026"/>
      <c r="AF579" s="1251"/>
      <c r="AG579" s="1248"/>
      <c r="AH579" s="1249"/>
      <c r="AI579" s="1249"/>
      <c r="AJ579" s="1249"/>
      <c r="AK579" s="1249"/>
      <c r="AL579" s="1249"/>
      <c r="AM579" s="1249"/>
      <c r="AN579" s="1241"/>
      <c r="AO579" s="1241"/>
      <c r="AP579" s="1241"/>
      <c r="AQ579" s="1241"/>
      <c r="AR579" s="1241"/>
      <c r="AS579" s="1241"/>
      <c r="AT579" s="1241"/>
      <c r="AU579" s="1241"/>
      <c r="AV579" s="1241"/>
      <c r="AW579" s="1241"/>
      <c r="AX579" s="1241"/>
      <c r="AY579" s="1241"/>
    </row>
    <row r="580" spans="1:51" ht="19.149999999999999" customHeight="1" x14ac:dyDescent="0.25">
      <c r="A580" s="1189"/>
      <c r="B580" s="1018"/>
      <c r="C580" s="1378" t="s">
        <v>482</v>
      </c>
      <c r="D580" s="161" t="s">
        <v>340</v>
      </c>
      <c r="E580" s="1324"/>
      <c r="F580" s="1324"/>
      <c r="G580" s="1348"/>
      <c r="H580" s="1349"/>
      <c r="I580" s="1335"/>
      <c r="J580" s="1335"/>
      <c r="K580" s="1340"/>
      <c r="L580" s="1335"/>
      <c r="M580" s="1340"/>
      <c r="N580" s="1340"/>
      <c r="O580" s="1340"/>
      <c r="P580" s="1340"/>
      <c r="Q580" s="1340"/>
      <c r="R580" s="1340"/>
      <c r="S580" s="1006"/>
      <c r="T580" s="1350"/>
      <c r="U580" s="1335"/>
      <c r="V580" s="1340"/>
      <c r="W580" s="1340"/>
      <c r="X580" s="1026"/>
      <c r="Y580" s="1026"/>
      <c r="Z580" s="1026"/>
      <c r="AA580" s="1225"/>
      <c r="AB580" s="1026"/>
      <c r="AC580" s="1026"/>
      <c r="AD580" s="1026"/>
      <c r="AE580" s="1026"/>
      <c r="AF580" s="1347"/>
      <c r="AG580" s="1242" t="s">
        <v>646</v>
      </c>
      <c r="AH580" s="1243">
        <v>42</v>
      </c>
      <c r="AI580" s="1243" t="s">
        <v>647</v>
      </c>
      <c r="AJ580" s="1243" t="s">
        <v>648</v>
      </c>
      <c r="AK580" s="1243" t="s">
        <v>457</v>
      </c>
      <c r="AL580" s="1243" t="s">
        <v>610</v>
      </c>
      <c r="AM580" s="1243" t="s">
        <v>603</v>
      </c>
      <c r="AN580" s="1243">
        <v>184492</v>
      </c>
      <c r="AO580" s="1243">
        <v>91914</v>
      </c>
      <c r="AP580" s="1243">
        <v>92578</v>
      </c>
      <c r="AQ580" s="1072" t="s">
        <v>459</v>
      </c>
      <c r="AR580" s="1072" t="s">
        <v>459</v>
      </c>
      <c r="AS580" s="1072" t="s">
        <v>459</v>
      </c>
      <c r="AT580" s="1072" t="s">
        <v>459</v>
      </c>
      <c r="AU580" s="1072" t="s">
        <v>459</v>
      </c>
      <c r="AV580" s="1072" t="s">
        <v>459</v>
      </c>
      <c r="AW580" s="1072" t="s">
        <v>459</v>
      </c>
      <c r="AX580" s="1243">
        <v>184492</v>
      </c>
      <c r="AY580" s="1243" t="s">
        <v>636</v>
      </c>
    </row>
    <row r="581" spans="1:51" ht="19.149999999999999" customHeight="1" x14ac:dyDescent="0.25">
      <c r="A581" s="1189"/>
      <c r="B581" s="1018"/>
      <c r="C581" s="1379"/>
      <c r="D581" s="164" t="s">
        <v>343</v>
      </c>
      <c r="E581" s="1324"/>
      <c r="F581" s="1324"/>
      <c r="G581" s="1348"/>
      <c r="H581" s="1349"/>
      <c r="I581" s="1335"/>
      <c r="J581" s="1335"/>
      <c r="K581" s="1340"/>
      <c r="L581" s="1335"/>
      <c r="M581" s="1340"/>
      <c r="N581" s="1340"/>
      <c r="O581" s="1225"/>
      <c r="P581" s="1225"/>
      <c r="Q581" s="1225"/>
      <c r="R581" s="1225"/>
      <c r="S581" s="1006"/>
      <c r="T581" s="1350"/>
      <c r="U581" s="1335"/>
      <c r="V581" s="1340"/>
      <c r="W581" s="1340"/>
      <c r="X581" s="1026"/>
      <c r="Y581" s="1026"/>
      <c r="Z581" s="1026"/>
      <c r="AA581" s="1225"/>
      <c r="AB581" s="1026"/>
      <c r="AC581" s="1026"/>
      <c r="AD581" s="1026"/>
      <c r="AE581" s="1026"/>
      <c r="AF581" s="1230"/>
      <c r="AG581" s="1245"/>
      <c r="AH581" s="1246"/>
      <c r="AI581" s="1246"/>
      <c r="AJ581" s="1246"/>
      <c r="AK581" s="1246"/>
      <c r="AL581" s="1246"/>
      <c r="AM581" s="1246"/>
      <c r="AN581" s="1240"/>
      <c r="AO581" s="1240"/>
      <c r="AP581" s="1240"/>
      <c r="AQ581" s="1240"/>
      <c r="AR581" s="1240"/>
      <c r="AS581" s="1240"/>
      <c r="AT581" s="1240"/>
      <c r="AU581" s="1240"/>
      <c r="AV581" s="1240"/>
      <c r="AW581" s="1240"/>
      <c r="AX581" s="1240"/>
      <c r="AY581" s="1240"/>
    </row>
    <row r="582" spans="1:51" ht="28.9" customHeight="1" x14ac:dyDescent="0.25">
      <c r="A582" s="1189"/>
      <c r="B582" s="1018"/>
      <c r="C582" s="1379"/>
      <c r="D582" s="165" t="s">
        <v>345</v>
      </c>
      <c r="E582" s="1324"/>
      <c r="F582" s="1324"/>
      <c r="G582" s="1348"/>
      <c r="H582" s="1349"/>
      <c r="I582" s="1335"/>
      <c r="J582" s="1335"/>
      <c r="K582" s="1340"/>
      <c r="L582" s="1335"/>
      <c r="M582" s="1340"/>
      <c r="N582" s="1340"/>
      <c r="O582" s="1340"/>
      <c r="P582" s="1340"/>
      <c r="Q582" s="1340"/>
      <c r="R582" s="1340"/>
      <c r="S582" s="1006"/>
      <c r="T582" s="1350"/>
      <c r="U582" s="1335"/>
      <c r="V582" s="1340"/>
      <c r="W582" s="1340"/>
      <c r="X582" s="1026"/>
      <c r="Y582" s="1026"/>
      <c r="Z582" s="1026"/>
      <c r="AA582" s="1225"/>
      <c r="AB582" s="1026"/>
      <c r="AC582" s="1026"/>
      <c r="AD582" s="1026"/>
      <c r="AE582" s="1026"/>
      <c r="AF582" s="1230"/>
      <c r="AG582" s="1245"/>
      <c r="AH582" s="1246"/>
      <c r="AI582" s="1246"/>
      <c r="AJ582" s="1246"/>
      <c r="AK582" s="1246"/>
      <c r="AL582" s="1246"/>
      <c r="AM582" s="1246"/>
      <c r="AN582" s="1240"/>
      <c r="AO582" s="1240"/>
      <c r="AP582" s="1240"/>
      <c r="AQ582" s="1240"/>
      <c r="AR582" s="1240"/>
      <c r="AS582" s="1240"/>
      <c r="AT582" s="1240"/>
      <c r="AU582" s="1240"/>
      <c r="AV582" s="1240"/>
      <c r="AW582" s="1240"/>
      <c r="AX582" s="1240"/>
      <c r="AY582" s="1240"/>
    </row>
    <row r="583" spans="1:51" ht="28.9" customHeight="1" x14ac:dyDescent="0.25">
      <c r="A583" s="1189"/>
      <c r="B583" s="1018"/>
      <c r="C583" s="1379"/>
      <c r="D583" s="164" t="s">
        <v>346</v>
      </c>
      <c r="E583" s="1324"/>
      <c r="F583" s="1324"/>
      <c r="G583" s="1348"/>
      <c r="H583" s="1349"/>
      <c r="I583" s="1335"/>
      <c r="J583" s="1335"/>
      <c r="K583" s="1340"/>
      <c r="L583" s="1335"/>
      <c r="M583" s="1340"/>
      <c r="N583" s="1340"/>
      <c r="O583" s="1340"/>
      <c r="P583" s="1340"/>
      <c r="Q583" s="1340"/>
      <c r="R583" s="1340"/>
      <c r="S583" s="1006"/>
      <c r="T583" s="1350"/>
      <c r="U583" s="1335"/>
      <c r="V583" s="1340"/>
      <c r="W583" s="1340"/>
      <c r="X583" s="1026"/>
      <c r="Y583" s="1026"/>
      <c r="Z583" s="1026"/>
      <c r="AA583" s="1225"/>
      <c r="AB583" s="1026"/>
      <c r="AC583" s="1026"/>
      <c r="AD583" s="1026"/>
      <c r="AE583" s="1026"/>
      <c r="AF583" s="1230"/>
      <c r="AG583" s="1245"/>
      <c r="AH583" s="1246"/>
      <c r="AI583" s="1246"/>
      <c r="AJ583" s="1246"/>
      <c r="AK583" s="1246"/>
      <c r="AL583" s="1246"/>
      <c r="AM583" s="1246"/>
      <c r="AN583" s="1240"/>
      <c r="AO583" s="1240"/>
      <c r="AP583" s="1240"/>
      <c r="AQ583" s="1240"/>
      <c r="AR583" s="1240"/>
      <c r="AS583" s="1240"/>
      <c r="AT583" s="1240"/>
      <c r="AU583" s="1240"/>
      <c r="AV583" s="1240"/>
      <c r="AW583" s="1240"/>
      <c r="AX583" s="1240"/>
      <c r="AY583" s="1240"/>
    </row>
    <row r="584" spans="1:51" ht="28.9" customHeight="1" x14ac:dyDescent="0.25">
      <c r="A584" s="1189"/>
      <c r="B584" s="1018"/>
      <c r="C584" s="1379"/>
      <c r="D584" s="165" t="s">
        <v>347</v>
      </c>
      <c r="E584" s="1324"/>
      <c r="F584" s="1324"/>
      <c r="G584" s="1348"/>
      <c r="H584" s="1349"/>
      <c r="I584" s="1335"/>
      <c r="J584" s="1335"/>
      <c r="K584" s="1340"/>
      <c r="L584" s="1335"/>
      <c r="M584" s="1340"/>
      <c r="N584" s="1340"/>
      <c r="O584" s="1340"/>
      <c r="P584" s="1340"/>
      <c r="Q584" s="1340"/>
      <c r="R584" s="1340"/>
      <c r="S584" s="1006"/>
      <c r="T584" s="1350"/>
      <c r="U584" s="1335"/>
      <c r="V584" s="1340"/>
      <c r="W584" s="1340"/>
      <c r="X584" s="1026"/>
      <c r="Y584" s="1026"/>
      <c r="Z584" s="1026"/>
      <c r="AA584" s="1225"/>
      <c r="AB584" s="1026"/>
      <c r="AC584" s="1026"/>
      <c r="AD584" s="1026"/>
      <c r="AE584" s="1026"/>
      <c r="AF584" s="1230"/>
      <c r="AG584" s="1245"/>
      <c r="AH584" s="1246"/>
      <c r="AI584" s="1246"/>
      <c r="AJ584" s="1246"/>
      <c r="AK584" s="1246"/>
      <c r="AL584" s="1246"/>
      <c r="AM584" s="1246"/>
      <c r="AN584" s="1240"/>
      <c r="AO584" s="1240"/>
      <c r="AP584" s="1240"/>
      <c r="AQ584" s="1240"/>
      <c r="AR584" s="1240"/>
      <c r="AS584" s="1240"/>
      <c r="AT584" s="1240"/>
      <c r="AU584" s="1240"/>
      <c r="AV584" s="1240"/>
      <c r="AW584" s="1240"/>
      <c r="AX584" s="1240"/>
      <c r="AY584" s="1240"/>
    </row>
    <row r="585" spans="1:51" ht="28.9" customHeight="1" x14ac:dyDescent="0.25">
      <c r="A585" s="1189"/>
      <c r="B585" s="1018"/>
      <c r="C585" s="1169"/>
      <c r="D585" s="164" t="s">
        <v>348</v>
      </c>
      <c r="E585" s="1324"/>
      <c r="F585" s="1324"/>
      <c r="G585" s="1348"/>
      <c r="H585" s="1349"/>
      <c r="I585" s="1335"/>
      <c r="J585" s="1335"/>
      <c r="K585" s="1340"/>
      <c r="L585" s="1335"/>
      <c r="M585" s="1340"/>
      <c r="N585" s="1340"/>
      <c r="O585" s="1026"/>
      <c r="P585" s="1026"/>
      <c r="Q585" s="1026"/>
      <c r="R585" s="1026"/>
      <c r="S585" s="1006"/>
      <c r="T585" s="1350"/>
      <c r="U585" s="1335"/>
      <c r="V585" s="1340"/>
      <c r="W585" s="1340"/>
      <c r="X585" s="1026"/>
      <c r="Y585" s="1026"/>
      <c r="Z585" s="1026"/>
      <c r="AA585" s="1225"/>
      <c r="AB585" s="1026"/>
      <c r="AC585" s="1026"/>
      <c r="AD585" s="1026"/>
      <c r="AE585" s="1026"/>
      <c r="AF585" s="1251"/>
      <c r="AG585" s="1248"/>
      <c r="AH585" s="1249"/>
      <c r="AI585" s="1249"/>
      <c r="AJ585" s="1249"/>
      <c r="AK585" s="1249"/>
      <c r="AL585" s="1249"/>
      <c r="AM585" s="1249"/>
      <c r="AN585" s="1241"/>
      <c r="AO585" s="1241"/>
      <c r="AP585" s="1241"/>
      <c r="AQ585" s="1241"/>
      <c r="AR585" s="1241"/>
      <c r="AS585" s="1241"/>
      <c r="AT585" s="1241"/>
      <c r="AU585" s="1241"/>
      <c r="AV585" s="1241"/>
      <c r="AW585" s="1241"/>
      <c r="AX585" s="1241"/>
      <c r="AY585" s="1241"/>
    </row>
    <row r="586" spans="1:51" ht="19.149999999999999" customHeight="1" x14ac:dyDescent="0.25">
      <c r="A586" s="1189"/>
      <c r="B586" s="1018"/>
      <c r="C586" s="1378" t="s">
        <v>487</v>
      </c>
      <c r="D586" s="161" t="s">
        <v>340</v>
      </c>
      <c r="E586" s="1351"/>
      <c r="F586" s="1324"/>
      <c r="G586" s="1348"/>
      <c r="H586" s="1348"/>
      <c r="I586" s="1335">
        <v>1</v>
      </c>
      <c r="J586" s="1335"/>
      <c r="K586" s="1340"/>
      <c r="L586" s="1340"/>
      <c r="M586" s="1340"/>
      <c r="N586" s="1340"/>
      <c r="O586" s="1340"/>
      <c r="P586" s="1340"/>
      <c r="Q586" s="1340"/>
      <c r="R586" s="1340"/>
      <c r="S586" s="1023"/>
      <c r="T586" s="1340"/>
      <c r="U586" s="1340"/>
      <c r="V586" s="1335">
        <f>+I586</f>
        <v>1</v>
      </c>
      <c r="W586" s="1340"/>
      <c r="X586" s="1026"/>
      <c r="Y586" s="1026"/>
      <c r="Z586" s="1026"/>
      <c r="AA586" s="1225"/>
      <c r="AB586" s="1026"/>
      <c r="AC586" s="1026"/>
      <c r="AD586" s="1026"/>
      <c r="AE586" s="1026"/>
      <c r="AF586" s="1328" t="s">
        <v>1590</v>
      </c>
      <c r="AG586" s="1242" t="s">
        <v>649</v>
      </c>
      <c r="AH586" s="1243">
        <v>84</v>
      </c>
      <c r="AI586" s="1243" t="s">
        <v>650</v>
      </c>
      <c r="AJ586" s="1243" t="s">
        <v>645</v>
      </c>
      <c r="AK586" s="1244" t="s">
        <v>457</v>
      </c>
      <c r="AL586" s="1243">
        <v>4</v>
      </c>
      <c r="AM586" s="1243" t="s">
        <v>603</v>
      </c>
      <c r="AN586" s="1243">
        <v>733740</v>
      </c>
      <c r="AO586" s="1243">
        <v>353078</v>
      </c>
      <c r="AP586" s="1243">
        <v>380662</v>
      </c>
      <c r="AQ586" s="1072" t="s">
        <v>459</v>
      </c>
      <c r="AR586" s="1072" t="s">
        <v>459</v>
      </c>
      <c r="AS586" s="1072" t="s">
        <v>459</v>
      </c>
      <c r="AT586" s="1072" t="s">
        <v>459</v>
      </c>
      <c r="AU586" s="1072" t="s">
        <v>459</v>
      </c>
      <c r="AV586" s="1072" t="s">
        <v>459</v>
      </c>
      <c r="AW586" s="1072" t="s">
        <v>459</v>
      </c>
      <c r="AX586" s="1243">
        <v>733740</v>
      </c>
      <c r="AY586" s="1072" t="s">
        <v>636</v>
      </c>
    </row>
    <row r="587" spans="1:51" ht="19.149999999999999" customHeight="1" x14ac:dyDescent="0.25">
      <c r="A587" s="1189"/>
      <c r="B587" s="1018"/>
      <c r="C587" s="1379"/>
      <c r="D587" s="164" t="s">
        <v>343</v>
      </c>
      <c r="E587" s="1351"/>
      <c r="F587" s="1324"/>
      <c r="G587" s="1348"/>
      <c r="H587" s="1348"/>
      <c r="I587" s="1026">
        <f>+I586*$V$557/$V$556</f>
        <v>27303250</v>
      </c>
      <c r="J587" s="1335"/>
      <c r="K587" s="1225"/>
      <c r="L587" s="1225"/>
      <c r="M587" s="1225"/>
      <c r="N587" s="1225"/>
      <c r="O587" s="1225"/>
      <c r="P587" s="1225"/>
      <c r="Q587" s="1225"/>
      <c r="R587" s="1225"/>
      <c r="S587" s="1225"/>
      <c r="T587" s="1340"/>
      <c r="U587" s="1340"/>
      <c r="V587" s="1335">
        <f t="shared" ref="V587:V597" si="116">+I587</f>
        <v>27303250</v>
      </c>
      <c r="W587" s="1340"/>
      <c r="X587" s="1026"/>
      <c r="Y587" s="1026"/>
      <c r="Z587" s="1026"/>
      <c r="AA587" s="1225"/>
      <c r="AB587" s="1026"/>
      <c r="AC587" s="1026"/>
      <c r="AD587" s="1026"/>
      <c r="AE587" s="1026"/>
      <c r="AF587" s="1073"/>
      <c r="AG587" s="1245"/>
      <c r="AH587" s="1246"/>
      <c r="AI587" s="1246"/>
      <c r="AJ587" s="1246"/>
      <c r="AK587" s="1247"/>
      <c r="AL587" s="1246"/>
      <c r="AM587" s="1246"/>
      <c r="AN587" s="1240"/>
      <c r="AO587" s="1240"/>
      <c r="AP587" s="1240"/>
      <c r="AQ587" s="1240"/>
      <c r="AR587" s="1240"/>
      <c r="AS587" s="1240"/>
      <c r="AT587" s="1240"/>
      <c r="AU587" s="1240"/>
      <c r="AV587" s="1240"/>
      <c r="AW587" s="1240"/>
      <c r="AX587" s="1240"/>
      <c r="AY587" s="1240"/>
    </row>
    <row r="588" spans="1:51" ht="28.9" customHeight="1" x14ac:dyDescent="0.25">
      <c r="A588" s="1189"/>
      <c r="B588" s="1018"/>
      <c r="C588" s="1379"/>
      <c r="D588" s="165" t="s">
        <v>345</v>
      </c>
      <c r="E588" s="1351"/>
      <c r="F588" s="1324"/>
      <c r="G588" s="1348"/>
      <c r="H588" s="1348"/>
      <c r="I588" s="1335">
        <v>0</v>
      </c>
      <c r="J588" s="1335"/>
      <c r="K588" s="1340"/>
      <c r="L588" s="1340"/>
      <c r="M588" s="1340"/>
      <c r="N588" s="1340"/>
      <c r="O588" s="1340"/>
      <c r="P588" s="1340"/>
      <c r="Q588" s="1340"/>
      <c r="R588" s="1340"/>
      <c r="S588" s="1023"/>
      <c r="T588" s="1340"/>
      <c r="U588" s="1340"/>
      <c r="V588" s="1335">
        <f t="shared" si="116"/>
        <v>0</v>
      </c>
      <c r="W588" s="1340"/>
      <c r="X588" s="1026"/>
      <c r="Y588" s="1026"/>
      <c r="Z588" s="1026"/>
      <c r="AA588" s="1225"/>
      <c r="AB588" s="1026"/>
      <c r="AC588" s="1026"/>
      <c r="AD588" s="1026"/>
      <c r="AE588" s="1026"/>
      <c r="AF588" s="1073"/>
      <c r="AG588" s="1245"/>
      <c r="AH588" s="1246"/>
      <c r="AI588" s="1246"/>
      <c r="AJ588" s="1246"/>
      <c r="AK588" s="1247"/>
      <c r="AL588" s="1246"/>
      <c r="AM588" s="1246"/>
      <c r="AN588" s="1240"/>
      <c r="AO588" s="1240"/>
      <c r="AP588" s="1240"/>
      <c r="AQ588" s="1240"/>
      <c r="AR588" s="1240"/>
      <c r="AS588" s="1240"/>
      <c r="AT588" s="1240"/>
      <c r="AU588" s="1240"/>
      <c r="AV588" s="1240"/>
      <c r="AW588" s="1240"/>
      <c r="AX588" s="1240"/>
      <c r="AY588" s="1240"/>
    </row>
    <row r="589" spans="1:51" ht="28.9" customHeight="1" x14ac:dyDescent="0.25">
      <c r="A589" s="1189"/>
      <c r="B589" s="1018"/>
      <c r="C589" s="1379"/>
      <c r="D589" s="164" t="s">
        <v>346</v>
      </c>
      <c r="E589" s="1351"/>
      <c r="F589" s="1324"/>
      <c r="G589" s="1348"/>
      <c r="H589" s="1348"/>
      <c r="I589" s="1335">
        <v>0</v>
      </c>
      <c r="J589" s="1335"/>
      <c r="K589" s="1340"/>
      <c r="L589" s="1340"/>
      <c r="M589" s="1026"/>
      <c r="N589" s="1026"/>
      <c r="O589" s="1026"/>
      <c r="P589" s="1340"/>
      <c r="Q589" s="1340"/>
      <c r="R589" s="1340"/>
      <c r="S589" s="1023"/>
      <c r="T589" s="1340"/>
      <c r="U589" s="1340"/>
      <c r="V589" s="1335">
        <f t="shared" si="116"/>
        <v>0</v>
      </c>
      <c r="W589" s="1340"/>
      <c r="X589" s="1026"/>
      <c r="Y589" s="1026"/>
      <c r="Z589" s="1026"/>
      <c r="AA589" s="1225"/>
      <c r="AB589" s="1026"/>
      <c r="AC589" s="1026"/>
      <c r="AD589" s="1026"/>
      <c r="AE589" s="1026"/>
      <c r="AF589" s="1073"/>
      <c r="AG589" s="1245"/>
      <c r="AH589" s="1246"/>
      <c r="AI589" s="1246"/>
      <c r="AJ589" s="1246"/>
      <c r="AK589" s="1247"/>
      <c r="AL589" s="1246"/>
      <c r="AM589" s="1246"/>
      <c r="AN589" s="1240"/>
      <c r="AO589" s="1240"/>
      <c r="AP589" s="1240"/>
      <c r="AQ589" s="1240"/>
      <c r="AR589" s="1240"/>
      <c r="AS589" s="1240"/>
      <c r="AT589" s="1240"/>
      <c r="AU589" s="1240"/>
      <c r="AV589" s="1240"/>
      <c r="AW589" s="1240"/>
      <c r="AX589" s="1240"/>
      <c r="AY589" s="1240"/>
    </row>
    <row r="590" spans="1:51" ht="28.9" customHeight="1" x14ac:dyDescent="0.25">
      <c r="A590" s="1189"/>
      <c r="B590" s="1018"/>
      <c r="C590" s="1379"/>
      <c r="D590" s="165" t="s">
        <v>347</v>
      </c>
      <c r="E590" s="1351"/>
      <c r="F590" s="1324"/>
      <c r="G590" s="1348"/>
      <c r="H590" s="1348"/>
      <c r="I590" s="1335">
        <v>1</v>
      </c>
      <c r="J590" s="1335"/>
      <c r="K590" s="1340"/>
      <c r="L590" s="1340"/>
      <c r="M590" s="1340"/>
      <c r="N590" s="1340"/>
      <c r="O590" s="1340"/>
      <c r="P590" s="1340"/>
      <c r="Q590" s="1340"/>
      <c r="R590" s="1340"/>
      <c r="S590" s="1023"/>
      <c r="T590" s="1340"/>
      <c r="U590" s="1340"/>
      <c r="V590" s="1335">
        <f t="shared" si="116"/>
        <v>1</v>
      </c>
      <c r="W590" s="1340"/>
      <c r="X590" s="1026"/>
      <c r="Y590" s="1026"/>
      <c r="Z590" s="1026"/>
      <c r="AA590" s="1225"/>
      <c r="AB590" s="1026"/>
      <c r="AC590" s="1026"/>
      <c r="AD590" s="1026"/>
      <c r="AE590" s="1026"/>
      <c r="AF590" s="1073"/>
      <c r="AG590" s="1245"/>
      <c r="AH590" s="1246"/>
      <c r="AI590" s="1246"/>
      <c r="AJ590" s="1246"/>
      <c r="AK590" s="1247"/>
      <c r="AL590" s="1246"/>
      <c r="AM590" s="1246"/>
      <c r="AN590" s="1240"/>
      <c r="AO590" s="1240"/>
      <c r="AP590" s="1240"/>
      <c r="AQ590" s="1240"/>
      <c r="AR590" s="1240"/>
      <c r="AS590" s="1240"/>
      <c r="AT590" s="1240"/>
      <c r="AU590" s="1240"/>
      <c r="AV590" s="1240"/>
      <c r="AW590" s="1240"/>
      <c r="AX590" s="1240"/>
      <c r="AY590" s="1240"/>
    </row>
    <row r="591" spans="1:51" ht="28.9" customHeight="1" x14ac:dyDescent="0.25">
      <c r="A591" s="1189"/>
      <c r="B591" s="1018"/>
      <c r="C591" s="1169"/>
      <c r="D591" s="164" t="s">
        <v>348</v>
      </c>
      <c r="E591" s="1351"/>
      <c r="F591" s="1324"/>
      <c r="G591" s="1348"/>
      <c r="H591" s="1348"/>
      <c r="I591" s="1335">
        <f>+I587</f>
        <v>27303250</v>
      </c>
      <c r="J591" s="1335"/>
      <c r="K591" s="1026"/>
      <c r="L591" s="1020"/>
      <c r="M591" s="1026"/>
      <c r="N591" s="1026"/>
      <c r="O591" s="1026"/>
      <c r="P591" s="1026"/>
      <c r="Q591" s="1026"/>
      <c r="R591" s="1026"/>
      <c r="S591" s="1023"/>
      <c r="T591" s="1340"/>
      <c r="U591" s="1340"/>
      <c r="V591" s="1335">
        <f t="shared" si="116"/>
        <v>27303250</v>
      </c>
      <c r="W591" s="1340"/>
      <c r="X591" s="1026"/>
      <c r="Y591" s="1026"/>
      <c r="Z591" s="1026"/>
      <c r="AA591" s="1225"/>
      <c r="AB591" s="1026"/>
      <c r="AC591" s="1026"/>
      <c r="AD591" s="1026"/>
      <c r="AE591" s="1026"/>
      <c r="AF591" s="1076"/>
      <c r="AG591" s="1248"/>
      <c r="AH591" s="1249"/>
      <c r="AI591" s="1249"/>
      <c r="AJ591" s="1249"/>
      <c r="AK591" s="1250"/>
      <c r="AL591" s="1249"/>
      <c r="AM591" s="1249"/>
      <c r="AN591" s="1241"/>
      <c r="AO591" s="1241"/>
      <c r="AP591" s="1241"/>
      <c r="AQ591" s="1241"/>
      <c r="AR591" s="1241"/>
      <c r="AS591" s="1241"/>
      <c r="AT591" s="1241"/>
      <c r="AU591" s="1241"/>
      <c r="AV591" s="1241"/>
      <c r="AW591" s="1241"/>
      <c r="AX591" s="1241"/>
      <c r="AY591" s="1241"/>
    </row>
    <row r="592" spans="1:51" ht="19.149999999999999" customHeight="1" x14ac:dyDescent="0.25">
      <c r="A592" s="1189"/>
      <c r="B592" s="1018"/>
      <c r="C592" s="1378" t="s">
        <v>527</v>
      </c>
      <c r="D592" s="161" t="s">
        <v>340</v>
      </c>
      <c r="E592" s="1225"/>
      <c r="F592" s="1225"/>
      <c r="G592" s="1026"/>
      <c r="H592" s="1026"/>
      <c r="I592" s="1026">
        <v>1</v>
      </c>
      <c r="J592" s="1026"/>
      <c r="K592" s="1340"/>
      <c r="L592" s="1026"/>
      <c r="M592" s="1225"/>
      <c r="N592" s="1006"/>
      <c r="O592" s="1026"/>
      <c r="P592" s="1026"/>
      <c r="Q592" s="1026"/>
      <c r="R592" s="1006"/>
      <c r="S592" s="1006"/>
      <c r="T592" s="1006"/>
      <c r="U592" s="1006"/>
      <c r="V592" s="1335">
        <f t="shared" si="116"/>
        <v>1</v>
      </c>
      <c r="W592" s="1026"/>
      <c r="X592" s="1026"/>
      <c r="Y592" s="1026"/>
      <c r="Z592" s="1026"/>
      <c r="AA592" s="1225"/>
      <c r="AB592" s="1026"/>
      <c r="AC592" s="1026"/>
      <c r="AD592" s="1026"/>
      <c r="AE592" s="1026"/>
      <c r="AF592" s="1329" t="s">
        <v>1591</v>
      </c>
      <c r="AG592" s="1242" t="s">
        <v>526</v>
      </c>
      <c r="AH592" s="1243">
        <v>46</v>
      </c>
      <c r="AI592" s="1243" t="s">
        <v>651</v>
      </c>
      <c r="AJ592" s="1243" t="s">
        <v>645</v>
      </c>
      <c r="AK592" s="1243" t="s">
        <v>457</v>
      </c>
      <c r="AL592" s="1243" t="s">
        <v>610</v>
      </c>
      <c r="AM592" s="1243" t="s">
        <v>603</v>
      </c>
      <c r="AN592" s="1252">
        <v>1037929</v>
      </c>
      <c r="AO592" s="1252">
        <v>503962</v>
      </c>
      <c r="AP592" s="1252">
        <v>533967</v>
      </c>
      <c r="AQ592" s="1072" t="s">
        <v>459</v>
      </c>
      <c r="AR592" s="1072" t="s">
        <v>459</v>
      </c>
      <c r="AS592" s="1072" t="s">
        <v>459</v>
      </c>
      <c r="AT592" s="1072" t="s">
        <v>459</v>
      </c>
      <c r="AU592" s="1072" t="s">
        <v>459</v>
      </c>
      <c r="AV592" s="1072" t="s">
        <v>459</v>
      </c>
      <c r="AW592" s="1072" t="s">
        <v>459</v>
      </c>
      <c r="AX592" s="1252">
        <v>1037929</v>
      </c>
      <c r="AY592" s="1072" t="s">
        <v>636</v>
      </c>
    </row>
    <row r="593" spans="1:51" ht="19.149999999999999" customHeight="1" x14ac:dyDescent="0.25">
      <c r="A593" s="1189"/>
      <c r="B593" s="1018"/>
      <c r="C593" s="1379"/>
      <c r="D593" s="164" t="s">
        <v>343</v>
      </c>
      <c r="E593" s="1225"/>
      <c r="F593" s="1225"/>
      <c r="G593" s="1026"/>
      <c r="H593" s="1020"/>
      <c r="I593" s="1026">
        <f>+I592*$V$557/$V$556</f>
        <v>27303250</v>
      </c>
      <c r="J593" s="1020"/>
      <c r="K593" s="1335"/>
      <c r="L593" s="1225"/>
      <c r="M593" s="1225"/>
      <c r="N593" s="1225"/>
      <c r="O593" s="1225"/>
      <c r="P593" s="1225"/>
      <c r="Q593" s="1225"/>
      <c r="R593" s="1225"/>
      <c r="S593" s="1006"/>
      <c r="T593" s="1026"/>
      <c r="U593" s="1020"/>
      <c r="V593" s="1335">
        <f t="shared" si="116"/>
        <v>27303250</v>
      </c>
      <c r="W593" s="1026"/>
      <c r="X593" s="1026"/>
      <c r="Y593" s="1026"/>
      <c r="Z593" s="1026"/>
      <c r="AA593" s="1225"/>
      <c r="AB593" s="1026"/>
      <c r="AC593" s="1026"/>
      <c r="AD593" s="1026"/>
      <c r="AE593" s="1026"/>
      <c r="AF593" s="1203"/>
      <c r="AG593" s="1245"/>
      <c r="AH593" s="1246"/>
      <c r="AI593" s="1246"/>
      <c r="AJ593" s="1246"/>
      <c r="AK593" s="1246"/>
      <c r="AL593" s="1246"/>
      <c r="AM593" s="1246"/>
      <c r="AN593" s="1240"/>
      <c r="AO593" s="1240"/>
      <c r="AP593" s="1240"/>
      <c r="AQ593" s="1240"/>
      <c r="AR593" s="1240"/>
      <c r="AS593" s="1240"/>
      <c r="AT593" s="1240"/>
      <c r="AU593" s="1240"/>
      <c r="AV593" s="1240"/>
      <c r="AW593" s="1240"/>
      <c r="AX593" s="1240"/>
      <c r="AY593" s="1240"/>
    </row>
    <row r="594" spans="1:51" ht="28.9" customHeight="1" x14ac:dyDescent="0.25">
      <c r="A594" s="1189"/>
      <c r="B594" s="1018"/>
      <c r="C594" s="1379"/>
      <c r="D594" s="165" t="s">
        <v>345</v>
      </c>
      <c r="E594" s="1225"/>
      <c r="F594" s="1225"/>
      <c r="G594" s="1026"/>
      <c r="H594" s="1026"/>
      <c r="I594" s="1026">
        <v>0</v>
      </c>
      <c r="J594" s="1026"/>
      <c r="K594" s="1340"/>
      <c r="L594" s="1026"/>
      <c r="M594" s="1225"/>
      <c r="N594" s="1006"/>
      <c r="O594" s="1026"/>
      <c r="P594" s="1026"/>
      <c r="Q594" s="1026"/>
      <c r="R594" s="1006"/>
      <c r="S594" s="1006"/>
      <c r="T594" s="1006"/>
      <c r="U594" s="1006"/>
      <c r="V594" s="1335">
        <f t="shared" si="116"/>
        <v>0</v>
      </c>
      <c r="W594" s="1026"/>
      <c r="X594" s="1026"/>
      <c r="Y594" s="1026"/>
      <c r="Z594" s="1026"/>
      <c r="AA594" s="1225"/>
      <c r="AB594" s="1026"/>
      <c r="AC594" s="1026"/>
      <c r="AD594" s="1026"/>
      <c r="AE594" s="1026"/>
      <c r="AF594" s="1203"/>
      <c r="AG594" s="1245"/>
      <c r="AH594" s="1246"/>
      <c r="AI594" s="1246"/>
      <c r="AJ594" s="1246"/>
      <c r="AK594" s="1246"/>
      <c r="AL594" s="1246"/>
      <c r="AM594" s="1246"/>
      <c r="AN594" s="1240"/>
      <c r="AO594" s="1240"/>
      <c r="AP594" s="1240"/>
      <c r="AQ594" s="1240"/>
      <c r="AR594" s="1240"/>
      <c r="AS594" s="1240"/>
      <c r="AT594" s="1240"/>
      <c r="AU594" s="1240"/>
      <c r="AV594" s="1240"/>
      <c r="AW594" s="1240"/>
      <c r="AX594" s="1240"/>
      <c r="AY594" s="1240"/>
    </row>
    <row r="595" spans="1:51" ht="28.9" customHeight="1" x14ac:dyDescent="0.25">
      <c r="A595" s="1189"/>
      <c r="B595" s="1018"/>
      <c r="C595" s="1379"/>
      <c r="D595" s="164" t="s">
        <v>346</v>
      </c>
      <c r="E595" s="1225"/>
      <c r="F595" s="1225"/>
      <c r="G595" s="1026"/>
      <c r="H595" s="1026"/>
      <c r="I595" s="1026">
        <v>0</v>
      </c>
      <c r="J595" s="1026"/>
      <c r="K595" s="1340"/>
      <c r="L595" s="1253"/>
      <c r="M595" s="1026"/>
      <c r="N595" s="1026"/>
      <c r="O595" s="1026"/>
      <c r="P595" s="1026"/>
      <c r="Q595" s="1026"/>
      <c r="R595" s="1006"/>
      <c r="S595" s="1006"/>
      <c r="T595" s="1006"/>
      <c r="U595" s="1026"/>
      <c r="V595" s="1335">
        <f t="shared" si="116"/>
        <v>0</v>
      </c>
      <c r="W595" s="1026"/>
      <c r="X595" s="1026"/>
      <c r="Y595" s="1026"/>
      <c r="Z595" s="1026"/>
      <c r="AA595" s="1225"/>
      <c r="AB595" s="1026"/>
      <c r="AC595" s="1026"/>
      <c r="AD595" s="1026"/>
      <c r="AE595" s="1026"/>
      <c r="AF595" s="1203"/>
      <c r="AG595" s="1245"/>
      <c r="AH595" s="1246"/>
      <c r="AI595" s="1246"/>
      <c r="AJ595" s="1246"/>
      <c r="AK595" s="1246"/>
      <c r="AL595" s="1246"/>
      <c r="AM595" s="1246"/>
      <c r="AN595" s="1240"/>
      <c r="AO595" s="1240"/>
      <c r="AP595" s="1240"/>
      <c r="AQ595" s="1240"/>
      <c r="AR595" s="1240"/>
      <c r="AS595" s="1240"/>
      <c r="AT595" s="1240"/>
      <c r="AU595" s="1240"/>
      <c r="AV595" s="1240"/>
      <c r="AW595" s="1240"/>
      <c r="AX595" s="1240"/>
      <c r="AY595" s="1240"/>
    </row>
    <row r="596" spans="1:51" ht="28.9" customHeight="1" x14ac:dyDescent="0.25">
      <c r="A596" s="1189"/>
      <c r="B596" s="1018"/>
      <c r="C596" s="1379"/>
      <c r="D596" s="165" t="s">
        <v>347</v>
      </c>
      <c r="E596" s="1225"/>
      <c r="F596" s="1225"/>
      <c r="G596" s="1026"/>
      <c r="H596" s="1026"/>
      <c r="I596" s="1026">
        <v>1</v>
      </c>
      <c r="J596" s="1026"/>
      <c r="K596" s="1340"/>
      <c r="L596" s="1026"/>
      <c r="M596" s="1225"/>
      <c r="N596" s="1006"/>
      <c r="O596" s="1006"/>
      <c r="P596" s="1026"/>
      <c r="Q596" s="1026"/>
      <c r="R596" s="1006"/>
      <c r="S596" s="1006"/>
      <c r="T596" s="1006"/>
      <c r="U596" s="1006"/>
      <c r="V596" s="1335">
        <f t="shared" si="116"/>
        <v>1</v>
      </c>
      <c r="W596" s="1026"/>
      <c r="X596" s="1026"/>
      <c r="Y596" s="1026"/>
      <c r="Z596" s="1026"/>
      <c r="AA596" s="1225"/>
      <c r="AB596" s="1026"/>
      <c r="AC596" s="1026"/>
      <c r="AD596" s="1026"/>
      <c r="AE596" s="1026"/>
      <c r="AF596" s="1203"/>
      <c r="AG596" s="1245"/>
      <c r="AH596" s="1246"/>
      <c r="AI596" s="1246"/>
      <c r="AJ596" s="1246"/>
      <c r="AK596" s="1246"/>
      <c r="AL596" s="1246"/>
      <c r="AM596" s="1246"/>
      <c r="AN596" s="1240"/>
      <c r="AO596" s="1240"/>
      <c r="AP596" s="1240"/>
      <c r="AQ596" s="1240"/>
      <c r="AR596" s="1240"/>
      <c r="AS596" s="1240"/>
      <c r="AT596" s="1240"/>
      <c r="AU596" s="1240"/>
      <c r="AV596" s="1240"/>
      <c r="AW596" s="1240"/>
      <c r="AX596" s="1240"/>
      <c r="AY596" s="1240"/>
    </row>
    <row r="597" spans="1:51" ht="28.9" customHeight="1" x14ac:dyDescent="0.25">
      <c r="A597" s="1189"/>
      <c r="B597" s="1018"/>
      <c r="C597" s="1169"/>
      <c r="D597" s="164" t="s">
        <v>348</v>
      </c>
      <c r="E597" s="1225"/>
      <c r="F597" s="1225"/>
      <c r="G597" s="1026"/>
      <c r="H597" s="1020"/>
      <c r="I597" s="1020">
        <f>+I593</f>
        <v>27303250</v>
      </c>
      <c r="J597" s="1020"/>
      <c r="K597" s="1340"/>
      <c r="L597" s="1020"/>
      <c r="M597" s="1026"/>
      <c r="N597" s="1026"/>
      <c r="O597" s="1026"/>
      <c r="P597" s="1026"/>
      <c r="Q597" s="1026"/>
      <c r="R597" s="1026"/>
      <c r="S597" s="1006"/>
      <c r="T597" s="1026"/>
      <c r="U597" s="1020"/>
      <c r="V597" s="1335">
        <f t="shared" si="116"/>
        <v>27303250</v>
      </c>
      <c r="W597" s="1026"/>
      <c r="X597" s="1026"/>
      <c r="Y597" s="1026"/>
      <c r="Z597" s="1026"/>
      <c r="AA597" s="1225"/>
      <c r="AB597" s="1026"/>
      <c r="AC597" s="1026"/>
      <c r="AD597" s="1026"/>
      <c r="AE597" s="1026"/>
      <c r="AF597" s="1173"/>
      <c r="AG597" s="1248"/>
      <c r="AH597" s="1249"/>
      <c r="AI597" s="1249"/>
      <c r="AJ597" s="1249"/>
      <c r="AK597" s="1249"/>
      <c r="AL597" s="1249"/>
      <c r="AM597" s="1249"/>
      <c r="AN597" s="1241"/>
      <c r="AO597" s="1241"/>
      <c r="AP597" s="1241"/>
      <c r="AQ597" s="1241"/>
      <c r="AR597" s="1241"/>
      <c r="AS597" s="1241"/>
      <c r="AT597" s="1241"/>
      <c r="AU597" s="1241"/>
      <c r="AV597" s="1241"/>
      <c r="AW597" s="1241"/>
      <c r="AX597" s="1241"/>
      <c r="AY597" s="1241"/>
    </row>
    <row r="598" spans="1:51" ht="19.149999999999999" customHeight="1" x14ac:dyDescent="0.25">
      <c r="A598" s="1189"/>
      <c r="B598" s="1018"/>
      <c r="C598" s="1378" t="s">
        <v>619</v>
      </c>
      <c r="D598" s="161" t="s">
        <v>340</v>
      </c>
      <c r="E598" s="1225"/>
      <c r="F598" s="1225"/>
      <c r="G598" s="1026"/>
      <c r="H598" s="1026"/>
      <c r="I598" s="1020"/>
      <c r="J598" s="1006"/>
      <c r="K598" s="1006"/>
      <c r="L598" s="1026"/>
      <c r="M598" s="1026"/>
      <c r="N598" s="1026"/>
      <c r="O598" s="1026"/>
      <c r="P598" s="1026"/>
      <c r="Q598" s="1026"/>
      <c r="R598" s="1026"/>
      <c r="S598" s="1006"/>
      <c r="T598" s="1026"/>
      <c r="U598" s="1026"/>
      <c r="V598" s="1020"/>
      <c r="W598" s="1026"/>
      <c r="X598" s="1026"/>
      <c r="Y598" s="1026"/>
      <c r="Z598" s="1026"/>
      <c r="AA598" s="1225"/>
      <c r="AB598" s="1026"/>
      <c r="AC598" s="1026"/>
      <c r="AD598" s="1026"/>
      <c r="AE598" s="1026"/>
      <c r="AF598" s="1347"/>
      <c r="AG598" s="1242" t="s">
        <v>652</v>
      </c>
      <c r="AH598" s="1243">
        <v>76</v>
      </c>
      <c r="AI598" s="1243" t="s">
        <v>653</v>
      </c>
      <c r="AJ598" s="1243" t="s">
        <v>645</v>
      </c>
      <c r="AK598" s="1244" t="s">
        <v>457</v>
      </c>
      <c r="AL598" s="1243" t="s">
        <v>610</v>
      </c>
      <c r="AM598" s="1243" t="s">
        <v>603</v>
      </c>
      <c r="AN598" s="1243">
        <v>408155</v>
      </c>
      <c r="AO598" s="1243">
        <v>189984</v>
      </c>
      <c r="AP598" s="1243">
        <v>218171</v>
      </c>
      <c r="AQ598" s="1072" t="s">
        <v>459</v>
      </c>
      <c r="AR598" s="1072" t="s">
        <v>459</v>
      </c>
      <c r="AS598" s="1072" t="s">
        <v>459</v>
      </c>
      <c r="AT598" s="1072" t="s">
        <v>459</v>
      </c>
      <c r="AU598" s="1072" t="s">
        <v>459</v>
      </c>
      <c r="AV598" s="1072" t="s">
        <v>459</v>
      </c>
      <c r="AW598" s="1072" t="s">
        <v>459</v>
      </c>
      <c r="AX598" s="1243">
        <v>408155</v>
      </c>
      <c r="AY598" s="1072" t="s">
        <v>636</v>
      </c>
    </row>
    <row r="599" spans="1:51" ht="19.149999999999999" customHeight="1" x14ac:dyDescent="0.25">
      <c r="A599" s="1189"/>
      <c r="B599" s="1018"/>
      <c r="C599" s="1379"/>
      <c r="D599" s="164" t="s">
        <v>343</v>
      </c>
      <c r="E599" s="1225"/>
      <c r="F599" s="1225"/>
      <c r="G599" s="1026"/>
      <c r="H599" s="1026"/>
      <c r="I599" s="1020"/>
      <c r="J599" s="1225"/>
      <c r="K599" s="1225"/>
      <c r="L599" s="1225"/>
      <c r="M599" s="1225"/>
      <c r="N599" s="1225"/>
      <c r="O599" s="1225"/>
      <c r="P599" s="1225"/>
      <c r="Q599" s="1225"/>
      <c r="R599" s="1225"/>
      <c r="S599" s="1006"/>
      <c r="T599" s="1026"/>
      <c r="U599" s="1026"/>
      <c r="V599" s="1020"/>
      <c r="W599" s="1026"/>
      <c r="X599" s="1026"/>
      <c r="Y599" s="1026"/>
      <c r="Z599" s="1026"/>
      <c r="AA599" s="1225"/>
      <c r="AB599" s="1026"/>
      <c r="AC599" s="1026"/>
      <c r="AD599" s="1026"/>
      <c r="AE599" s="1026"/>
      <c r="AF599" s="1230"/>
      <c r="AG599" s="1245"/>
      <c r="AH599" s="1246"/>
      <c r="AI599" s="1246"/>
      <c r="AJ599" s="1246"/>
      <c r="AK599" s="1247"/>
      <c r="AL599" s="1246"/>
      <c r="AM599" s="1246"/>
      <c r="AN599" s="1240"/>
      <c r="AO599" s="1240"/>
      <c r="AP599" s="1240"/>
      <c r="AQ599" s="1240"/>
      <c r="AR599" s="1240"/>
      <c r="AS599" s="1240"/>
      <c r="AT599" s="1240"/>
      <c r="AU599" s="1240"/>
      <c r="AV599" s="1240"/>
      <c r="AW599" s="1240"/>
      <c r="AX599" s="1240"/>
      <c r="AY599" s="1240"/>
    </row>
    <row r="600" spans="1:51" ht="28.9" customHeight="1" x14ac:dyDescent="0.25">
      <c r="A600" s="1189"/>
      <c r="B600" s="1018"/>
      <c r="C600" s="1379"/>
      <c r="D600" s="165" t="s">
        <v>345</v>
      </c>
      <c r="E600" s="1225"/>
      <c r="F600" s="1225"/>
      <c r="G600" s="1026"/>
      <c r="H600" s="1026"/>
      <c r="I600" s="1020"/>
      <c r="J600" s="1020"/>
      <c r="K600" s="1020"/>
      <c r="L600" s="1026"/>
      <c r="M600" s="1026"/>
      <c r="N600" s="1026"/>
      <c r="O600" s="1026"/>
      <c r="P600" s="1026"/>
      <c r="Q600" s="1026"/>
      <c r="R600" s="1026"/>
      <c r="S600" s="1006"/>
      <c r="T600" s="1026"/>
      <c r="U600" s="1026"/>
      <c r="V600" s="1020"/>
      <c r="W600" s="1026"/>
      <c r="X600" s="1026"/>
      <c r="Y600" s="1026"/>
      <c r="Z600" s="1026"/>
      <c r="AA600" s="1225"/>
      <c r="AB600" s="1026"/>
      <c r="AC600" s="1026"/>
      <c r="AD600" s="1026"/>
      <c r="AE600" s="1026"/>
      <c r="AF600" s="1230"/>
      <c r="AG600" s="1245"/>
      <c r="AH600" s="1246"/>
      <c r="AI600" s="1246"/>
      <c r="AJ600" s="1246"/>
      <c r="AK600" s="1247"/>
      <c r="AL600" s="1246"/>
      <c r="AM600" s="1246"/>
      <c r="AN600" s="1240"/>
      <c r="AO600" s="1240"/>
      <c r="AP600" s="1240"/>
      <c r="AQ600" s="1240"/>
      <c r="AR600" s="1240"/>
      <c r="AS600" s="1240"/>
      <c r="AT600" s="1240"/>
      <c r="AU600" s="1240"/>
      <c r="AV600" s="1240"/>
      <c r="AW600" s="1240"/>
      <c r="AX600" s="1240"/>
      <c r="AY600" s="1240"/>
    </row>
    <row r="601" spans="1:51" ht="28.9" customHeight="1" x14ac:dyDescent="0.25">
      <c r="A601" s="1189"/>
      <c r="B601" s="1018"/>
      <c r="C601" s="1379"/>
      <c r="D601" s="164" t="s">
        <v>346</v>
      </c>
      <c r="E601" s="1225"/>
      <c r="F601" s="1225"/>
      <c r="G601" s="1026"/>
      <c r="H601" s="1026"/>
      <c r="I601" s="1020"/>
      <c r="J601" s="1020"/>
      <c r="K601" s="1020"/>
      <c r="L601" s="1026"/>
      <c r="M601" s="1026"/>
      <c r="N601" s="1026"/>
      <c r="O601" s="1026"/>
      <c r="P601" s="1026"/>
      <c r="Q601" s="1026"/>
      <c r="R601" s="1026"/>
      <c r="S601" s="1006"/>
      <c r="T601" s="1026"/>
      <c r="U601" s="1026"/>
      <c r="V601" s="1020"/>
      <c r="W601" s="1026"/>
      <c r="X601" s="1026"/>
      <c r="Y601" s="1026"/>
      <c r="Z601" s="1026"/>
      <c r="AA601" s="1225"/>
      <c r="AB601" s="1026"/>
      <c r="AC601" s="1026"/>
      <c r="AD601" s="1026"/>
      <c r="AE601" s="1026"/>
      <c r="AF601" s="1230"/>
      <c r="AG601" s="1245"/>
      <c r="AH601" s="1246"/>
      <c r="AI601" s="1246"/>
      <c r="AJ601" s="1246"/>
      <c r="AK601" s="1247"/>
      <c r="AL601" s="1246"/>
      <c r="AM601" s="1246"/>
      <c r="AN601" s="1240"/>
      <c r="AO601" s="1240"/>
      <c r="AP601" s="1240"/>
      <c r="AQ601" s="1240"/>
      <c r="AR601" s="1240"/>
      <c r="AS601" s="1240"/>
      <c r="AT601" s="1240"/>
      <c r="AU601" s="1240"/>
      <c r="AV601" s="1240"/>
      <c r="AW601" s="1240"/>
      <c r="AX601" s="1240"/>
      <c r="AY601" s="1240"/>
    </row>
    <row r="602" spans="1:51" ht="28.9" customHeight="1" x14ac:dyDescent="0.25">
      <c r="A602" s="1189"/>
      <c r="B602" s="1018"/>
      <c r="C602" s="1379"/>
      <c r="D602" s="165" t="s">
        <v>347</v>
      </c>
      <c r="E602" s="1225"/>
      <c r="F602" s="1225"/>
      <c r="G602" s="1026"/>
      <c r="H602" s="1026"/>
      <c r="I602" s="1020"/>
      <c r="J602" s="1006"/>
      <c r="K602" s="1006"/>
      <c r="L602" s="1026"/>
      <c r="M602" s="1026"/>
      <c r="N602" s="1026"/>
      <c r="O602" s="1026"/>
      <c r="P602" s="1026"/>
      <c r="Q602" s="1026"/>
      <c r="R602" s="1026"/>
      <c r="S602" s="1006"/>
      <c r="T602" s="1026"/>
      <c r="U602" s="1026"/>
      <c r="V602" s="1020"/>
      <c r="W602" s="1026"/>
      <c r="X602" s="1026"/>
      <c r="Y602" s="1026"/>
      <c r="Z602" s="1026"/>
      <c r="AA602" s="1225"/>
      <c r="AB602" s="1026"/>
      <c r="AC602" s="1026"/>
      <c r="AD602" s="1026"/>
      <c r="AE602" s="1026"/>
      <c r="AF602" s="1230"/>
      <c r="AG602" s="1245"/>
      <c r="AH602" s="1246"/>
      <c r="AI602" s="1246"/>
      <c r="AJ602" s="1246"/>
      <c r="AK602" s="1247"/>
      <c r="AL602" s="1246"/>
      <c r="AM602" s="1246"/>
      <c r="AN602" s="1240"/>
      <c r="AO602" s="1240"/>
      <c r="AP602" s="1240"/>
      <c r="AQ602" s="1240"/>
      <c r="AR602" s="1240"/>
      <c r="AS602" s="1240"/>
      <c r="AT602" s="1240"/>
      <c r="AU602" s="1240"/>
      <c r="AV602" s="1240"/>
      <c r="AW602" s="1240"/>
      <c r="AX602" s="1240"/>
      <c r="AY602" s="1240"/>
    </row>
    <row r="603" spans="1:51" ht="28.9" customHeight="1" x14ac:dyDescent="0.25">
      <c r="A603" s="1189"/>
      <c r="B603" s="1018"/>
      <c r="C603" s="1169"/>
      <c r="D603" s="164" t="s">
        <v>348</v>
      </c>
      <c r="E603" s="1225"/>
      <c r="F603" s="1225"/>
      <c r="G603" s="1026"/>
      <c r="H603" s="1026"/>
      <c r="I603" s="1020"/>
      <c r="J603" s="1020"/>
      <c r="K603" s="1020"/>
      <c r="L603" s="1020"/>
      <c r="M603" s="1026"/>
      <c r="N603" s="1026"/>
      <c r="O603" s="1026"/>
      <c r="P603" s="1026"/>
      <c r="Q603" s="1026"/>
      <c r="R603" s="1026"/>
      <c r="S603" s="1006"/>
      <c r="T603" s="1026"/>
      <c r="U603" s="1026"/>
      <c r="V603" s="1020"/>
      <c r="W603" s="1026"/>
      <c r="X603" s="1026"/>
      <c r="Y603" s="1026"/>
      <c r="Z603" s="1026"/>
      <c r="AA603" s="1225"/>
      <c r="AB603" s="1026"/>
      <c r="AC603" s="1026"/>
      <c r="AD603" s="1026"/>
      <c r="AE603" s="1026"/>
      <c r="AF603" s="1251"/>
      <c r="AG603" s="1248"/>
      <c r="AH603" s="1249"/>
      <c r="AI603" s="1249"/>
      <c r="AJ603" s="1249"/>
      <c r="AK603" s="1250"/>
      <c r="AL603" s="1249"/>
      <c r="AM603" s="1249"/>
      <c r="AN603" s="1241"/>
      <c r="AO603" s="1241"/>
      <c r="AP603" s="1241"/>
      <c r="AQ603" s="1241"/>
      <c r="AR603" s="1241"/>
      <c r="AS603" s="1241"/>
      <c r="AT603" s="1241"/>
      <c r="AU603" s="1241"/>
      <c r="AV603" s="1241"/>
      <c r="AW603" s="1241"/>
      <c r="AX603" s="1241"/>
      <c r="AY603" s="1241"/>
    </row>
    <row r="604" spans="1:51" ht="19.149999999999999" customHeight="1" x14ac:dyDescent="0.25">
      <c r="A604" s="1189"/>
      <c r="B604" s="1018"/>
      <c r="C604" s="1378" t="s">
        <v>620</v>
      </c>
      <c r="D604" s="161" t="s">
        <v>340</v>
      </c>
      <c r="E604" s="1225"/>
      <c r="F604" s="1225"/>
      <c r="G604" s="1026">
        <v>1</v>
      </c>
      <c r="H604" s="1026">
        <v>1</v>
      </c>
      <c r="I604" s="1026">
        <v>1</v>
      </c>
      <c r="J604" s="1026"/>
      <c r="K604" s="1340"/>
      <c r="L604" s="1026"/>
      <c r="M604" s="1026"/>
      <c r="N604" s="1026"/>
      <c r="O604" s="1026"/>
      <c r="P604" s="1026"/>
      <c r="Q604" s="1026"/>
      <c r="R604" s="1026"/>
      <c r="S604" s="1006"/>
      <c r="T604" s="1026">
        <f t="shared" ref="T604:AE609" si="117">+G604</f>
        <v>1</v>
      </c>
      <c r="U604" s="1026">
        <f t="shared" si="117"/>
        <v>1</v>
      </c>
      <c r="V604" s="1026">
        <f t="shared" si="117"/>
        <v>1</v>
      </c>
      <c r="W604" s="1026"/>
      <c r="X604" s="1026">
        <f t="shared" si="117"/>
        <v>0</v>
      </c>
      <c r="Y604" s="1026">
        <f t="shared" si="117"/>
        <v>0</v>
      </c>
      <c r="Z604" s="1026">
        <f t="shared" si="117"/>
        <v>0</v>
      </c>
      <c r="AA604" s="1026">
        <f t="shared" si="117"/>
        <v>0</v>
      </c>
      <c r="AB604" s="1026">
        <f t="shared" si="117"/>
        <v>0</v>
      </c>
      <c r="AC604" s="1026">
        <f t="shared" si="117"/>
        <v>0</v>
      </c>
      <c r="AD604" s="1026">
        <f t="shared" si="117"/>
        <v>0</v>
      </c>
      <c r="AE604" s="1026">
        <f t="shared" si="117"/>
        <v>0</v>
      </c>
      <c r="AF604" s="1352" t="s">
        <v>1452</v>
      </c>
      <c r="AG604" s="1254" t="s">
        <v>654</v>
      </c>
      <c r="AH604" s="1243">
        <v>31</v>
      </c>
      <c r="AI604" s="1243" t="s">
        <v>1453</v>
      </c>
      <c r="AJ604" s="824" t="s">
        <v>1454</v>
      </c>
      <c r="AK604" s="1244" t="s">
        <v>457</v>
      </c>
      <c r="AL604" s="1243" t="s">
        <v>610</v>
      </c>
      <c r="AM604" s="1243" t="s">
        <v>603</v>
      </c>
      <c r="AN604" s="1252">
        <v>819441</v>
      </c>
      <c r="AO604" s="1252">
        <v>388871</v>
      </c>
      <c r="AP604" s="1252">
        <v>430570</v>
      </c>
      <c r="AQ604" s="1072" t="s">
        <v>459</v>
      </c>
      <c r="AR604" s="1072" t="s">
        <v>459</v>
      </c>
      <c r="AS604" s="1072" t="s">
        <v>459</v>
      </c>
      <c r="AT604" s="1072" t="s">
        <v>459</v>
      </c>
      <c r="AU604" s="1072" t="s">
        <v>459</v>
      </c>
      <c r="AV604" s="1072" t="s">
        <v>459</v>
      </c>
      <c r="AW604" s="1072" t="s">
        <v>459</v>
      </c>
      <c r="AX604" s="1252">
        <v>819441</v>
      </c>
      <c r="AY604" s="1072" t="s">
        <v>636</v>
      </c>
    </row>
    <row r="605" spans="1:51" ht="19.149999999999999" customHeight="1" x14ac:dyDescent="0.25">
      <c r="A605" s="1189"/>
      <c r="B605" s="1018"/>
      <c r="C605" s="1379"/>
      <c r="D605" s="164" t="s">
        <v>343</v>
      </c>
      <c r="E605" s="1225"/>
      <c r="F605" s="1225"/>
      <c r="G605" s="1026">
        <f>+G604*$T$557/$T$556</f>
        <v>11022500</v>
      </c>
      <c r="H605" s="1026">
        <f>+H604*$U$557/$U$556</f>
        <v>46876500</v>
      </c>
      <c r="I605" s="1026">
        <f>+I604*$V$557/$V$556</f>
        <v>27303250</v>
      </c>
      <c r="J605" s="1225"/>
      <c r="K605" s="1225"/>
      <c r="L605" s="1225"/>
      <c r="M605" s="1225"/>
      <c r="N605" s="1225"/>
      <c r="O605" s="1225"/>
      <c r="P605" s="1225"/>
      <c r="Q605" s="1225"/>
      <c r="R605" s="1225"/>
      <c r="S605" s="1006"/>
      <c r="T605" s="1026">
        <f t="shared" ref="T605:U609" si="118">+G605</f>
        <v>11022500</v>
      </c>
      <c r="U605" s="1026">
        <f t="shared" si="118"/>
        <v>46876500</v>
      </c>
      <c r="V605" s="1026">
        <f t="shared" si="117"/>
        <v>27303250</v>
      </c>
      <c r="W605" s="1026"/>
      <c r="X605" s="1026"/>
      <c r="Y605" s="1026"/>
      <c r="Z605" s="1026"/>
      <c r="AA605" s="1225"/>
      <c r="AB605" s="1026"/>
      <c r="AC605" s="1026"/>
      <c r="AD605" s="1026"/>
      <c r="AE605" s="1353"/>
      <c r="AF605" s="1354"/>
      <c r="AG605" s="1255"/>
      <c r="AH605" s="1246"/>
      <c r="AI605" s="1246"/>
      <c r="AJ605" s="825"/>
      <c r="AK605" s="1247"/>
      <c r="AL605" s="1246"/>
      <c r="AM605" s="1246"/>
      <c r="AN605" s="1240"/>
      <c r="AO605" s="1240"/>
      <c r="AP605" s="1240"/>
      <c r="AQ605" s="1240"/>
      <c r="AR605" s="1240"/>
      <c r="AS605" s="1240"/>
      <c r="AT605" s="1240"/>
      <c r="AU605" s="1240"/>
      <c r="AV605" s="1240"/>
      <c r="AW605" s="1240"/>
      <c r="AX605" s="1240"/>
      <c r="AY605" s="1240"/>
    </row>
    <row r="606" spans="1:51" ht="28.9" customHeight="1" x14ac:dyDescent="0.25">
      <c r="A606" s="1189"/>
      <c r="B606" s="1018"/>
      <c r="C606" s="1379"/>
      <c r="D606" s="165" t="s">
        <v>345</v>
      </c>
      <c r="E606" s="1225"/>
      <c r="F606" s="1225"/>
      <c r="G606" s="1026"/>
      <c r="H606" s="1026"/>
      <c r="I606" s="1026">
        <v>0</v>
      </c>
      <c r="J606" s="1026"/>
      <c r="K606" s="1340"/>
      <c r="L606" s="1026"/>
      <c r="M606" s="1026"/>
      <c r="N606" s="1026"/>
      <c r="O606" s="1026"/>
      <c r="P606" s="1026"/>
      <c r="Q606" s="1026"/>
      <c r="R606" s="1026"/>
      <c r="S606" s="1006"/>
      <c r="T606" s="1026">
        <f t="shared" si="118"/>
        <v>0</v>
      </c>
      <c r="U606" s="1026">
        <f t="shared" si="118"/>
        <v>0</v>
      </c>
      <c r="V606" s="1026">
        <f t="shared" si="117"/>
        <v>0</v>
      </c>
      <c r="W606" s="1026"/>
      <c r="X606" s="1026"/>
      <c r="Y606" s="1026"/>
      <c r="Z606" s="1026"/>
      <c r="AA606" s="1225"/>
      <c r="AB606" s="1026"/>
      <c r="AC606" s="1026"/>
      <c r="AD606" s="1026"/>
      <c r="AE606" s="1353"/>
      <c r="AF606" s="1354"/>
      <c r="AG606" s="1255"/>
      <c r="AH606" s="1246"/>
      <c r="AI606" s="1246"/>
      <c r="AJ606" s="825"/>
      <c r="AK606" s="1247"/>
      <c r="AL606" s="1246"/>
      <c r="AM606" s="1246"/>
      <c r="AN606" s="1240"/>
      <c r="AO606" s="1240"/>
      <c r="AP606" s="1240"/>
      <c r="AQ606" s="1240"/>
      <c r="AR606" s="1240"/>
      <c r="AS606" s="1240"/>
      <c r="AT606" s="1240"/>
      <c r="AU606" s="1240"/>
      <c r="AV606" s="1240"/>
      <c r="AW606" s="1240"/>
      <c r="AX606" s="1240"/>
      <c r="AY606" s="1240"/>
    </row>
    <row r="607" spans="1:51" ht="28.9" customHeight="1" x14ac:dyDescent="0.25">
      <c r="A607" s="1189"/>
      <c r="B607" s="1018"/>
      <c r="C607" s="1379"/>
      <c r="D607" s="164" t="s">
        <v>346</v>
      </c>
      <c r="E607" s="1225"/>
      <c r="F607" s="1225"/>
      <c r="G607" s="1026">
        <f>+$T$559/2</f>
        <v>5010100</v>
      </c>
      <c r="H607" s="1026">
        <f>+$U$559/2</f>
        <v>13487783.5</v>
      </c>
      <c r="I607" s="1026">
        <f>+$U$559/2</f>
        <v>13487783.5</v>
      </c>
      <c r="J607" s="1026"/>
      <c r="K607" s="1026"/>
      <c r="L607" s="1026"/>
      <c r="M607" s="1026"/>
      <c r="N607" s="1026"/>
      <c r="O607" s="1026"/>
      <c r="P607" s="1026"/>
      <c r="Q607" s="1026"/>
      <c r="R607" s="1026"/>
      <c r="S607" s="1006"/>
      <c r="T607" s="1026">
        <f t="shared" si="118"/>
        <v>5010100</v>
      </c>
      <c r="U607" s="1026">
        <f t="shared" si="118"/>
        <v>13487783.5</v>
      </c>
      <c r="V607" s="1026">
        <f t="shared" si="117"/>
        <v>13487783.5</v>
      </c>
      <c r="W607" s="1026"/>
      <c r="X607" s="1026"/>
      <c r="Y607" s="1026"/>
      <c r="Z607" s="1026"/>
      <c r="AA607" s="1225"/>
      <c r="AB607" s="1026"/>
      <c r="AC607" s="1026"/>
      <c r="AD607" s="1026"/>
      <c r="AE607" s="1353"/>
      <c r="AF607" s="1354"/>
      <c r="AG607" s="1255"/>
      <c r="AH607" s="1246"/>
      <c r="AI607" s="1246"/>
      <c r="AJ607" s="825"/>
      <c r="AK607" s="1247"/>
      <c r="AL607" s="1246"/>
      <c r="AM607" s="1246"/>
      <c r="AN607" s="1240"/>
      <c r="AO607" s="1240"/>
      <c r="AP607" s="1240"/>
      <c r="AQ607" s="1240"/>
      <c r="AR607" s="1240"/>
      <c r="AS607" s="1240"/>
      <c r="AT607" s="1240"/>
      <c r="AU607" s="1240"/>
      <c r="AV607" s="1240"/>
      <c r="AW607" s="1240"/>
      <c r="AX607" s="1240"/>
      <c r="AY607" s="1240"/>
    </row>
    <row r="608" spans="1:51" ht="28.9" customHeight="1" x14ac:dyDescent="0.25">
      <c r="A608" s="1189"/>
      <c r="B608" s="1018"/>
      <c r="C608" s="1379"/>
      <c r="D608" s="165" t="s">
        <v>347</v>
      </c>
      <c r="E608" s="1225"/>
      <c r="F608" s="1225"/>
      <c r="G608" s="1026">
        <v>1</v>
      </c>
      <c r="H608" s="1026">
        <v>1</v>
      </c>
      <c r="I608" s="1026">
        <v>1</v>
      </c>
      <c r="J608" s="1026"/>
      <c r="K608" s="1340"/>
      <c r="L608" s="1026"/>
      <c r="M608" s="1026"/>
      <c r="N608" s="1026"/>
      <c r="O608" s="1026"/>
      <c r="P608" s="1026"/>
      <c r="Q608" s="1026"/>
      <c r="R608" s="1026"/>
      <c r="S608" s="1006"/>
      <c r="T608" s="1026">
        <f t="shared" si="118"/>
        <v>1</v>
      </c>
      <c r="U608" s="1026">
        <f t="shared" si="118"/>
        <v>1</v>
      </c>
      <c r="V608" s="1026">
        <f t="shared" si="117"/>
        <v>1</v>
      </c>
      <c r="W608" s="1026"/>
      <c r="X608" s="1026"/>
      <c r="Y608" s="1026"/>
      <c r="Z608" s="1026"/>
      <c r="AA608" s="1225"/>
      <c r="AB608" s="1026"/>
      <c r="AC608" s="1026"/>
      <c r="AD608" s="1026"/>
      <c r="AE608" s="1353"/>
      <c r="AF608" s="1354"/>
      <c r="AG608" s="1255"/>
      <c r="AH608" s="1246"/>
      <c r="AI608" s="1246"/>
      <c r="AJ608" s="825"/>
      <c r="AK608" s="1247"/>
      <c r="AL608" s="1246"/>
      <c r="AM608" s="1246"/>
      <c r="AN608" s="1240"/>
      <c r="AO608" s="1240"/>
      <c r="AP608" s="1240"/>
      <c r="AQ608" s="1240"/>
      <c r="AR608" s="1240"/>
      <c r="AS608" s="1240"/>
      <c r="AT608" s="1240"/>
      <c r="AU608" s="1240"/>
      <c r="AV608" s="1240"/>
      <c r="AW608" s="1240"/>
      <c r="AX608" s="1240"/>
      <c r="AY608" s="1240"/>
    </row>
    <row r="609" spans="1:51" ht="28.9" customHeight="1" x14ac:dyDescent="0.25">
      <c r="A609" s="1189"/>
      <c r="B609" s="1018"/>
      <c r="C609" s="1169"/>
      <c r="D609" s="164" t="s">
        <v>348</v>
      </c>
      <c r="E609" s="1225"/>
      <c r="F609" s="1225"/>
      <c r="G609" s="1225">
        <f>+G605+G607</f>
        <v>16032600</v>
      </c>
      <c r="H609" s="1225">
        <f>+H605+H607</f>
        <v>60364283.5</v>
      </c>
      <c r="I609" s="1225">
        <f>+I605+I607</f>
        <v>40791033.5</v>
      </c>
      <c r="J609" s="1020"/>
      <c r="K609" s="1026"/>
      <c r="L609" s="1020"/>
      <c r="M609" s="1026"/>
      <c r="N609" s="1026"/>
      <c r="O609" s="1026"/>
      <c r="P609" s="1026"/>
      <c r="Q609" s="1026"/>
      <c r="R609" s="1026"/>
      <c r="S609" s="1006"/>
      <c r="T609" s="1026">
        <f t="shared" si="118"/>
        <v>16032600</v>
      </c>
      <c r="U609" s="1026">
        <f t="shared" si="118"/>
        <v>60364283.5</v>
      </c>
      <c r="V609" s="1026">
        <f t="shared" si="117"/>
        <v>40791033.5</v>
      </c>
      <c r="W609" s="1026"/>
      <c r="X609" s="1026"/>
      <c r="Y609" s="1026"/>
      <c r="Z609" s="1026"/>
      <c r="AA609" s="1225"/>
      <c r="AB609" s="1026"/>
      <c r="AC609" s="1026"/>
      <c r="AD609" s="1026"/>
      <c r="AE609" s="1353"/>
      <c r="AF609" s="1355"/>
      <c r="AG609" s="1256"/>
      <c r="AH609" s="1249"/>
      <c r="AI609" s="1249"/>
      <c r="AJ609" s="826"/>
      <c r="AK609" s="1250"/>
      <c r="AL609" s="1249"/>
      <c r="AM609" s="1249"/>
      <c r="AN609" s="1241"/>
      <c r="AO609" s="1241"/>
      <c r="AP609" s="1241"/>
      <c r="AQ609" s="1241"/>
      <c r="AR609" s="1241"/>
      <c r="AS609" s="1241"/>
      <c r="AT609" s="1241"/>
      <c r="AU609" s="1241"/>
      <c r="AV609" s="1241"/>
      <c r="AW609" s="1241"/>
      <c r="AX609" s="1241"/>
      <c r="AY609" s="1241"/>
    </row>
    <row r="610" spans="1:51" ht="19.149999999999999" customHeight="1" x14ac:dyDescent="0.25">
      <c r="A610" s="1189"/>
      <c r="B610" s="1018"/>
      <c r="C610" s="1378" t="s">
        <v>621</v>
      </c>
      <c r="D610" s="161" t="s">
        <v>340</v>
      </c>
      <c r="E610" s="1225"/>
      <c r="F610" s="1225"/>
      <c r="G610" s="1026"/>
      <c r="H610" s="1020"/>
      <c r="I610" s="1020"/>
      <c r="J610" s="1026"/>
      <c r="K610" s="1340"/>
      <c r="L610" s="1026"/>
      <c r="M610" s="1026"/>
      <c r="N610" s="1026"/>
      <c r="O610" s="1026"/>
      <c r="P610" s="1026"/>
      <c r="Q610" s="1026"/>
      <c r="R610" s="1026"/>
      <c r="S610" s="1006"/>
      <c r="T610" s="1026"/>
      <c r="U610" s="1020"/>
      <c r="V610" s="1026"/>
      <c r="W610" s="1026"/>
      <c r="X610" s="1026"/>
      <c r="Y610" s="1026"/>
      <c r="Z610" s="1026"/>
      <c r="AA610" s="1225"/>
      <c r="AB610" s="1026"/>
      <c r="AC610" s="1026"/>
      <c r="AD610" s="1026"/>
      <c r="AE610" s="1026"/>
      <c r="AF610" s="1329"/>
      <c r="AG610" s="1242" t="s">
        <v>656</v>
      </c>
      <c r="AH610" s="1243" t="s">
        <v>657</v>
      </c>
      <c r="AI610" s="1243" t="s">
        <v>658</v>
      </c>
      <c r="AJ610" s="1243" t="s">
        <v>655</v>
      </c>
      <c r="AK610" s="1243" t="s">
        <v>457</v>
      </c>
      <c r="AL610" s="1243" t="s">
        <v>610</v>
      </c>
      <c r="AM610" s="1243" t="s">
        <v>603</v>
      </c>
      <c r="AN610" s="1243">
        <v>1313453</v>
      </c>
      <c r="AO610" s="1243">
        <v>619835</v>
      </c>
      <c r="AP610" s="1243">
        <v>693618</v>
      </c>
      <c r="AQ610" s="1072" t="s">
        <v>459</v>
      </c>
      <c r="AR610" s="1072" t="s">
        <v>459</v>
      </c>
      <c r="AS610" s="1072" t="s">
        <v>459</v>
      </c>
      <c r="AT610" s="1072" t="s">
        <v>459</v>
      </c>
      <c r="AU610" s="1072" t="s">
        <v>459</v>
      </c>
      <c r="AV610" s="1072" t="s">
        <v>459</v>
      </c>
      <c r="AW610" s="1072" t="s">
        <v>459</v>
      </c>
      <c r="AX610" s="1243">
        <v>1313453</v>
      </c>
      <c r="AY610" s="1072" t="s">
        <v>636</v>
      </c>
    </row>
    <row r="611" spans="1:51" ht="19.149999999999999" customHeight="1" x14ac:dyDescent="0.25">
      <c r="A611" s="1189"/>
      <c r="B611" s="1018"/>
      <c r="C611" s="1379"/>
      <c r="D611" s="164" t="s">
        <v>343</v>
      </c>
      <c r="E611" s="1225"/>
      <c r="F611" s="1225"/>
      <c r="G611" s="1026"/>
      <c r="H611" s="1020"/>
      <c r="I611" s="1225"/>
      <c r="J611" s="1225"/>
      <c r="K611" s="1225"/>
      <c r="L611" s="1225"/>
      <c r="M611" s="1225"/>
      <c r="N611" s="1225"/>
      <c r="O611" s="1225"/>
      <c r="P611" s="1225"/>
      <c r="Q611" s="1225"/>
      <c r="R611" s="1225"/>
      <c r="S611" s="1006"/>
      <c r="T611" s="1026"/>
      <c r="U611" s="1020"/>
      <c r="V611" s="1026"/>
      <c r="W611" s="1026"/>
      <c r="X611" s="1026"/>
      <c r="Y611" s="1026"/>
      <c r="Z611" s="1026"/>
      <c r="AA611" s="1225"/>
      <c r="AB611" s="1026"/>
      <c r="AC611" s="1026"/>
      <c r="AD611" s="1026"/>
      <c r="AE611" s="1026"/>
      <c r="AF611" s="1356"/>
      <c r="AG611" s="1245"/>
      <c r="AH611" s="1246"/>
      <c r="AI611" s="1246"/>
      <c r="AJ611" s="1246"/>
      <c r="AK611" s="1246"/>
      <c r="AL611" s="1246"/>
      <c r="AM611" s="1246"/>
      <c r="AN611" s="1240"/>
      <c r="AO611" s="1240"/>
      <c r="AP611" s="1240"/>
      <c r="AQ611" s="1240"/>
      <c r="AR611" s="1240"/>
      <c r="AS611" s="1240"/>
      <c r="AT611" s="1240"/>
      <c r="AU611" s="1240"/>
      <c r="AV611" s="1240"/>
      <c r="AW611" s="1240"/>
      <c r="AX611" s="1240"/>
      <c r="AY611" s="1240"/>
    </row>
    <row r="612" spans="1:51" ht="28.9" customHeight="1" x14ac:dyDescent="0.25">
      <c r="A612" s="1189"/>
      <c r="B612" s="1018"/>
      <c r="C612" s="1379"/>
      <c r="D612" s="165" t="s">
        <v>345</v>
      </c>
      <c r="E612" s="1225"/>
      <c r="F612" s="1225"/>
      <c r="G612" s="1026"/>
      <c r="H612" s="1020"/>
      <c r="I612" s="1020"/>
      <c r="J612" s="1026"/>
      <c r="K612" s="1340"/>
      <c r="L612" s="1026"/>
      <c r="M612" s="1026"/>
      <c r="N612" s="1026"/>
      <c r="O612" s="1026"/>
      <c r="P612" s="1026"/>
      <c r="Q612" s="1026"/>
      <c r="R612" s="1026"/>
      <c r="S612" s="1006"/>
      <c r="T612" s="1026"/>
      <c r="U612" s="1020"/>
      <c r="V612" s="1026"/>
      <c r="W612" s="1026"/>
      <c r="X612" s="1026"/>
      <c r="Y612" s="1026"/>
      <c r="Z612" s="1026"/>
      <c r="AA612" s="1225"/>
      <c r="AB612" s="1026"/>
      <c r="AC612" s="1026"/>
      <c r="AD612" s="1026"/>
      <c r="AE612" s="1026"/>
      <c r="AF612" s="1356"/>
      <c r="AG612" s="1245"/>
      <c r="AH612" s="1246"/>
      <c r="AI612" s="1246"/>
      <c r="AJ612" s="1246"/>
      <c r="AK612" s="1246"/>
      <c r="AL612" s="1246"/>
      <c r="AM612" s="1246"/>
      <c r="AN612" s="1240"/>
      <c r="AO612" s="1240"/>
      <c r="AP612" s="1240"/>
      <c r="AQ612" s="1240"/>
      <c r="AR612" s="1240"/>
      <c r="AS612" s="1240"/>
      <c r="AT612" s="1240"/>
      <c r="AU612" s="1240"/>
      <c r="AV612" s="1240"/>
      <c r="AW612" s="1240"/>
      <c r="AX612" s="1240"/>
      <c r="AY612" s="1240"/>
    </row>
    <row r="613" spans="1:51" ht="28.9" customHeight="1" x14ac:dyDescent="0.25">
      <c r="A613" s="1189"/>
      <c r="B613" s="1018"/>
      <c r="C613" s="1379"/>
      <c r="D613" s="164" t="s">
        <v>346</v>
      </c>
      <c r="E613" s="1225"/>
      <c r="F613" s="1225"/>
      <c r="G613" s="1026"/>
      <c r="H613" s="1020"/>
      <c r="I613" s="1026"/>
      <c r="J613" s="1026"/>
      <c r="K613" s="1026"/>
      <c r="L613" s="1026"/>
      <c r="M613" s="1026"/>
      <c r="N613" s="1026"/>
      <c r="O613" s="1026"/>
      <c r="P613" s="1026"/>
      <c r="Q613" s="1026"/>
      <c r="R613" s="1026"/>
      <c r="S613" s="1006"/>
      <c r="T613" s="1026"/>
      <c r="U613" s="1020"/>
      <c r="V613" s="1026"/>
      <c r="W613" s="1026"/>
      <c r="X613" s="1026"/>
      <c r="Y613" s="1026"/>
      <c r="Z613" s="1026"/>
      <c r="AA613" s="1225"/>
      <c r="AB613" s="1026"/>
      <c r="AC613" s="1026"/>
      <c r="AD613" s="1026"/>
      <c r="AE613" s="1026"/>
      <c r="AF613" s="1356"/>
      <c r="AG613" s="1245"/>
      <c r="AH613" s="1246"/>
      <c r="AI613" s="1246"/>
      <c r="AJ613" s="1246"/>
      <c r="AK613" s="1246"/>
      <c r="AL613" s="1246"/>
      <c r="AM613" s="1246"/>
      <c r="AN613" s="1240"/>
      <c r="AO613" s="1240"/>
      <c r="AP613" s="1240"/>
      <c r="AQ613" s="1240"/>
      <c r="AR613" s="1240"/>
      <c r="AS613" s="1240"/>
      <c r="AT613" s="1240"/>
      <c r="AU613" s="1240"/>
      <c r="AV613" s="1240"/>
      <c r="AW613" s="1240"/>
      <c r="AX613" s="1240"/>
      <c r="AY613" s="1240"/>
    </row>
    <row r="614" spans="1:51" ht="28.9" customHeight="1" x14ac:dyDescent="0.25">
      <c r="A614" s="1189"/>
      <c r="B614" s="1018"/>
      <c r="C614" s="1379"/>
      <c r="D614" s="165" t="s">
        <v>347</v>
      </c>
      <c r="E614" s="1225"/>
      <c r="F614" s="1225"/>
      <c r="G614" s="1026"/>
      <c r="H614" s="1020"/>
      <c r="I614" s="1020"/>
      <c r="J614" s="1026"/>
      <c r="K614" s="1340"/>
      <c r="L614" s="1026"/>
      <c r="M614" s="1026"/>
      <c r="N614" s="1026"/>
      <c r="O614" s="1026"/>
      <c r="P614" s="1026"/>
      <c r="Q614" s="1026"/>
      <c r="R614" s="1026"/>
      <c r="S614" s="1006"/>
      <c r="T614" s="1026"/>
      <c r="U614" s="1020"/>
      <c r="V614" s="1026"/>
      <c r="W614" s="1026"/>
      <c r="X614" s="1026"/>
      <c r="Y614" s="1026"/>
      <c r="Z614" s="1026"/>
      <c r="AA614" s="1225"/>
      <c r="AB614" s="1026"/>
      <c r="AC614" s="1026"/>
      <c r="AD614" s="1026"/>
      <c r="AE614" s="1026"/>
      <c r="AF614" s="1356"/>
      <c r="AG614" s="1245"/>
      <c r="AH614" s="1246"/>
      <c r="AI614" s="1246"/>
      <c r="AJ614" s="1246"/>
      <c r="AK614" s="1246"/>
      <c r="AL614" s="1246"/>
      <c r="AM614" s="1246"/>
      <c r="AN614" s="1240"/>
      <c r="AO614" s="1240"/>
      <c r="AP614" s="1240"/>
      <c r="AQ614" s="1240"/>
      <c r="AR614" s="1240"/>
      <c r="AS614" s="1240"/>
      <c r="AT614" s="1240"/>
      <c r="AU614" s="1240"/>
      <c r="AV614" s="1240"/>
      <c r="AW614" s="1240"/>
      <c r="AX614" s="1240"/>
      <c r="AY614" s="1240"/>
    </row>
    <row r="615" spans="1:51" ht="28.9" customHeight="1" x14ac:dyDescent="0.25">
      <c r="A615" s="1189"/>
      <c r="B615" s="1018"/>
      <c r="C615" s="1169"/>
      <c r="D615" s="164" t="s">
        <v>348</v>
      </c>
      <c r="E615" s="1225"/>
      <c r="F615" s="1225"/>
      <c r="G615" s="1026"/>
      <c r="H615" s="1020"/>
      <c r="I615" s="1020"/>
      <c r="J615" s="1020"/>
      <c r="K615" s="1026"/>
      <c r="L615" s="1020"/>
      <c r="M615" s="1026"/>
      <c r="N615" s="1026"/>
      <c r="O615" s="1026"/>
      <c r="P615" s="1026"/>
      <c r="Q615" s="1026"/>
      <c r="R615" s="1026"/>
      <c r="S615" s="1006"/>
      <c r="T615" s="1026"/>
      <c r="U615" s="1020"/>
      <c r="V615" s="1026"/>
      <c r="W615" s="1026"/>
      <c r="X615" s="1026"/>
      <c r="Y615" s="1026"/>
      <c r="Z615" s="1026"/>
      <c r="AA615" s="1225"/>
      <c r="AB615" s="1026"/>
      <c r="AC615" s="1026"/>
      <c r="AD615" s="1026"/>
      <c r="AE615" s="1026"/>
      <c r="AF615" s="1357"/>
      <c r="AG615" s="1248"/>
      <c r="AH615" s="1249"/>
      <c r="AI615" s="1249"/>
      <c r="AJ615" s="1249"/>
      <c r="AK615" s="1249"/>
      <c r="AL615" s="1249"/>
      <c r="AM615" s="1249"/>
      <c r="AN615" s="1241"/>
      <c r="AO615" s="1241"/>
      <c r="AP615" s="1241"/>
      <c r="AQ615" s="1241"/>
      <c r="AR615" s="1241"/>
      <c r="AS615" s="1241"/>
      <c r="AT615" s="1241"/>
      <c r="AU615" s="1241"/>
      <c r="AV615" s="1241"/>
      <c r="AW615" s="1241"/>
      <c r="AX615" s="1241"/>
      <c r="AY615" s="1241"/>
    </row>
    <row r="616" spans="1:51" ht="19.149999999999999" customHeight="1" x14ac:dyDescent="0.25">
      <c r="A616" s="1189"/>
      <c r="B616" s="1018"/>
      <c r="C616" s="1378" t="s">
        <v>537</v>
      </c>
      <c r="D616" s="161" t="s">
        <v>340</v>
      </c>
      <c r="E616" s="1225"/>
      <c r="F616" s="1225"/>
      <c r="G616" s="1026"/>
      <c r="H616" s="1026"/>
      <c r="I616" s="1026"/>
      <c r="J616" s="1026"/>
      <c r="K616" s="1340"/>
      <c r="L616" s="1026"/>
      <c r="M616" s="1026"/>
      <c r="N616" s="1225"/>
      <c r="O616" s="1026"/>
      <c r="P616" s="1026"/>
      <c r="Q616" s="1026"/>
      <c r="R616" s="1026"/>
      <c r="S616" s="1006"/>
      <c r="T616" s="1006"/>
      <c r="U616" s="1026"/>
      <c r="V616" s="1026"/>
      <c r="W616" s="1026"/>
      <c r="X616" s="1026"/>
      <c r="Y616" s="1026"/>
      <c r="Z616" s="1026"/>
      <c r="AA616" s="1225"/>
      <c r="AB616" s="1026"/>
      <c r="AC616" s="1026"/>
      <c r="AD616" s="1026"/>
      <c r="AE616" s="1026"/>
      <c r="AF616" s="1329"/>
      <c r="AG616" s="1242" t="s">
        <v>659</v>
      </c>
      <c r="AH616" s="1243" t="s">
        <v>660</v>
      </c>
      <c r="AI616" s="1243" t="s">
        <v>661</v>
      </c>
      <c r="AJ616" s="1243" t="s">
        <v>645</v>
      </c>
      <c r="AK616" s="1244" t="s">
        <v>457</v>
      </c>
      <c r="AL616" s="1243" t="s">
        <v>610</v>
      </c>
      <c r="AM616" s="1243" t="s">
        <v>603</v>
      </c>
      <c r="AN616" s="1243">
        <v>156268</v>
      </c>
      <c r="AO616" s="1243">
        <v>77967</v>
      </c>
      <c r="AP616" s="1257">
        <v>78301</v>
      </c>
      <c r="AQ616" s="1072" t="s">
        <v>459</v>
      </c>
      <c r="AR616" s="1072" t="s">
        <v>459</v>
      </c>
      <c r="AS616" s="1072" t="s">
        <v>459</v>
      </c>
      <c r="AT616" s="1072" t="s">
        <v>459</v>
      </c>
      <c r="AU616" s="1072" t="s">
        <v>459</v>
      </c>
      <c r="AV616" s="1072" t="s">
        <v>459</v>
      </c>
      <c r="AW616" s="1072" t="s">
        <v>459</v>
      </c>
      <c r="AX616" s="1243">
        <v>156268</v>
      </c>
      <c r="AY616" s="1072" t="s">
        <v>636</v>
      </c>
    </row>
    <row r="617" spans="1:51" ht="19.149999999999999" customHeight="1" x14ac:dyDescent="0.25">
      <c r="A617" s="1189"/>
      <c r="B617" s="1018"/>
      <c r="C617" s="1379"/>
      <c r="D617" s="164" t="s">
        <v>343</v>
      </c>
      <c r="E617" s="1225"/>
      <c r="F617" s="1225"/>
      <c r="G617" s="1026"/>
      <c r="H617" s="1026"/>
      <c r="I617" s="1026"/>
      <c r="J617" s="1026"/>
      <c r="K617" s="1225"/>
      <c r="L617" s="1225"/>
      <c r="M617" s="1225"/>
      <c r="N617" s="1225"/>
      <c r="O617" s="1225"/>
      <c r="P617" s="1225"/>
      <c r="Q617" s="1225"/>
      <c r="R617" s="1225"/>
      <c r="S617" s="1006"/>
      <c r="T617" s="1006"/>
      <c r="U617" s="1026"/>
      <c r="V617" s="1026"/>
      <c r="W617" s="1026"/>
      <c r="X617" s="1026"/>
      <c r="Y617" s="1026"/>
      <c r="Z617" s="1026"/>
      <c r="AA617" s="1225"/>
      <c r="AB617" s="1026"/>
      <c r="AC617" s="1026"/>
      <c r="AD617" s="1026"/>
      <c r="AE617" s="1026"/>
      <c r="AF617" s="1356"/>
      <c r="AG617" s="1245"/>
      <c r="AH617" s="1246"/>
      <c r="AI617" s="1246"/>
      <c r="AJ617" s="1246"/>
      <c r="AK617" s="1247"/>
      <c r="AL617" s="1246"/>
      <c r="AM617" s="1246"/>
      <c r="AN617" s="1240"/>
      <c r="AO617" s="1240"/>
      <c r="AP617" s="1240"/>
      <c r="AQ617" s="1240"/>
      <c r="AR617" s="1240"/>
      <c r="AS617" s="1240"/>
      <c r="AT617" s="1240"/>
      <c r="AU617" s="1240"/>
      <c r="AV617" s="1240"/>
      <c r="AW617" s="1240"/>
      <c r="AX617" s="1240"/>
      <c r="AY617" s="1240"/>
    </row>
    <row r="618" spans="1:51" ht="28.9" customHeight="1" x14ac:dyDescent="0.25">
      <c r="A618" s="1189"/>
      <c r="B618" s="1018"/>
      <c r="C618" s="1379"/>
      <c r="D618" s="165" t="s">
        <v>345</v>
      </c>
      <c r="E618" s="1225"/>
      <c r="F618" s="1225"/>
      <c r="G618" s="1026"/>
      <c r="H618" s="1026"/>
      <c r="I618" s="1026"/>
      <c r="J618" s="1026"/>
      <c r="K618" s="1340"/>
      <c r="L618" s="1026"/>
      <c r="M618" s="1026"/>
      <c r="N618" s="1225"/>
      <c r="O618" s="1026"/>
      <c r="P618" s="1026"/>
      <c r="Q618" s="1026"/>
      <c r="R618" s="1026"/>
      <c r="S618" s="1006"/>
      <c r="T618" s="1006"/>
      <c r="U618" s="1026"/>
      <c r="V618" s="1026"/>
      <c r="W618" s="1026"/>
      <c r="X618" s="1026"/>
      <c r="Y618" s="1026"/>
      <c r="Z618" s="1026"/>
      <c r="AA618" s="1225"/>
      <c r="AB618" s="1026"/>
      <c r="AC618" s="1026"/>
      <c r="AD618" s="1026"/>
      <c r="AE618" s="1026"/>
      <c r="AF618" s="1356"/>
      <c r="AG618" s="1245"/>
      <c r="AH618" s="1246"/>
      <c r="AI618" s="1246"/>
      <c r="AJ618" s="1246"/>
      <c r="AK618" s="1247"/>
      <c r="AL618" s="1246"/>
      <c r="AM618" s="1246"/>
      <c r="AN618" s="1240"/>
      <c r="AO618" s="1240"/>
      <c r="AP618" s="1240"/>
      <c r="AQ618" s="1240"/>
      <c r="AR618" s="1240"/>
      <c r="AS618" s="1240"/>
      <c r="AT618" s="1240"/>
      <c r="AU618" s="1240"/>
      <c r="AV618" s="1240"/>
      <c r="AW618" s="1240"/>
      <c r="AX618" s="1240"/>
      <c r="AY618" s="1240"/>
    </row>
    <row r="619" spans="1:51" ht="28.9" customHeight="1" x14ac:dyDescent="0.25">
      <c r="A619" s="1189"/>
      <c r="B619" s="1018"/>
      <c r="C619" s="1379"/>
      <c r="D619" s="164" t="s">
        <v>346</v>
      </c>
      <c r="E619" s="1225"/>
      <c r="F619" s="1225"/>
      <c r="G619" s="1026"/>
      <c r="H619" s="1026"/>
      <c r="I619" s="1026"/>
      <c r="J619" s="1026"/>
      <c r="K619" s="1340"/>
      <c r="L619" s="1026"/>
      <c r="M619" s="1026"/>
      <c r="N619" s="1026"/>
      <c r="O619" s="1026"/>
      <c r="P619" s="1026"/>
      <c r="Q619" s="1026"/>
      <c r="R619" s="1026"/>
      <c r="S619" s="1006"/>
      <c r="T619" s="1006"/>
      <c r="U619" s="1026"/>
      <c r="V619" s="1026"/>
      <c r="W619" s="1026"/>
      <c r="X619" s="1026"/>
      <c r="Y619" s="1026"/>
      <c r="Z619" s="1026"/>
      <c r="AA619" s="1225"/>
      <c r="AB619" s="1026"/>
      <c r="AC619" s="1026"/>
      <c r="AD619" s="1026"/>
      <c r="AE619" s="1026"/>
      <c r="AF619" s="1356"/>
      <c r="AG619" s="1245"/>
      <c r="AH619" s="1246"/>
      <c r="AI619" s="1246"/>
      <c r="AJ619" s="1246"/>
      <c r="AK619" s="1247"/>
      <c r="AL619" s="1246"/>
      <c r="AM619" s="1246"/>
      <c r="AN619" s="1240"/>
      <c r="AO619" s="1240"/>
      <c r="AP619" s="1240"/>
      <c r="AQ619" s="1240"/>
      <c r="AR619" s="1240"/>
      <c r="AS619" s="1240"/>
      <c r="AT619" s="1240"/>
      <c r="AU619" s="1240"/>
      <c r="AV619" s="1240"/>
      <c r="AW619" s="1240"/>
      <c r="AX619" s="1240"/>
      <c r="AY619" s="1240"/>
    </row>
    <row r="620" spans="1:51" ht="28.9" customHeight="1" x14ac:dyDescent="0.25">
      <c r="A620" s="1189"/>
      <c r="B620" s="1018"/>
      <c r="C620" s="1379"/>
      <c r="D620" s="165" t="s">
        <v>347</v>
      </c>
      <c r="E620" s="1225"/>
      <c r="F620" s="1225"/>
      <c r="G620" s="1026"/>
      <c r="H620" s="1026"/>
      <c r="I620" s="1026"/>
      <c r="J620" s="1026"/>
      <c r="K620" s="1340"/>
      <c r="L620" s="1026"/>
      <c r="M620" s="1026"/>
      <c r="N620" s="1225"/>
      <c r="O620" s="1225"/>
      <c r="P620" s="1026"/>
      <c r="Q620" s="1026"/>
      <c r="R620" s="1026"/>
      <c r="S620" s="1006"/>
      <c r="T620" s="1006"/>
      <c r="U620" s="1026"/>
      <c r="V620" s="1026"/>
      <c r="W620" s="1026"/>
      <c r="X620" s="1026"/>
      <c r="Y620" s="1026"/>
      <c r="Z620" s="1026"/>
      <c r="AA620" s="1225"/>
      <c r="AB620" s="1026"/>
      <c r="AC620" s="1026"/>
      <c r="AD620" s="1026"/>
      <c r="AE620" s="1026"/>
      <c r="AF620" s="1356"/>
      <c r="AG620" s="1245"/>
      <c r="AH620" s="1246"/>
      <c r="AI620" s="1246"/>
      <c r="AJ620" s="1246"/>
      <c r="AK620" s="1247"/>
      <c r="AL620" s="1246"/>
      <c r="AM620" s="1246"/>
      <c r="AN620" s="1240"/>
      <c r="AO620" s="1240"/>
      <c r="AP620" s="1240"/>
      <c r="AQ620" s="1240"/>
      <c r="AR620" s="1240"/>
      <c r="AS620" s="1240"/>
      <c r="AT620" s="1240"/>
      <c r="AU620" s="1240"/>
      <c r="AV620" s="1240"/>
      <c r="AW620" s="1240"/>
      <c r="AX620" s="1240"/>
      <c r="AY620" s="1240"/>
    </row>
    <row r="621" spans="1:51" ht="28.9" customHeight="1" x14ac:dyDescent="0.25">
      <c r="A621" s="1189"/>
      <c r="B621" s="1018"/>
      <c r="C621" s="1169"/>
      <c r="D621" s="164" t="s">
        <v>348</v>
      </c>
      <c r="E621" s="1225"/>
      <c r="F621" s="1225"/>
      <c r="G621" s="1026"/>
      <c r="H621" s="1026"/>
      <c r="I621" s="1026"/>
      <c r="J621" s="1026"/>
      <c r="K621" s="1026"/>
      <c r="L621" s="1020"/>
      <c r="M621" s="1026"/>
      <c r="N621" s="1026"/>
      <c r="O621" s="1026"/>
      <c r="P621" s="1026"/>
      <c r="Q621" s="1026"/>
      <c r="R621" s="1026"/>
      <c r="S621" s="1006"/>
      <c r="T621" s="1006"/>
      <c r="U621" s="1026"/>
      <c r="V621" s="1026"/>
      <c r="W621" s="1026"/>
      <c r="X621" s="1026"/>
      <c r="Y621" s="1026"/>
      <c r="Z621" s="1026"/>
      <c r="AA621" s="1225"/>
      <c r="AB621" s="1026"/>
      <c r="AC621" s="1026"/>
      <c r="AD621" s="1026"/>
      <c r="AE621" s="1026"/>
      <c r="AF621" s="1357"/>
      <c r="AG621" s="1248"/>
      <c r="AH621" s="1249"/>
      <c r="AI621" s="1249"/>
      <c r="AJ621" s="1249"/>
      <c r="AK621" s="1250"/>
      <c r="AL621" s="1249"/>
      <c r="AM621" s="1249"/>
      <c r="AN621" s="1241"/>
      <c r="AO621" s="1241"/>
      <c r="AP621" s="1241"/>
      <c r="AQ621" s="1241"/>
      <c r="AR621" s="1241"/>
      <c r="AS621" s="1241"/>
      <c r="AT621" s="1241"/>
      <c r="AU621" s="1241"/>
      <c r="AV621" s="1241"/>
      <c r="AW621" s="1241"/>
      <c r="AX621" s="1241"/>
      <c r="AY621" s="1241"/>
    </row>
    <row r="622" spans="1:51" ht="18.75" customHeight="1" x14ac:dyDescent="0.25">
      <c r="A622" s="1204"/>
      <c r="B622" s="1073"/>
      <c r="C622" s="1381" t="s">
        <v>494</v>
      </c>
      <c r="D622" s="570" t="s">
        <v>340</v>
      </c>
      <c r="E622" s="1225"/>
      <c r="F622" s="1225"/>
      <c r="G622" s="1026"/>
      <c r="H622" s="1026"/>
      <c r="I622" s="1026"/>
      <c r="J622" s="1026"/>
      <c r="K622" s="1340"/>
      <c r="L622" s="1026"/>
      <c r="M622" s="1026"/>
      <c r="N622" s="1026"/>
      <c r="O622" s="1026"/>
      <c r="P622" s="1026"/>
      <c r="Q622" s="1026"/>
      <c r="R622" s="1026"/>
      <c r="S622" s="1006"/>
      <c r="T622" s="1006"/>
      <c r="U622" s="1006"/>
      <c r="V622" s="1026"/>
      <c r="W622" s="1026"/>
      <c r="X622" s="1026"/>
      <c r="Y622" s="1026"/>
      <c r="Z622" s="1026"/>
      <c r="AA622" s="1225"/>
      <c r="AB622" s="1026"/>
      <c r="AC622" s="1026"/>
      <c r="AD622" s="1026"/>
      <c r="AE622" s="1353"/>
      <c r="AF622" s="1358"/>
      <c r="AG622" s="1258" t="s">
        <v>662</v>
      </c>
      <c r="AH622" s="1243" t="s">
        <v>178</v>
      </c>
      <c r="AI622" s="1243" t="s">
        <v>178</v>
      </c>
      <c r="AJ622" s="1243" t="s">
        <v>178</v>
      </c>
      <c r="AK622" s="1244" t="s">
        <v>457</v>
      </c>
      <c r="AL622" s="1243" t="s">
        <v>610</v>
      </c>
      <c r="AM622" s="1243" t="s">
        <v>603</v>
      </c>
      <c r="AN622" s="1243">
        <v>165438</v>
      </c>
      <c r="AO622" s="1257">
        <v>68105</v>
      </c>
      <c r="AP622" s="1257">
        <v>97333</v>
      </c>
      <c r="AQ622" s="1072" t="s">
        <v>459</v>
      </c>
      <c r="AR622" s="1072" t="s">
        <v>459</v>
      </c>
      <c r="AS622" s="1072" t="s">
        <v>459</v>
      </c>
      <c r="AT622" s="1072" t="s">
        <v>459</v>
      </c>
      <c r="AU622" s="1072" t="s">
        <v>459</v>
      </c>
      <c r="AV622" s="1072" t="s">
        <v>459</v>
      </c>
      <c r="AW622" s="1072" t="s">
        <v>459</v>
      </c>
      <c r="AX622" s="1243">
        <v>165438</v>
      </c>
      <c r="AY622" s="1072" t="s">
        <v>636</v>
      </c>
    </row>
    <row r="623" spans="1:51" ht="18.75" customHeight="1" x14ac:dyDescent="0.25">
      <c r="A623" s="1204"/>
      <c r="B623" s="1073"/>
      <c r="C623" s="1382"/>
      <c r="D623" s="571" t="s">
        <v>343</v>
      </c>
      <c r="E623" s="1225"/>
      <c r="F623" s="1225"/>
      <c r="G623" s="1026"/>
      <c r="H623" s="1026"/>
      <c r="I623" s="1225"/>
      <c r="J623" s="1225"/>
      <c r="K623" s="1225"/>
      <c r="L623" s="1225"/>
      <c r="M623" s="1225"/>
      <c r="N623" s="1225"/>
      <c r="O623" s="1225"/>
      <c r="P623" s="1225"/>
      <c r="Q623" s="1225"/>
      <c r="R623" s="1225"/>
      <c r="S623" s="1006"/>
      <c r="T623" s="1006"/>
      <c r="U623" s="1006"/>
      <c r="V623" s="1026"/>
      <c r="W623" s="1026"/>
      <c r="X623" s="1026"/>
      <c r="Y623" s="1026"/>
      <c r="Z623" s="1026"/>
      <c r="AA623" s="1225"/>
      <c r="AB623" s="1026"/>
      <c r="AC623" s="1026"/>
      <c r="AD623" s="1026"/>
      <c r="AE623" s="1353"/>
      <c r="AF623" s="1259"/>
      <c r="AG623" s="1260"/>
      <c r="AH623" s="1240"/>
      <c r="AI623" s="1240"/>
      <c r="AJ623" s="1240"/>
      <c r="AK623" s="1240"/>
      <c r="AL623" s="1240"/>
      <c r="AM623" s="1240"/>
      <c r="AN623" s="1240"/>
      <c r="AO623" s="1240"/>
      <c r="AP623" s="1240"/>
      <c r="AQ623" s="1240"/>
      <c r="AR623" s="1240"/>
      <c r="AS623" s="1240"/>
      <c r="AT623" s="1240"/>
      <c r="AU623" s="1240"/>
      <c r="AV623" s="1240"/>
      <c r="AW623" s="1240"/>
      <c r="AX623" s="1240"/>
      <c r="AY623" s="1240"/>
    </row>
    <row r="624" spans="1:51" ht="18.75" customHeight="1" x14ac:dyDescent="0.25">
      <c r="A624" s="1204"/>
      <c r="B624" s="1073"/>
      <c r="C624" s="1382"/>
      <c r="D624" s="572" t="s">
        <v>345</v>
      </c>
      <c r="E624" s="1225"/>
      <c r="F624" s="1225"/>
      <c r="G624" s="1026"/>
      <c r="H624" s="1026"/>
      <c r="I624" s="1026"/>
      <c r="J624" s="1026"/>
      <c r="K624" s="1340"/>
      <c r="L624" s="1026"/>
      <c r="M624" s="1026"/>
      <c r="N624" s="1026"/>
      <c r="O624" s="1026"/>
      <c r="P624" s="1026"/>
      <c r="Q624" s="1026"/>
      <c r="R624" s="1026"/>
      <c r="S624" s="1006"/>
      <c r="T624" s="1006"/>
      <c r="U624" s="1006"/>
      <c r="V624" s="1026"/>
      <c r="W624" s="1026"/>
      <c r="X624" s="1026"/>
      <c r="Y624" s="1026"/>
      <c r="Z624" s="1026"/>
      <c r="AA624" s="1225"/>
      <c r="AB624" s="1026"/>
      <c r="AC624" s="1026"/>
      <c r="AD624" s="1026"/>
      <c r="AE624" s="1353"/>
      <c r="AF624" s="1259"/>
      <c r="AG624" s="1260"/>
      <c r="AH624" s="1240"/>
      <c r="AI624" s="1240"/>
      <c r="AJ624" s="1240"/>
      <c r="AK624" s="1240"/>
      <c r="AL624" s="1240"/>
      <c r="AM624" s="1240"/>
      <c r="AN624" s="1240"/>
      <c r="AO624" s="1240"/>
      <c r="AP624" s="1240"/>
      <c r="AQ624" s="1240"/>
      <c r="AR624" s="1240"/>
      <c r="AS624" s="1240"/>
      <c r="AT624" s="1240"/>
      <c r="AU624" s="1240"/>
      <c r="AV624" s="1240"/>
      <c r="AW624" s="1240"/>
      <c r="AX624" s="1240"/>
      <c r="AY624" s="1240"/>
    </row>
    <row r="625" spans="1:51" ht="18.75" customHeight="1" x14ac:dyDescent="0.25">
      <c r="A625" s="1204"/>
      <c r="B625" s="1073"/>
      <c r="C625" s="1382"/>
      <c r="D625" s="571" t="s">
        <v>346</v>
      </c>
      <c r="E625" s="1225"/>
      <c r="F625" s="1225"/>
      <c r="G625" s="1026"/>
      <c r="H625" s="1026"/>
      <c r="I625" s="1026"/>
      <c r="J625" s="1026"/>
      <c r="K625" s="1026"/>
      <c r="L625" s="1026"/>
      <c r="M625" s="1026"/>
      <c r="N625" s="1026"/>
      <c r="O625" s="1026"/>
      <c r="P625" s="1026"/>
      <c r="Q625" s="1026"/>
      <c r="R625" s="1026"/>
      <c r="S625" s="1006"/>
      <c r="T625" s="1006"/>
      <c r="U625" s="1006"/>
      <c r="V625" s="1026"/>
      <c r="W625" s="1026"/>
      <c r="X625" s="1026"/>
      <c r="Y625" s="1026"/>
      <c r="Z625" s="1026"/>
      <c r="AA625" s="1225"/>
      <c r="AB625" s="1026"/>
      <c r="AC625" s="1026"/>
      <c r="AD625" s="1026"/>
      <c r="AE625" s="1353"/>
      <c r="AF625" s="1259"/>
      <c r="AG625" s="1260"/>
      <c r="AH625" s="1240"/>
      <c r="AI625" s="1240"/>
      <c r="AJ625" s="1240"/>
      <c r="AK625" s="1240"/>
      <c r="AL625" s="1240"/>
      <c r="AM625" s="1240"/>
      <c r="AN625" s="1240"/>
      <c r="AO625" s="1240"/>
      <c r="AP625" s="1240"/>
      <c r="AQ625" s="1240"/>
      <c r="AR625" s="1240"/>
      <c r="AS625" s="1240"/>
      <c r="AT625" s="1240"/>
      <c r="AU625" s="1240"/>
      <c r="AV625" s="1240"/>
      <c r="AW625" s="1240"/>
      <c r="AX625" s="1240"/>
      <c r="AY625" s="1240"/>
    </row>
    <row r="626" spans="1:51" ht="18.75" customHeight="1" x14ac:dyDescent="0.25">
      <c r="A626" s="1204"/>
      <c r="B626" s="1073"/>
      <c r="C626" s="1382"/>
      <c r="D626" s="572" t="s">
        <v>347</v>
      </c>
      <c r="E626" s="1225"/>
      <c r="F626" s="1225"/>
      <c r="G626" s="1026"/>
      <c r="H626" s="1026"/>
      <c r="I626" s="1026"/>
      <c r="J626" s="1026"/>
      <c r="K626" s="1340"/>
      <c r="L626" s="1026"/>
      <c r="M626" s="1026"/>
      <c r="N626" s="1026"/>
      <c r="O626" s="1026"/>
      <c r="P626" s="1026"/>
      <c r="Q626" s="1026"/>
      <c r="R626" s="1026"/>
      <c r="S626" s="1006"/>
      <c r="T626" s="1006"/>
      <c r="U626" s="1006"/>
      <c r="V626" s="1026"/>
      <c r="W626" s="1026"/>
      <c r="X626" s="1026"/>
      <c r="Y626" s="1026"/>
      <c r="Z626" s="1026"/>
      <c r="AA626" s="1225"/>
      <c r="AB626" s="1026"/>
      <c r="AC626" s="1026"/>
      <c r="AD626" s="1026"/>
      <c r="AE626" s="1353"/>
      <c r="AF626" s="1259"/>
      <c r="AG626" s="1260"/>
      <c r="AH626" s="1240"/>
      <c r="AI626" s="1240"/>
      <c r="AJ626" s="1240"/>
      <c r="AK626" s="1240"/>
      <c r="AL626" s="1240"/>
      <c r="AM626" s="1240"/>
      <c r="AN626" s="1240"/>
      <c r="AO626" s="1240"/>
      <c r="AP626" s="1240"/>
      <c r="AQ626" s="1240"/>
      <c r="AR626" s="1240"/>
      <c r="AS626" s="1240"/>
      <c r="AT626" s="1240"/>
      <c r="AU626" s="1240"/>
      <c r="AV626" s="1240"/>
      <c r="AW626" s="1240"/>
      <c r="AX626" s="1240"/>
      <c r="AY626" s="1240"/>
    </row>
    <row r="627" spans="1:51" ht="18.75" customHeight="1" x14ac:dyDescent="0.25">
      <c r="A627" s="1204"/>
      <c r="B627" s="1073"/>
      <c r="C627" s="1383"/>
      <c r="D627" s="571" t="s">
        <v>348</v>
      </c>
      <c r="E627" s="1225"/>
      <c r="F627" s="1225"/>
      <c r="G627" s="1026"/>
      <c r="H627" s="1026"/>
      <c r="I627" s="1020"/>
      <c r="J627" s="1020"/>
      <c r="K627" s="1026"/>
      <c r="L627" s="1020"/>
      <c r="M627" s="1026"/>
      <c r="N627" s="1026"/>
      <c r="O627" s="1026"/>
      <c r="P627" s="1026"/>
      <c r="Q627" s="1026"/>
      <c r="R627" s="1026"/>
      <c r="S627" s="1006"/>
      <c r="T627" s="1006"/>
      <c r="U627" s="1006"/>
      <c r="V627" s="1026"/>
      <c r="W627" s="1026"/>
      <c r="X627" s="1026"/>
      <c r="Y627" s="1026"/>
      <c r="Z627" s="1026"/>
      <c r="AA627" s="1225"/>
      <c r="AB627" s="1026"/>
      <c r="AC627" s="1026"/>
      <c r="AD627" s="1026"/>
      <c r="AE627" s="1353"/>
      <c r="AF627" s="1261"/>
      <c r="AG627" s="1262"/>
      <c r="AH627" s="1241"/>
      <c r="AI627" s="1241"/>
      <c r="AJ627" s="1241"/>
      <c r="AK627" s="1241"/>
      <c r="AL627" s="1241"/>
      <c r="AM627" s="1241"/>
      <c r="AN627" s="1241"/>
      <c r="AO627" s="1241"/>
      <c r="AP627" s="1241"/>
      <c r="AQ627" s="1241"/>
      <c r="AR627" s="1241"/>
      <c r="AS627" s="1241"/>
      <c r="AT627" s="1241"/>
      <c r="AU627" s="1241"/>
      <c r="AV627" s="1241"/>
      <c r="AW627" s="1241"/>
      <c r="AX627" s="1241"/>
      <c r="AY627" s="1241"/>
    </row>
    <row r="628" spans="1:51" ht="19.149999999999999" customHeight="1" x14ac:dyDescent="0.25">
      <c r="A628" s="1189"/>
      <c r="B628" s="1018"/>
      <c r="C628" s="1378" t="s">
        <v>498</v>
      </c>
      <c r="D628" s="161" t="s">
        <v>340</v>
      </c>
      <c r="E628" s="1225"/>
      <c r="F628" s="1225"/>
      <c r="G628" s="1026"/>
      <c r="H628" s="1026"/>
      <c r="I628" s="1026"/>
      <c r="J628" s="1026"/>
      <c r="K628" s="1340"/>
      <c r="L628" s="1026"/>
      <c r="M628" s="1026"/>
      <c r="N628" s="1026"/>
      <c r="O628" s="1026"/>
      <c r="P628" s="1026"/>
      <c r="Q628" s="1026"/>
      <c r="R628" s="1026"/>
      <c r="S628" s="1006"/>
      <c r="T628" s="1006"/>
      <c r="U628" s="1006"/>
      <c r="V628" s="1026"/>
      <c r="W628" s="1026"/>
      <c r="X628" s="1026"/>
      <c r="Y628" s="1026"/>
      <c r="Z628" s="1026"/>
      <c r="AA628" s="1225"/>
      <c r="AB628" s="1026"/>
      <c r="AC628" s="1026"/>
      <c r="AD628" s="1026"/>
      <c r="AE628" s="1026"/>
      <c r="AF628" s="1347"/>
      <c r="AG628" s="1242" t="s">
        <v>662</v>
      </c>
      <c r="AH628" s="1243" t="s">
        <v>663</v>
      </c>
      <c r="AI628" s="1243" t="s">
        <v>664</v>
      </c>
      <c r="AJ628" s="1243" t="s">
        <v>645</v>
      </c>
      <c r="AK628" s="1244" t="s">
        <v>457</v>
      </c>
      <c r="AL628" s="1243" t="s">
        <v>610</v>
      </c>
      <c r="AM628" s="1243" t="s">
        <v>603</v>
      </c>
      <c r="AN628" s="1243">
        <v>83001</v>
      </c>
      <c r="AO628" s="1257">
        <v>33755</v>
      </c>
      <c r="AP628" s="1257">
        <v>49246</v>
      </c>
      <c r="AQ628" s="1072" t="s">
        <v>459</v>
      </c>
      <c r="AR628" s="1072" t="s">
        <v>459</v>
      </c>
      <c r="AS628" s="1072" t="s">
        <v>459</v>
      </c>
      <c r="AT628" s="1072" t="s">
        <v>459</v>
      </c>
      <c r="AU628" s="1072" t="s">
        <v>459</v>
      </c>
      <c r="AV628" s="1072" t="s">
        <v>459</v>
      </c>
      <c r="AW628" s="1072" t="s">
        <v>459</v>
      </c>
      <c r="AX628" s="1243">
        <v>83001</v>
      </c>
      <c r="AY628" s="1072" t="s">
        <v>665</v>
      </c>
    </row>
    <row r="629" spans="1:51" ht="19.149999999999999" customHeight="1" x14ac:dyDescent="0.25">
      <c r="A629" s="1189"/>
      <c r="B629" s="1018"/>
      <c r="C629" s="1379"/>
      <c r="D629" s="164" t="s">
        <v>343</v>
      </c>
      <c r="E629" s="1225"/>
      <c r="F629" s="1225"/>
      <c r="G629" s="1026"/>
      <c r="H629" s="1026"/>
      <c r="I629" s="1225"/>
      <c r="J629" s="1225"/>
      <c r="K629" s="1225"/>
      <c r="L629" s="1225"/>
      <c r="M629" s="1225"/>
      <c r="N629" s="1225"/>
      <c r="O629" s="1225"/>
      <c r="P629" s="1225"/>
      <c r="Q629" s="1225"/>
      <c r="R629" s="1225"/>
      <c r="S629" s="1006"/>
      <c r="T629" s="1006"/>
      <c r="U629" s="1006"/>
      <c r="V629" s="1026"/>
      <c r="W629" s="1026"/>
      <c r="X629" s="1026"/>
      <c r="Y629" s="1026"/>
      <c r="Z629" s="1026"/>
      <c r="AA629" s="1225"/>
      <c r="AB629" s="1026"/>
      <c r="AC629" s="1026"/>
      <c r="AD629" s="1026"/>
      <c r="AE629" s="1026"/>
      <c r="AF629" s="1230"/>
      <c r="AG629" s="1245"/>
      <c r="AH629" s="1246"/>
      <c r="AI629" s="1246"/>
      <c r="AJ629" s="1246"/>
      <c r="AK629" s="1247"/>
      <c r="AL629" s="1246"/>
      <c r="AM629" s="1246"/>
      <c r="AN629" s="1240"/>
      <c r="AO629" s="1240"/>
      <c r="AP629" s="1240"/>
      <c r="AQ629" s="1240"/>
      <c r="AR629" s="1240"/>
      <c r="AS629" s="1240"/>
      <c r="AT629" s="1240"/>
      <c r="AU629" s="1240"/>
      <c r="AV629" s="1240"/>
      <c r="AW629" s="1240"/>
      <c r="AX629" s="1240"/>
      <c r="AY629" s="1240"/>
    </row>
    <row r="630" spans="1:51" ht="28.9" customHeight="1" x14ac:dyDescent="0.25">
      <c r="A630" s="1189"/>
      <c r="B630" s="1018"/>
      <c r="C630" s="1379"/>
      <c r="D630" s="165" t="s">
        <v>345</v>
      </c>
      <c r="E630" s="1225"/>
      <c r="F630" s="1225"/>
      <c r="G630" s="1026"/>
      <c r="H630" s="1026"/>
      <c r="I630" s="1026"/>
      <c r="J630" s="1026"/>
      <c r="K630" s="1340"/>
      <c r="L630" s="1026"/>
      <c r="M630" s="1026"/>
      <c r="N630" s="1026"/>
      <c r="O630" s="1026"/>
      <c r="P630" s="1026"/>
      <c r="Q630" s="1026"/>
      <c r="R630" s="1026"/>
      <c r="S630" s="1006"/>
      <c r="T630" s="1006"/>
      <c r="U630" s="1006"/>
      <c r="V630" s="1026"/>
      <c r="W630" s="1026"/>
      <c r="X630" s="1026"/>
      <c r="Y630" s="1026"/>
      <c r="Z630" s="1026"/>
      <c r="AA630" s="1225"/>
      <c r="AB630" s="1026"/>
      <c r="AC630" s="1026"/>
      <c r="AD630" s="1026"/>
      <c r="AE630" s="1026"/>
      <c r="AF630" s="1230"/>
      <c r="AG630" s="1245"/>
      <c r="AH630" s="1246"/>
      <c r="AI630" s="1246"/>
      <c r="AJ630" s="1246"/>
      <c r="AK630" s="1247"/>
      <c r="AL630" s="1246"/>
      <c r="AM630" s="1246"/>
      <c r="AN630" s="1240"/>
      <c r="AO630" s="1240"/>
      <c r="AP630" s="1240"/>
      <c r="AQ630" s="1240"/>
      <c r="AR630" s="1240"/>
      <c r="AS630" s="1240"/>
      <c r="AT630" s="1240"/>
      <c r="AU630" s="1240"/>
      <c r="AV630" s="1240"/>
      <c r="AW630" s="1240"/>
      <c r="AX630" s="1240"/>
      <c r="AY630" s="1240"/>
    </row>
    <row r="631" spans="1:51" ht="28.9" customHeight="1" x14ac:dyDescent="0.25">
      <c r="A631" s="1189"/>
      <c r="B631" s="1018"/>
      <c r="C631" s="1379"/>
      <c r="D631" s="164" t="s">
        <v>346</v>
      </c>
      <c r="E631" s="1225"/>
      <c r="F631" s="1225"/>
      <c r="G631" s="1026"/>
      <c r="H631" s="1026"/>
      <c r="I631" s="1026"/>
      <c r="J631" s="1026"/>
      <c r="K631" s="1026"/>
      <c r="L631" s="1026"/>
      <c r="M631" s="1026"/>
      <c r="N631" s="1026"/>
      <c r="O631" s="1026"/>
      <c r="P631" s="1026"/>
      <c r="Q631" s="1026"/>
      <c r="R631" s="1026"/>
      <c r="S631" s="1006"/>
      <c r="T631" s="1006"/>
      <c r="U631" s="1006"/>
      <c r="V631" s="1026"/>
      <c r="W631" s="1026"/>
      <c r="X631" s="1026"/>
      <c r="Y631" s="1026"/>
      <c r="Z631" s="1026"/>
      <c r="AA631" s="1225"/>
      <c r="AB631" s="1026"/>
      <c r="AC631" s="1026"/>
      <c r="AD631" s="1026"/>
      <c r="AE631" s="1026"/>
      <c r="AF631" s="1230"/>
      <c r="AG631" s="1245"/>
      <c r="AH631" s="1246"/>
      <c r="AI631" s="1246"/>
      <c r="AJ631" s="1246"/>
      <c r="AK631" s="1247"/>
      <c r="AL631" s="1246"/>
      <c r="AM631" s="1246"/>
      <c r="AN631" s="1240"/>
      <c r="AO631" s="1240"/>
      <c r="AP631" s="1240"/>
      <c r="AQ631" s="1240"/>
      <c r="AR631" s="1240"/>
      <c r="AS631" s="1240"/>
      <c r="AT631" s="1240"/>
      <c r="AU631" s="1240"/>
      <c r="AV631" s="1240"/>
      <c r="AW631" s="1240"/>
      <c r="AX631" s="1240"/>
      <c r="AY631" s="1240"/>
    </row>
    <row r="632" spans="1:51" ht="28.9" customHeight="1" x14ac:dyDescent="0.25">
      <c r="A632" s="1189"/>
      <c r="B632" s="1018"/>
      <c r="C632" s="1379"/>
      <c r="D632" s="165" t="s">
        <v>347</v>
      </c>
      <c r="E632" s="1225"/>
      <c r="F632" s="1225"/>
      <c r="G632" s="1026"/>
      <c r="H632" s="1026"/>
      <c r="I632" s="1026"/>
      <c r="J632" s="1026"/>
      <c r="K632" s="1340"/>
      <c r="L632" s="1026"/>
      <c r="M632" s="1026"/>
      <c r="N632" s="1026"/>
      <c r="O632" s="1026"/>
      <c r="P632" s="1026"/>
      <c r="Q632" s="1026"/>
      <c r="R632" s="1026"/>
      <c r="S632" s="1006"/>
      <c r="T632" s="1006"/>
      <c r="U632" s="1006"/>
      <c r="V632" s="1026"/>
      <c r="W632" s="1026"/>
      <c r="X632" s="1026"/>
      <c r="Y632" s="1026"/>
      <c r="Z632" s="1026"/>
      <c r="AA632" s="1225"/>
      <c r="AB632" s="1026"/>
      <c r="AC632" s="1026"/>
      <c r="AD632" s="1026"/>
      <c r="AE632" s="1026"/>
      <c r="AF632" s="1230"/>
      <c r="AG632" s="1245"/>
      <c r="AH632" s="1246"/>
      <c r="AI632" s="1246"/>
      <c r="AJ632" s="1246"/>
      <c r="AK632" s="1247"/>
      <c r="AL632" s="1246"/>
      <c r="AM632" s="1246"/>
      <c r="AN632" s="1240"/>
      <c r="AO632" s="1240"/>
      <c r="AP632" s="1240"/>
      <c r="AQ632" s="1240"/>
      <c r="AR632" s="1240"/>
      <c r="AS632" s="1240"/>
      <c r="AT632" s="1240"/>
      <c r="AU632" s="1240"/>
      <c r="AV632" s="1240"/>
      <c r="AW632" s="1240"/>
      <c r="AX632" s="1240"/>
      <c r="AY632" s="1240"/>
    </row>
    <row r="633" spans="1:51" ht="28.9" customHeight="1" x14ac:dyDescent="0.25">
      <c r="A633" s="1189"/>
      <c r="B633" s="1018"/>
      <c r="C633" s="1169"/>
      <c r="D633" s="164" t="s">
        <v>348</v>
      </c>
      <c r="E633" s="1225"/>
      <c r="F633" s="1225"/>
      <c r="G633" s="1026"/>
      <c r="H633" s="1026"/>
      <c r="I633" s="1020"/>
      <c r="J633" s="1020"/>
      <c r="K633" s="1026"/>
      <c r="L633" s="1020"/>
      <c r="M633" s="1026"/>
      <c r="N633" s="1026"/>
      <c r="O633" s="1026"/>
      <c r="P633" s="1026"/>
      <c r="Q633" s="1026"/>
      <c r="R633" s="1026"/>
      <c r="S633" s="1006"/>
      <c r="T633" s="1006"/>
      <c r="U633" s="1006"/>
      <c r="V633" s="1026"/>
      <c r="W633" s="1026"/>
      <c r="X633" s="1026"/>
      <c r="Y633" s="1026"/>
      <c r="Z633" s="1026"/>
      <c r="AA633" s="1225"/>
      <c r="AB633" s="1026"/>
      <c r="AC633" s="1026"/>
      <c r="AD633" s="1026"/>
      <c r="AE633" s="1026"/>
      <c r="AF633" s="1251"/>
      <c r="AG633" s="1248"/>
      <c r="AH633" s="1249"/>
      <c r="AI633" s="1249"/>
      <c r="AJ633" s="1249"/>
      <c r="AK633" s="1250"/>
      <c r="AL633" s="1249"/>
      <c r="AM633" s="1249"/>
      <c r="AN633" s="1241"/>
      <c r="AO633" s="1241"/>
      <c r="AP633" s="1241"/>
      <c r="AQ633" s="1241"/>
      <c r="AR633" s="1241"/>
      <c r="AS633" s="1241"/>
      <c r="AT633" s="1241"/>
      <c r="AU633" s="1241"/>
      <c r="AV633" s="1241"/>
      <c r="AW633" s="1241"/>
      <c r="AX633" s="1241"/>
      <c r="AY633" s="1241"/>
    </row>
    <row r="634" spans="1:51" ht="19.149999999999999" customHeight="1" x14ac:dyDescent="0.25">
      <c r="A634" s="1189"/>
      <c r="B634" s="1018"/>
      <c r="C634" s="1378" t="s">
        <v>502</v>
      </c>
      <c r="D634" s="161" t="s">
        <v>340</v>
      </c>
      <c r="E634" s="1225"/>
      <c r="F634" s="1225"/>
      <c r="G634" s="1026"/>
      <c r="H634" s="1026"/>
      <c r="I634" s="1020"/>
      <c r="J634" s="1020"/>
      <c r="K634" s="1340"/>
      <c r="L634" s="1020"/>
      <c r="M634" s="1026"/>
      <c r="N634" s="1026"/>
      <c r="O634" s="1026"/>
      <c r="P634" s="1026"/>
      <c r="Q634" s="1026"/>
      <c r="R634" s="1026"/>
      <c r="S634" s="1006"/>
      <c r="T634" s="1006"/>
      <c r="U634" s="1006"/>
      <c r="V634" s="1026"/>
      <c r="W634" s="1026"/>
      <c r="X634" s="1026"/>
      <c r="Y634" s="1026"/>
      <c r="Z634" s="1026"/>
      <c r="AA634" s="1225"/>
      <c r="AB634" s="1026"/>
      <c r="AC634" s="1026"/>
      <c r="AD634" s="1026"/>
      <c r="AE634" s="1026"/>
      <c r="AF634" s="1347"/>
      <c r="AG634" s="1242" t="s">
        <v>666</v>
      </c>
      <c r="AH634" s="1243" t="s">
        <v>667</v>
      </c>
      <c r="AI634" s="1243" t="s">
        <v>668</v>
      </c>
      <c r="AJ634" s="1243" t="s">
        <v>648</v>
      </c>
      <c r="AK634" s="1244" t="s">
        <v>457</v>
      </c>
      <c r="AL634" s="1243" t="s">
        <v>610</v>
      </c>
      <c r="AM634" s="1243" t="s">
        <v>603</v>
      </c>
      <c r="AN634" s="1243">
        <v>84979</v>
      </c>
      <c r="AO634" s="1243">
        <v>39218</v>
      </c>
      <c r="AP634" s="1243">
        <v>45761</v>
      </c>
      <c r="AQ634" s="1072" t="s">
        <v>459</v>
      </c>
      <c r="AR634" s="1072" t="s">
        <v>459</v>
      </c>
      <c r="AS634" s="1072" t="s">
        <v>459</v>
      </c>
      <c r="AT634" s="1072" t="s">
        <v>459</v>
      </c>
      <c r="AU634" s="1072" t="s">
        <v>459</v>
      </c>
      <c r="AV634" s="1072" t="s">
        <v>459</v>
      </c>
      <c r="AW634" s="1072" t="s">
        <v>459</v>
      </c>
      <c r="AX634" s="1243">
        <v>84979</v>
      </c>
      <c r="AY634" s="1072" t="s">
        <v>665</v>
      </c>
    </row>
    <row r="635" spans="1:51" ht="19.149999999999999" customHeight="1" x14ac:dyDescent="0.25">
      <c r="A635" s="1189"/>
      <c r="B635" s="1018"/>
      <c r="C635" s="1379"/>
      <c r="D635" s="164" t="s">
        <v>343</v>
      </c>
      <c r="E635" s="1225"/>
      <c r="F635" s="1225"/>
      <c r="G635" s="1026"/>
      <c r="H635" s="1026"/>
      <c r="I635" s="1020"/>
      <c r="J635" s="1020"/>
      <c r="K635" s="1340"/>
      <c r="L635" s="1020"/>
      <c r="M635" s="1026"/>
      <c r="N635" s="1225"/>
      <c r="O635" s="1225"/>
      <c r="P635" s="1225"/>
      <c r="Q635" s="1225"/>
      <c r="R635" s="1225"/>
      <c r="S635" s="1006"/>
      <c r="T635" s="1006"/>
      <c r="U635" s="1006"/>
      <c r="V635" s="1026"/>
      <c r="W635" s="1026"/>
      <c r="X635" s="1026"/>
      <c r="Y635" s="1026"/>
      <c r="Z635" s="1026"/>
      <c r="AA635" s="1225"/>
      <c r="AB635" s="1026"/>
      <c r="AC635" s="1026"/>
      <c r="AD635" s="1026"/>
      <c r="AE635" s="1026"/>
      <c r="AF635" s="1230"/>
      <c r="AG635" s="1245"/>
      <c r="AH635" s="1246"/>
      <c r="AI635" s="1246"/>
      <c r="AJ635" s="1246"/>
      <c r="AK635" s="1247"/>
      <c r="AL635" s="1246"/>
      <c r="AM635" s="1246"/>
      <c r="AN635" s="1240"/>
      <c r="AO635" s="1240"/>
      <c r="AP635" s="1240"/>
      <c r="AQ635" s="1240"/>
      <c r="AR635" s="1240"/>
      <c r="AS635" s="1240"/>
      <c r="AT635" s="1240"/>
      <c r="AU635" s="1240"/>
      <c r="AV635" s="1240"/>
      <c r="AW635" s="1240"/>
      <c r="AX635" s="1240"/>
      <c r="AY635" s="1240"/>
    </row>
    <row r="636" spans="1:51" ht="28.9" customHeight="1" x14ac:dyDescent="0.25">
      <c r="A636" s="1189"/>
      <c r="B636" s="1018"/>
      <c r="C636" s="1379"/>
      <c r="D636" s="165" t="s">
        <v>345</v>
      </c>
      <c r="E636" s="1225"/>
      <c r="F636" s="1225"/>
      <c r="G636" s="1026"/>
      <c r="H636" s="1026"/>
      <c r="I636" s="1020"/>
      <c r="J636" s="1020"/>
      <c r="K636" s="1340"/>
      <c r="L636" s="1020"/>
      <c r="M636" s="1026"/>
      <c r="N636" s="1026"/>
      <c r="O636" s="1026"/>
      <c r="P636" s="1026"/>
      <c r="Q636" s="1026"/>
      <c r="R636" s="1026"/>
      <c r="S636" s="1006"/>
      <c r="T636" s="1006"/>
      <c r="U636" s="1006"/>
      <c r="V636" s="1026"/>
      <c r="W636" s="1026"/>
      <c r="X636" s="1026"/>
      <c r="Y636" s="1026"/>
      <c r="Z636" s="1026"/>
      <c r="AA636" s="1225"/>
      <c r="AB636" s="1026"/>
      <c r="AC636" s="1026"/>
      <c r="AD636" s="1026"/>
      <c r="AE636" s="1026"/>
      <c r="AF636" s="1230"/>
      <c r="AG636" s="1245"/>
      <c r="AH636" s="1246"/>
      <c r="AI636" s="1246"/>
      <c r="AJ636" s="1246"/>
      <c r="AK636" s="1247"/>
      <c r="AL636" s="1246"/>
      <c r="AM636" s="1246"/>
      <c r="AN636" s="1240"/>
      <c r="AO636" s="1240"/>
      <c r="AP636" s="1240"/>
      <c r="AQ636" s="1240"/>
      <c r="AR636" s="1240"/>
      <c r="AS636" s="1240"/>
      <c r="AT636" s="1240"/>
      <c r="AU636" s="1240"/>
      <c r="AV636" s="1240"/>
      <c r="AW636" s="1240"/>
      <c r="AX636" s="1240"/>
      <c r="AY636" s="1240"/>
    </row>
    <row r="637" spans="1:51" ht="28.9" customHeight="1" x14ac:dyDescent="0.25">
      <c r="A637" s="1189"/>
      <c r="B637" s="1018"/>
      <c r="C637" s="1379"/>
      <c r="D637" s="164" t="s">
        <v>346</v>
      </c>
      <c r="E637" s="1225"/>
      <c r="F637" s="1225"/>
      <c r="G637" s="1026"/>
      <c r="H637" s="1026"/>
      <c r="I637" s="1020"/>
      <c r="J637" s="1020"/>
      <c r="K637" s="1340"/>
      <c r="L637" s="1020"/>
      <c r="M637" s="1026"/>
      <c r="N637" s="1026"/>
      <c r="O637" s="1026"/>
      <c r="P637" s="1026"/>
      <c r="Q637" s="1026"/>
      <c r="R637" s="1026"/>
      <c r="S637" s="1006"/>
      <c r="T637" s="1006"/>
      <c r="U637" s="1006"/>
      <c r="V637" s="1026"/>
      <c r="W637" s="1026"/>
      <c r="X637" s="1026"/>
      <c r="Y637" s="1026"/>
      <c r="Z637" s="1026"/>
      <c r="AA637" s="1225"/>
      <c r="AB637" s="1026"/>
      <c r="AC637" s="1026"/>
      <c r="AD637" s="1026"/>
      <c r="AE637" s="1026"/>
      <c r="AF637" s="1230"/>
      <c r="AG637" s="1245"/>
      <c r="AH637" s="1246"/>
      <c r="AI637" s="1246"/>
      <c r="AJ637" s="1246"/>
      <c r="AK637" s="1247"/>
      <c r="AL637" s="1246"/>
      <c r="AM637" s="1246"/>
      <c r="AN637" s="1240"/>
      <c r="AO637" s="1240"/>
      <c r="AP637" s="1240"/>
      <c r="AQ637" s="1240"/>
      <c r="AR637" s="1240"/>
      <c r="AS637" s="1240"/>
      <c r="AT637" s="1240"/>
      <c r="AU637" s="1240"/>
      <c r="AV637" s="1240"/>
      <c r="AW637" s="1240"/>
      <c r="AX637" s="1240"/>
      <c r="AY637" s="1240"/>
    </row>
    <row r="638" spans="1:51" ht="28.9" customHeight="1" x14ac:dyDescent="0.25">
      <c r="A638" s="1189"/>
      <c r="B638" s="1018"/>
      <c r="C638" s="1379"/>
      <c r="D638" s="165" t="s">
        <v>347</v>
      </c>
      <c r="E638" s="1225"/>
      <c r="F638" s="1225"/>
      <c r="G638" s="1026"/>
      <c r="H638" s="1026"/>
      <c r="I638" s="1020"/>
      <c r="J638" s="1020"/>
      <c r="K638" s="1340"/>
      <c r="L638" s="1020"/>
      <c r="M638" s="1026"/>
      <c r="N638" s="1026"/>
      <c r="O638" s="1026"/>
      <c r="P638" s="1026"/>
      <c r="Q638" s="1026"/>
      <c r="R638" s="1026"/>
      <c r="S638" s="1006"/>
      <c r="T638" s="1006"/>
      <c r="U638" s="1006"/>
      <c r="V638" s="1026"/>
      <c r="W638" s="1026"/>
      <c r="X638" s="1026"/>
      <c r="Y638" s="1026"/>
      <c r="Z638" s="1026"/>
      <c r="AA638" s="1225"/>
      <c r="AB638" s="1026"/>
      <c r="AC638" s="1026"/>
      <c r="AD638" s="1026"/>
      <c r="AE638" s="1026"/>
      <c r="AF638" s="1230"/>
      <c r="AG638" s="1245"/>
      <c r="AH638" s="1246"/>
      <c r="AI638" s="1246"/>
      <c r="AJ638" s="1246"/>
      <c r="AK638" s="1247"/>
      <c r="AL638" s="1246"/>
      <c r="AM638" s="1246"/>
      <c r="AN638" s="1240"/>
      <c r="AO638" s="1240"/>
      <c r="AP638" s="1240"/>
      <c r="AQ638" s="1240"/>
      <c r="AR638" s="1240"/>
      <c r="AS638" s="1240"/>
      <c r="AT638" s="1240"/>
      <c r="AU638" s="1240"/>
      <c r="AV638" s="1240"/>
      <c r="AW638" s="1240"/>
      <c r="AX638" s="1240"/>
      <c r="AY638" s="1240"/>
    </row>
    <row r="639" spans="1:51" ht="28.9" customHeight="1" x14ac:dyDescent="0.25">
      <c r="A639" s="1189"/>
      <c r="B639" s="1018"/>
      <c r="C639" s="1169"/>
      <c r="D639" s="164" t="s">
        <v>348</v>
      </c>
      <c r="E639" s="1225"/>
      <c r="F639" s="1225"/>
      <c r="G639" s="1026"/>
      <c r="H639" s="1026"/>
      <c r="I639" s="1020"/>
      <c r="J639" s="1020"/>
      <c r="K639" s="1340"/>
      <c r="L639" s="1020"/>
      <c r="M639" s="1026"/>
      <c r="N639" s="1026"/>
      <c r="O639" s="1026"/>
      <c r="P639" s="1026"/>
      <c r="Q639" s="1026"/>
      <c r="R639" s="1026"/>
      <c r="S639" s="1006"/>
      <c r="T639" s="1006"/>
      <c r="U639" s="1006"/>
      <c r="V639" s="1026"/>
      <c r="W639" s="1026"/>
      <c r="X639" s="1026"/>
      <c r="Y639" s="1026"/>
      <c r="Z639" s="1026"/>
      <c r="AA639" s="1225"/>
      <c r="AB639" s="1026"/>
      <c r="AC639" s="1026"/>
      <c r="AD639" s="1026"/>
      <c r="AE639" s="1026"/>
      <c r="AF639" s="1251"/>
      <c r="AG639" s="1248"/>
      <c r="AH639" s="1249"/>
      <c r="AI639" s="1249"/>
      <c r="AJ639" s="1249"/>
      <c r="AK639" s="1250"/>
      <c r="AL639" s="1249"/>
      <c r="AM639" s="1249"/>
      <c r="AN639" s="1241"/>
      <c r="AO639" s="1241"/>
      <c r="AP639" s="1241"/>
      <c r="AQ639" s="1241"/>
      <c r="AR639" s="1241"/>
      <c r="AS639" s="1241"/>
      <c r="AT639" s="1241"/>
      <c r="AU639" s="1241"/>
      <c r="AV639" s="1241"/>
      <c r="AW639" s="1241"/>
      <c r="AX639" s="1241"/>
      <c r="AY639" s="1241"/>
    </row>
    <row r="640" spans="1:51" ht="19.149999999999999" customHeight="1" x14ac:dyDescent="0.25">
      <c r="A640" s="1189"/>
      <c r="B640" s="1018"/>
      <c r="C640" s="1378" t="s">
        <v>669</v>
      </c>
      <c r="D640" s="161" t="s">
        <v>340</v>
      </c>
      <c r="E640" s="1225"/>
      <c r="F640" s="1225"/>
      <c r="G640" s="1026"/>
      <c r="H640" s="1026"/>
      <c r="I640" s="1026"/>
      <c r="J640" s="1026"/>
      <c r="K640" s="1340"/>
      <c r="L640" s="1026"/>
      <c r="M640" s="1225"/>
      <c r="N640" s="1006"/>
      <c r="O640" s="1225"/>
      <c r="P640" s="1026"/>
      <c r="Q640" s="1026"/>
      <c r="R640" s="1006"/>
      <c r="S640" s="1325"/>
      <c r="T640" s="1006"/>
      <c r="U640" s="1026"/>
      <c r="V640" s="1026"/>
      <c r="W640" s="1026"/>
      <c r="X640" s="1026"/>
      <c r="Y640" s="1026"/>
      <c r="Z640" s="1026"/>
      <c r="AA640" s="1225"/>
      <c r="AB640" s="1026"/>
      <c r="AC640" s="1026"/>
      <c r="AD640" s="1026"/>
      <c r="AE640" s="1026"/>
      <c r="AF640" s="1347"/>
      <c r="AG640" s="1242" t="s">
        <v>670</v>
      </c>
      <c r="AH640" s="1243" t="s">
        <v>671</v>
      </c>
      <c r="AI640" s="1243" t="s">
        <v>672</v>
      </c>
      <c r="AJ640" s="1243" t="s">
        <v>641</v>
      </c>
      <c r="AK640" s="1244" t="s">
        <v>457</v>
      </c>
      <c r="AL640" s="1243" t="s">
        <v>610</v>
      </c>
      <c r="AM640" s="1243" t="s">
        <v>603</v>
      </c>
      <c r="AN640" s="1252">
        <v>258034</v>
      </c>
      <c r="AO640" s="1252">
        <v>128107</v>
      </c>
      <c r="AP640" s="1252">
        <v>129927</v>
      </c>
      <c r="AQ640" s="1072" t="s">
        <v>459</v>
      </c>
      <c r="AR640" s="1072" t="s">
        <v>459</v>
      </c>
      <c r="AS640" s="1072" t="s">
        <v>459</v>
      </c>
      <c r="AT640" s="1072" t="s">
        <v>459</v>
      </c>
      <c r="AU640" s="1072" t="s">
        <v>459</v>
      </c>
      <c r="AV640" s="1072" t="s">
        <v>459</v>
      </c>
      <c r="AW640" s="1072" t="s">
        <v>459</v>
      </c>
      <c r="AX640" s="1252">
        <v>258034</v>
      </c>
      <c r="AY640" s="1072" t="s">
        <v>636</v>
      </c>
    </row>
    <row r="641" spans="1:51" ht="19.149999999999999" customHeight="1" x14ac:dyDescent="0.25">
      <c r="A641" s="1189"/>
      <c r="B641" s="1018"/>
      <c r="C641" s="1379"/>
      <c r="D641" s="164" t="s">
        <v>343</v>
      </c>
      <c r="E641" s="1225"/>
      <c r="F641" s="1225"/>
      <c r="G641" s="1026"/>
      <c r="H641" s="1225"/>
      <c r="I641" s="1225"/>
      <c r="J641" s="1225"/>
      <c r="K641" s="1225"/>
      <c r="L641" s="1225"/>
      <c r="M641" s="1225"/>
      <c r="N641" s="1225"/>
      <c r="O641" s="1225"/>
      <c r="P641" s="1225"/>
      <c r="Q641" s="1225"/>
      <c r="R641" s="1225"/>
      <c r="S641" s="1219"/>
      <c r="T641" s="1006"/>
      <c r="U641" s="1026"/>
      <c r="V641" s="1026"/>
      <c r="W641" s="1026"/>
      <c r="X641" s="1026"/>
      <c r="Y641" s="1026"/>
      <c r="Z641" s="1026"/>
      <c r="AA641" s="1225"/>
      <c r="AB641" s="1026"/>
      <c r="AC641" s="1026"/>
      <c r="AD641" s="1026"/>
      <c r="AE641" s="1026"/>
      <c r="AF641" s="1230"/>
      <c r="AG641" s="1245"/>
      <c r="AH641" s="1246"/>
      <c r="AI641" s="1246"/>
      <c r="AJ641" s="1246"/>
      <c r="AK641" s="1247"/>
      <c r="AL641" s="1246"/>
      <c r="AM641" s="1246"/>
      <c r="AN641" s="1240"/>
      <c r="AO641" s="1240"/>
      <c r="AP641" s="1240"/>
      <c r="AQ641" s="1240"/>
      <c r="AR641" s="1240"/>
      <c r="AS641" s="1240"/>
      <c r="AT641" s="1240"/>
      <c r="AU641" s="1240"/>
      <c r="AV641" s="1240"/>
      <c r="AW641" s="1240"/>
      <c r="AX641" s="1240"/>
      <c r="AY641" s="1240"/>
    </row>
    <row r="642" spans="1:51" ht="28.9" customHeight="1" x14ac:dyDescent="0.25">
      <c r="A642" s="1189"/>
      <c r="B642" s="1018"/>
      <c r="C642" s="1379"/>
      <c r="D642" s="165" t="s">
        <v>345</v>
      </c>
      <c r="E642" s="1225"/>
      <c r="F642" s="1225"/>
      <c r="G642" s="1026"/>
      <c r="H642" s="1026"/>
      <c r="I642" s="1026"/>
      <c r="J642" s="1026"/>
      <c r="K642" s="1340"/>
      <c r="L642" s="1026"/>
      <c r="M642" s="1225"/>
      <c r="N642" s="1006"/>
      <c r="O642" s="1225"/>
      <c r="P642" s="1026"/>
      <c r="Q642" s="1026"/>
      <c r="R642" s="1006"/>
      <c r="S642" s="1219"/>
      <c r="T642" s="1006"/>
      <c r="U642" s="1026"/>
      <c r="V642" s="1026"/>
      <c r="W642" s="1026"/>
      <c r="X642" s="1026"/>
      <c r="Y642" s="1026"/>
      <c r="Z642" s="1026"/>
      <c r="AA642" s="1225"/>
      <c r="AB642" s="1026"/>
      <c r="AC642" s="1026"/>
      <c r="AD642" s="1026"/>
      <c r="AE642" s="1026"/>
      <c r="AF642" s="1230"/>
      <c r="AG642" s="1245"/>
      <c r="AH642" s="1246"/>
      <c r="AI642" s="1246"/>
      <c r="AJ642" s="1246"/>
      <c r="AK642" s="1247"/>
      <c r="AL642" s="1246"/>
      <c r="AM642" s="1246"/>
      <c r="AN642" s="1240"/>
      <c r="AO642" s="1240"/>
      <c r="AP642" s="1240"/>
      <c r="AQ642" s="1240"/>
      <c r="AR642" s="1240"/>
      <c r="AS642" s="1240"/>
      <c r="AT642" s="1240"/>
      <c r="AU642" s="1240"/>
      <c r="AV642" s="1240"/>
      <c r="AW642" s="1240"/>
      <c r="AX642" s="1240"/>
      <c r="AY642" s="1240"/>
    </row>
    <row r="643" spans="1:51" ht="28.9" customHeight="1" x14ac:dyDescent="0.25">
      <c r="A643" s="1189"/>
      <c r="B643" s="1018"/>
      <c r="C643" s="1379"/>
      <c r="D643" s="164" t="s">
        <v>346</v>
      </c>
      <c r="E643" s="1225"/>
      <c r="F643" s="1225"/>
      <c r="G643" s="1026"/>
      <c r="H643" s="1026"/>
      <c r="I643" s="1026"/>
      <c r="J643" s="1026"/>
      <c r="K643" s="1026"/>
      <c r="L643" s="1026"/>
      <c r="M643" s="1026"/>
      <c r="N643" s="1026"/>
      <c r="O643" s="1026"/>
      <c r="P643" s="1026"/>
      <c r="Q643" s="1026"/>
      <c r="R643" s="1026"/>
      <c r="S643" s="1219"/>
      <c r="T643" s="1006"/>
      <c r="U643" s="1026"/>
      <c r="V643" s="1026"/>
      <c r="W643" s="1026"/>
      <c r="X643" s="1026"/>
      <c r="Y643" s="1026"/>
      <c r="Z643" s="1026"/>
      <c r="AA643" s="1225"/>
      <c r="AB643" s="1026"/>
      <c r="AC643" s="1026"/>
      <c r="AD643" s="1026"/>
      <c r="AE643" s="1026"/>
      <c r="AF643" s="1230"/>
      <c r="AG643" s="1245"/>
      <c r="AH643" s="1246"/>
      <c r="AI643" s="1246"/>
      <c r="AJ643" s="1246"/>
      <c r="AK643" s="1247"/>
      <c r="AL643" s="1246"/>
      <c r="AM643" s="1246"/>
      <c r="AN643" s="1240"/>
      <c r="AO643" s="1240"/>
      <c r="AP643" s="1240"/>
      <c r="AQ643" s="1240"/>
      <c r="AR643" s="1240"/>
      <c r="AS643" s="1240"/>
      <c r="AT643" s="1240"/>
      <c r="AU643" s="1240"/>
      <c r="AV643" s="1240"/>
      <c r="AW643" s="1240"/>
      <c r="AX643" s="1240"/>
      <c r="AY643" s="1240"/>
    </row>
    <row r="644" spans="1:51" ht="28.9" customHeight="1" x14ac:dyDescent="0.25">
      <c r="A644" s="1189"/>
      <c r="B644" s="1018"/>
      <c r="C644" s="1379"/>
      <c r="D644" s="165" t="s">
        <v>347</v>
      </c>
      <c r="E644" s="1225"/>
      <c r="F644" s="1225"/>
      <c r="G644" s="1026"/>
      <c r="H644" s="1026"/>
      <c r="I644" s="1026"/>
      <c r="J644" s="1026"/>
      <c r="K644" s="1340"/>
      <c r="L644" s="1026"/>
      <c r="M644" s="1225"/>
      <c r="N644" s="1006"/>
      <c r="O644" s="1006"/>
      <c r="P644" s="1026"/>
      <c r="Q644" s="1026"/>
      <c r="R644" s="1006"/>
      <c r="S644" s="1219"/>
      <c r="T644" s="1006"/>
      <c r="U644" s="1026"/>
      <c r="V644" s="1026"/>
      <c r="W644" s="1026"/>
      <c r="X644" s="1026"/>
      <c r="Y644" s="1026"/>
      <c r="Z644" s="1026"/>
      <c r="AA644" s="1225"/>
      <c r="AB644" s="1026"/>
      <c r="AC644" s="1026"/>
      <c r="AD644" s="1026"/>
      <c r="AE644" s="1026"/>
      <c r="AF644" s="1230"/>
      <c r="AG644" s="1245"/>
      <c r="AH644" s="1246"/>
      <c r="AI644" s="1246"/>
      <c r="AJ644" s="1246"/>
      <c r="AK644" s="1247"/>
      <c r="AL644" s="1246"/>
      <c r="AM644" s="1246"/>
      <c r="AN644" s="1240"/>
      <c r="AO644" s="1240"/>
      <c r="AP644" s="1240"/>
      <c r="AQ644" s="1240"/>
      <c r="AR644" s="1240"/>
      <c r="AS644" s="1240"/>
      <c r="AT644" s="1240"/>
      <c r="AU644" s="1240"/>
      <c r="AV644" s="1240"/>
      <c r="AW644" s="1240"/>
      <c r="AX644" s="1240"/>
      <c r="AY644" s="1240"/>
    </row>
    <row r="645" spans="1:51" ht="28.9" customHeight="1" x14ac:dyDescent="0.25">
      <c r="A645" s="1189"/>
      <c r="B645" s="1018"/>
      <c r="C645" s="1169"/>
      <c r="D645" s="164" t="s">
        <v>348</v>
      </c>
      <c r="E645" s="1225"/>
      <c r="F645" s="1225"/>
      <c r="G645" s="1026"/>
      <c r="H645" s="1020"/>
      <c r="I645" s="1020"/>
      <c r="J645" s="1020"/>
      <c r="K645" s="1026"/>
      <c r="L645" s="1020"/>
      <c r="M645" s="1026"/>
      <c r="N645" s="1026"/>
      <c r="O645" s="1026"/>
      <c r="P645" s="1026"/>
      <c r="Q645" s="1026"/>
      <c r="R645" s="1026"/>
      <c r="S645" s="1221"/>
      <c r="T645" s="1006"/>
      <c r="U645" s="1026"/>
      <c r="V645" s="1026"/>
      <c r="W645" s="1026"/>
      <c r="X645" s="1026"/>
      <c r="Y645" s="1026"/>
      <c r="Z645" s="1026"/>
      <c r="AA645" s="1225"/>
      <c r="AB645" s="1026"/>
      <c r="AC645" s="1026"/>
      <c r="AD645" s="1026"/>
      <c r="AE645" s="1026"/>
      <c r="AF645" s="1251"/>
      <c r="AG645" s="1248"/>
      <c r="AH645" s="1249"/>
      <c r="AI645" s="1249"/>
      <c r="AJ645" s="1249"/>
      <c r="AK645" s="1250"/>
      <c r="AL645" s="1249"/>
      <c r="AM645" s="1249"/>
      <c r="AN645" s="1241"/>
      <c r="AO645" s="1241"/>
      <c r="AP645" s="1241"/>
      <c r="AQ645" s="1241"/>
      <c r="AR645" s="1241"/>
      <c r="AS645" s="1241"/>
      <c r="AT645" s="1241"/>
      <c r="AU645" s="1241"/>
      <c r="AV645" s="1241"/>
      <c r="AW645" s="1241"/>
      <c r="AX645" s="1241"/>
      <c r="AY645" s="1241"/>
    </row>
    <row r="646" spans="1:51" ht="16.149999999999999" customHeight="1" x14ac:dyDescent="0.25">
      <c r="A646" s="1204"/>
      <c r="B646" s="1073"/>
      <c r="C646" s="1381" t="s">
        <v>506</v>
      </c>
      <c r="D646" s="570" t="s">
        <v>340</v>
      </c>
      <c r="E646" s="1225"/>
      <c r="F646" s="1225"/>
      <c r="G646" s="1026">
        <v>1</v>
      </c>
      <c r="H646" s="1026">
        <v>1</v>
      </c>
      <c r="I646" s="1026">
        <v>1</v>
      </c>
      <c r="J646" s="1026"/>
      <c r="K646" s="1340"/>
      <c r="L646" s="1026"/>
      <c r="M646" s="1225"/>
      <c r="N646" s="1006"/>
      <c r="O646" s="1225"/>
      <c r="P646" s="1026"/>
      <c r="Q646" s="1026"/>
      <c r="R646" s="1006"/>
      <c r="S646" s="1006"/>
      <c r="T646" s="1026">
        <f t="shared" ref="T646:AE651" si="119">+G646</f>
        <v>1</v>
      </c>
      <c r="U646" s="1026">
        <f t="shared" si="119"/>
        <v>1</v>
      </c>
      <c r="V646" s="1026">
        <f t="shared" si="119"/>
        <v>1</v>
      </c>
      <c r="W646" s="1026"/>
      <c r="X646" s="1026">
        <f t="shared" si="119"/>
        <v>0</v>
      </c>
      <c r="Y646" s="1026">
        <f t="shared" si="119"/>
        <v>0</v>
      </c>
      <c r="Z646" s="1026">
        <f t="shared" si="119"/>
        <v>0</v>
      </c>
      <c r="AA646" s="1026">
        <f t="shared" si="119"/>
        <v>0</v>
      </c>
      <c r="AB646" s="1026">
        <f t="shared" si="119"/>
        <v>0</v>
      </c>
      <c r="AC646" s="1026">
        <f t="shared" si="119"/>
        <v>0</v>
      </c>
      <c r="AD646" s="1026">
        <f t="shared" si="119"/>
        <v>0</v>
      </c>
      <c r="AE646" s="1026">
        <f t="shared" si="119"/>
        <v>0</v>
      </c>
      <c r="AF646" s="1359" t="s">
        <v>1455</v>
      </c>
      <c r="AG646" s="1254" t="s">
        <v>1456</v>
      </c>
      <c r="AH646" s="1243">
        <v>36</v>
      </c>
      <c r="AI646" s="1243" t="s">
        <v>629</v>
      </c>
      <c r="AJ646" s="824" t="s">
        <v>1454</v>
      </c>
      <c r="AK646" s="1244" t="s">
        <v>457</v>
      </c>
      <c r="AL646" s="1243" t="s">
        <v>610</v>
      </c>
      <c r="AM646" s="1243" t="s">
        <v>603</v>
      </c>
      <c r="AN646" s="1252">
        <v>391588</v>
      </c>
      <c r="AO646" s="1252">
        <v>192276</v>
      </c>
      <c r="AP646" s="1252">
        <v>199312</v>
      </c>
      <c r="AQ646" s="1072" t="s">
        <v>459</v>
      </c>
      <c r="AR646" s="1072" t="s">
        <v>459</v>
      </c>
      <c r="AS646" s="1072" t="s">
        <v>459</v>
      </c>
      <c r="AT646" s="1072" t="s">
        <v>459</v>
      </c>
      <c r="AU646" s="1072" t="s">
        <v>459</v>
      </c>
      <c r="AV646" s="1072" t="s">
        <v>459</v>
      </c>
      <c r="AW646" s="1072" t="s">
        <v>459</v>
      </c>
      <c r="AX646" s="1252">
        <v>391588</v>
      </c>
      <c r="AY646" s="1072" t="s">
        <v>636</v>
      </c>
    </row>
    <row r="647" spans="1:51" ht="18.75" customHeight="1" x14ac:dyDescent="0.25">
      <c r="A647" s="1204"/>
      <c r="B647" s="1073"/>
      <c r="C647" s="1382"/>
      <c r="D647" s="571" t="s">
        <v>343</v>
      </c>
      <c r="E647" s="1225"/>
      <c r="F647" s="1225"/>
      <c r="G647" s="1026">
        <f>+G646*$T$557/$T$556</f>
        <v>11022500</v>
      </c>
      <c r="H647" s="1026">
        <f>+H646*$U$557/$U$556</f>
        <v>46876500</v>
      </c>
      <c r="I647" s="1026">
        <f>+I646*$V$557/$V$556</f>
        <v>27303250</v>
      </c>
      <c r="J647" s="1225"/>
      <c r="K647" s="1225"/>
      <c r="L647" s="1225"/>
      <c r="M647" s="1225"/>
      <c r="N647" s="1225"/>
      <c r="O647" s="1225"/>
      <c r="P647" s="1225"/>
      <c r="Q647" s="1225"/>
      <c r="R647" s="1225"/>
      <c r="S647" s="1006"/>
      <c r="T647" s="1026">
        <f t="shared" ref="T647:U651" si="120">+G647</f>
        <v>11022500</v>
      </c>
      <c r="U647" s="1026">
        <f t="shared" si="120"/>
        <v>46876500</v>
      </c>
      <c r="V647" s="1026">
        <f t="shared" si="119"/>
        <v>27303250</v>
      </c>
      <c r="W647" s="1026"/>
      <c r="X647" s="1026"/>
      <c r="Y647" s="1026"/>
      <c r="Z647" s="1026"/>
      <c r="AA647" s="1225"/>
      <c r="AB647" s="1026"/>
      <c r="AC647" s="1026"/>
      <c r="AD647" s="1026"/>
      <c r="AE647" s="1353"/>
      <c r="AF647" s="1259"/>
      <c r="AG647" s="1255"/>
      <c r="AH647" s="1246"/>
      <c r="AI647" s="1246"/>
      <c r="AJ647" s="825"/>
      <c r="AK647" s="1247"/>
      <c r="AL647" s="1246"/>
      <c r="AM647" s="1246"/>
      <c r="AN647" s="1240"/>
      <c r="AO647" s="1240"/>
      <c r="AP647" s="1240"/>
      <c r="AQ647" s="1240"/>
      <c r="AR647" s="1240"/>
      <c r="AS647" s="1240"/>
      <c r="AT647" s="1240"/>
      <c r="AU647" s="1240"/>
      <c r="AV647" s="1240"/>
      <c r="AW647" s="1240"/>
      <c r="AX647" s="1240"/>
      <c r="AY647" s="1240"/>
    </row>
    <row r="648" spans="1:51" ht="18.75" customHeight="1" x14ac:dyDescent="0.25">
      <c r="A648" s="1204"/>
      <c r="B648" s="1073"/>
      <c r="C648" s="1382"/>
      <c r="D648" s="572" t="s">
        <v>345</v>
      </c>
      <c r="E648" s="1225"/>
      <c r="F648" s="1225"/>
      <c r="G648" s="1026"/>
      <c r="H648" s="1026"/>
      <c r="I648" s="1026"/>
      <c r="J648" s="1026"/>
      <c r="K648" s="1340"/>
      <c r="L648" s="1026"/>
      <c r="M648" s="1225"/>
      <c r="N648" s="1006"/>
      <c r="O648" s="1225"/>
      <c r="P648" s="1026"/>
      <c r="Q648" s="1026"/>
      <c r="R648" s="1006"/>
      <c r="S648" s="1006"/>
      <c r="T648" s="1026">
        <f t="shared" si="120"/>
        <v>0</v>
      </c>
      <c r="U648" s="1026">
        <f t="shared" si="120"/>
        <v>0</v>
      </c>
      <c r="V648" s="1026">
        <f t="shared" si="119"/>
        <v>0</v>
      </c>
      <c r="W648" s="1026"/>
      <c r="X648" s="1026"/>
      <c r="Y648" s="1026"/>
      <c r="Z648" s="1026"/>
      <c r="AA648" s="1225"/>
      <c r="AB648" s="1026"/>
      <c r="AC648" s="1026"/>
      <c r="AD648" s="1026"/>
      <c r="AE648" s="1353"/>
      <c r="AF648" s="1259"/>
      <c r="AG648" s="1255"/>
      <c r="AH648" s="1246"/>
      <c r="AI648" s="1246"/>
      <c r="AJ648" s="825"/>
      <c r="AK648" s="1247"/>
      <c r="AL648" s="1246"/>
      <c r="AM648" s="1246"/>
      <c r="AN648" s="1240"/>
      <c r="AO648" s="1240"/>
      <c r="AP648" s="1240"/>
      <c r="AQ648" s="1240"/>
      <c r="AR648" s="1240"/>
      <c r="AS648" s="1240"/>
      <c r="AT648" s="1240"/>
      <c r="AU648" s="1240"/>
      <c r="AV648" s="1240"/>
      <c r="AW648" s="1240"/>
      <c r="AX648" s="1240"/>
      <c r="AY648" s="1240"/>
    </row>
    <row r="649" spans="1:51" ht="18.75" customHeight="1" x14ac:dyDescent="0.25">
      <c r="A649" s="1204"/>
      <c r="B649" s="1073"/>
      <c r="C649" s="1382"/>
      <c r="D649" s="571" t="s">
        <v>346</v>
      </c>
      <c r="E649" s="1225"/>
      <c r="F649" s="1225"/>
      <c r="G649" s="1026">
        <f>+$T$559/2</f>
        <v>5010100</v>
      </c>
      <c r="H649" s="1026">
        <f>+$U$559/2</f>
        <v>13487783.5</v>
      </c>
      <c r="I649" s="1026">
        <f>+$U$559/2</f>
        <v>13487783.5</v>
      </c>
      <c r="J649" s="1026"/>
      <c r="K649" s="1026"/>
      <c r="L649" s="1026"/>
      <c r="M649" s="1026"/>
      <c r="N649" s="1026"/>
      <c r="O649" s="1026"/>
      <c r="P649" s="1026"/>
      <c r="Q649" s="1026"/>
      <c r="R649" s="1026"/>
      <c r="S649" s="1006"/>
      <c r="T649" s="1026">
        <f t="shared" si="120"/>
        <v>5010100</v>
      </c>
      <c r="U649" s="1026">
        <f t="shared" si="120"/>
        <v>13487783.5</v>
      </c>
      <c r="V649" s="1026">
        <f t="shared" si="119"/>
        <v>13487783.5</v>
      </c>
      <c r="W649" s="1026"/>
      <c r="X649" s="1026"/>
      <c r="Y649" s="1026"/>
      <c r="Z649" s="1026"/>
      <c r="AA649" s="1225"/>
      <c r="AB649" s="1026"/>
      <c r="AC649" s="1026"/>
      <c r="AD649" s="1026"/>
      <c r="AE649" s="1353"/>
      <c r="AF649" s="1259"/>
      <c r="AG649" s="1255"/>
      <c r="AH649" s="1246"/>
      <c r="AI649" s="1246"/>
      <c r="AJ649" s="825"/>
      <c r="AK649" s="1247"/>
      <c r="AL649" s="1246"/>
      <c r="AM649" s="1246"/>
      <c r="AN649" s="1240"/>
      <c r="AO649" s="1240"/>
      <c r="AP649" s="1240"/>
      <c r="AQ649" s="1240"/>
      <c r="AR649" s="1240"/>
      <c r="AS649" s="1240"/>
      <c r="AT649" s="1240"/>
      <c r="AU649" s="1240"/>
      <c r="AV649" s="1240"/>
      <c r="AW649" s="1240"/>
      <c r="AX649" s="1240"/>
      <c r="AY649" s="1240"/>
    </row>
    <row r="650" spans="1:51" ht="18.75" customHeight="1" x14ac:dyDescent="0.25">
      <c r="A650" s="1204"/>
      <c r="B650" s="1073"/>
      <c r="C650" s="1382"/>
      <c r="D650" s="572" t="s">
        <v>347</v>
      </c>
      <c r="E650" s="1225"/>
      <c r="F650" s="1225"/>
      <c r="G650" s="1026">
        <v>1</v>
      </c>
      <c r="H650" s="1026">
        <v>1</v>
      </c>
      <c r="I650" s="1026">
        <v>1</v>
      </c>
      <c r="J650" s="1026"/>
      <c r="K650" s="1340"/>
      <c r="L650" s="1026"/>
      <c r="M650" s="1225"/>
      <c r="N650" s="1006"/>
      <c r="O650" s="1006"/>
      <c r="P650" s="1026"/>
      <c r="Q650" s="1026"/>
      <c r="R650" s="1006"/>
      <c r="S650" s="1006"/>
      <c r="T650" s="1026">
        <f t="shared" si="120"/>
        <v>1</v>
      </c>
      <c r="U650" s="1026">
        <f t="shared" si="120"/>
        <v>1</v>
      </c>
      <c r="V650" s="1026">
        <v>1</v>
      </c>
      <c r="W650" s="1026"/>
      <c r="X650" s="1026"/>
      <c r="Y650" s="1026"/>
      <c r="Z650" s="1026"/>
      <c r="AA650" s="1225"/>
      <c r="AB650" s="1026"/>
      <c r="AC650" s="1026"/>
      <c r="AD650" s="1026"/>
      <c r="AE650" s="1353"/>
      <c r="AF650" s="1259"/>
      <c r="AG650" s="1255"/>
      <c r="AH650" s="1246"/>
      <c r="AI650" s="1246"/>
      <c r="AJ650" s="825"/>
      <c r="AK650" s="1247"/>
      <c r="AL650" s="1246"/>
      <c r="AM650" s="1246"/>
      <c r="AN650" s="1240"/>
      <c r="AO650" s="1240"/>
      <c r="AP650" s="1240"/>
      <c r="AQ650" s="1240"/>
      <c r="AR650" s="1240"/>
      <c r="AS650" s="1240"/>
      <c r="AT650" s="1240"/>
      <c r="AU650" s="1240"/>
      <c r="AV650" s="1240"/>
      <c r="AW650" s="1240"/>
      <c r="AX650" s="1240"/>
      <c r="AY650" s="1240"/>
    </row>
    <row r="651" spans="1:51" ht="18.75" customHeight="1" x14ac:dyDescent="0.25">
      <c r="A651" s="1204"/>
      <c r="B651" s="1073"/>
      <c r="C651" s="1384"/>
      <c r="D651" s="571" t="s">
        <v>348</v>
      </c>
      <c r="E651" s="1225"/>
      <c r="F651" s="1225"/>
      <c r="G651" s="1225">
        <f>+G647+G649</f>
        <v>16032600</v>
      </c>
      <c r="H651" s="1225">
        <f>+H647+H649</f>
        <v>60364283.5</v>
      </c>
      <c r="I651" s="1225">
        <f>+I647+I649</f>
        <v>40791033.5</v>
      </c>
      <c r="J651" s="1020"/>
      <c r="K651" s="1026"/>
      <c r="L651" s="1020"/>
      <c r="M651" s="1026"/>
      <c r="N651" s="1026"/>
      <c r="O651" s="1026"/>
      <c r="P651" s="1026"/>
      <c r="Q651" s="1026"/>
      <c r="R651" s="1026"/>
      <c r="S651" s="1006"/>
      <c r="T651" s="1026">
        <f t="shared" si="120"/>
        <v>16032600</v>
      </c>
      <c r="U651" s="1026">
        <f t="shared" si="120"/>
        <v>60364283.5</v>
      </c>
      <c r="V651" s="1026">
        <f t="shared" si="119"/>
        <v>40791033.5</v>
      </c>
      <c r="W651" s="1026"/>
      <c r="X651" s="1026"/>
      <c r="Y651" s="1026"/>
      <c r="Z651" s="1026"/>
      <c r="AA651" s="1225"/>
      <c r="AB651" s="1026"/>
      <c r="AC651" s="1026"/>
      <c r="AD651" s="1026"/>
      <c r="AE651" s="1353"/>
      <c r="AF651" s="1261"/>
      <c r="AG651" s="1256"/>
      <c r="AH651" s="1249"/>
      <c r="AI651" s="1249"/>
      <c r="AJ651" s="826"/>
      <c r="AK651" s="1250"/>
      <c r="AL651" s="1249"/>
      <c r="AM651" s="1249"/>
      <c r="AN651" s="1241"/>
      <c r="AO651" s="1241"/>
      <c r="AP651" s="1241"/>
      <c r="AQ651" s="1241"/>
      <c r="AR651" s="1241"/>
      <c r="AS651" s="1241"/>
      <c r="AT651" s="1241"/>
      <c r="AU651" s="1241"/>
      <c r="AV651" s="1241"/>
      <c r="AW651" s="1241"/>
      <c r="AX651" s="1241"/>
      <c r="AY651" s="1241"/>
    </row>
    <row r="652" spans="1:51" ht="19.149999999999999" customHeight="1" x14ac:dyDescent="0.25">
      <c r="A652" s="1189"/>
      <c r="B652" s="1018"/>
      <c r="C652" s="1217" t="s">
        <v>511</v>
      </c>
      <c r="D652" s="161" t="s">
        <v>340</v>
      </c>
      <c r="E652" s="1225"/>
      <c r="F652" s="1225"/>
      <c r="G652" s="1225">
        <v>14</v>
      </c>
      <c r="H652" s="1225">
        <v>14</v>
      </c>
      <c r="I652" s="1225">
        <v>12</v>
      </c>
      <c r="J652" s="1026"/>
      <c r="K652" s="1225"/>
      <c r="L652" s="1225"/>
      <c r="M652" s="1225"/>
      <c r="N652" s="1023"/>
      <c r="O652" s="1225"/>
      <c r="P652" s="1225"/>
      <c r="Q652" s="1225"/>
      <c r="R652" s="1225"/>
      <c r="S652" s="1023"/>
      <c r="T652" s="1023"/>
      <c r="U652" s="1023"/>
      <c r="V652" s="1225"/>
      <c r="W652" s="1023"/>
      <c r="X652" s="1023"/>
      <c r="Y652" s="1225"/>
      <c r="Z652" s="1026"/>
      <c r="AA652" s="1225"/>
      <c r="AB652" s="1023"/>
      <c r="AC652" s="1225"/>
      <c r="AD652" s="1059"/>
      <c r="AE652" s="1225"/>
      <c r="AF652" s="1023"/>
      <c r="AG652" s="1244" t="s">
        <v>456</v>
      </c>
      <c r="AH652" s="1243" t="s">
        <v>178</v>
      </c>
      <c r="AI652" s="1243" t="s">
        <v>178</v>
      </c>
      <c r="AJ652" s="1243" t="s">
        <v>178</v>
      </c>
      <c r="AK652" s="1244" t="s">
        <v>457</v>
      </c>
      <c r="AL652" s="1243"/>
      <c r="AM652" s="1243" t="s">
        <v>603</v>
      </c>
      <c r="AN652" s="1252">
        <v>8034649</v>
      </c>
      <c r="AO652" s="1252">
        <v>3847592</v>
      </c>
      <c r="AP652" s="1252">
        <v>418057</v>
      </c>
      <c r="AQ652" s="1072" t="s">
        <v>459</v>
      </c>
      <c r="AR652" s="1072" t="s">
        <v>459</v>
      </c>
      <c r="AS652" s="1072" t="s">
        <v>459</v>
      </c>
      <c r="AT652" s="1072" t="s">
        <v>459</v>
      </c>
      <c r="AU652" s="1072" t="s">
        <v>459</v>
      </c>
      <c r="AV652" s="1072" t="s">
        <v>459</v>
      </c>
      <c r="AW652" s="1072" t="s">
        <v>459</v>
      </c>
      <c r="AX652" s="1252">
        <v>8034649</v>
      </c>
      <c r="AY652" s="1072" t="s">
        <v>636</v>
      </c>
    </row>
    <row r="653" spans="1:51" ht="19.149999999999999" customHeight="1" x14ac:dyDescent="0.25">
      <c r="A653" s="1189"/>
      <c r="B653" s="1018"/>
      <c r="C653" s="1018"/>
      <c r="D653" s="164" t="s">
        <v>343</v>
      </c>
      <c r="E653" s="1225"/>
      <c r="F653" s="1225"/>
      <c r="G653" s="1026">
        <f>+G557-T557</f>
        <v>356885000</v>
      </c>
      <c r="H653" s="1026">
        <f>+H557-U557</f>
        <v>285177000</v>
      </c>
      <c r="I653" s="1026">
        <f>+I557-V557</f>
        <v>269717000</v>
      </c>
      <c r="J653" s="1020"/>
      <c r="K653" s="1020"/>
      <c r="L653" s="1020"/>
      <c r="M653" s="1020"/>
      <c r="N653" s="1020"/>
      <c r="O653" s="1020"/>
      <c r="P653" s="1020"/>
      <c r="Q653" s="1020"/>
      <c r="R653" s="1020"/>
      <c r="S653" s="1225"/>
      <c r="T653" s="1023"/>
      <c r="U653" s="1023"/>
      <c r="V653" s="1026"/>
      <c r="W653" s="1023"/>
      <c r="X653" s="1023"/>
      <c r="Y653" s="1026"/>
      <c r="Z653" s="1020"/>
      <c r="AA653" s="1026"/>
      <c r="AB653" s="1023"/>
      <c r="AC653" s="1225"/>
      <c r="AD653" s="1026"/>
      <c r="AE653" s="1026"/>
      <c r="AF653" s="1023"/>
      <c r="AG653" s="1247"/>
      <c r="AH653" s="1246"/>
      <c r="AI653" s="1246"/>
      <c r="AJ653" s="1246"/>
      <c r="AK653" s="1247"/>
      <c r="AL653" s="1246"/>
      <c r="AM653" s="1246"/>
      <c r="AN653" s="1345"/>
      <c r="AO653" s="1345"/>
      <c r="AP653" s="1345"/>
      <c r="AQ653" s="1240"/>
      <c r="AR653" s="1240"/>
      <c r="AS653" s="1240"/>
      <c r="AT653" s="1240"/>
      <c r="AU653" s="1240"/>
      <c r="AV653" s="1240"/>
      <c r="AW653" s="1240"/>
      <c r="AX653" s="1345"/>
      <c r="AY653" s="1240"/>
    </row>
    <row r="654" spans="1:51" ht="28.9" customHeight="1" x14ac:dyDescent="0.25">
      <c r="A654" s="1189"/>
      <c r="B654" s="1018"/>
      <c r="C654" s="1018"/>
      <c r="D654" s="165" t="s">
        <v>345</v>
      </c>
      <c r="E654" s="1225"/>
      <c r="F654" s="1225"/>
      <c r="G654" s="1225"/>
      <c r="H654" s="1225"/>
      <c r="I654" s="1225"/>
      <c r="J654" s="1225"/>
      <c r="K654" s="1225"/>
      <c r="L654" s="1225"/>
      <c r="M654" s="1225"/>
      <c r="N654" s="1023"/>
      <c r="O654" s="1225"/>
      <c r="P654" s="1225"/>
      <c r="Q654" s="1225"/>
      <c r="R654" s="1225"/>
      <c r="S654" s="1023"/>
      <c r="T654" s="1023"/>
      <c r="U654" s="1023"/>
      <c r="V654" s="1225"/>
      <c r="W654" s="1023"/>
      <c r="X654" s="1023"/>
      <c r="Y654" s="1225"/>
      <c r="Z654" s="1225"/>
      <c r="AA654" s="1023"/>
      <c r="AB654" s="1023"/>
      <c r="AC654" s="1225"/>
      <c r="AD654" s="1059"/>
      <c r="AE654" s="1225"/>
      <c r="AF654" s="1023"/>
      <c r="AG654" s="1247"/>
      <c r="AH654" s="1246"/>
      <c r="AI654" s="1246"/>
      <c r="AJ654" s="1246"/>
      <c r="AK654" s="1247"/>
      <c r="AL654" s="1246"/>
      <c r="AM654" s="1246"/>
      <c r="AN654" s="1345"/>
      <c r="AO654" s="1345"/>
      <c r="AP654" s="1345"/>
      <c r="AQ654" s="1240"/>
      <c r="AR654" s="1240"/>
      <c r="AS654" s="1240"/>
      <c r="AT654" s="1240"/>
      <c r="AU654" s="1240"/>
      <c r="AV654" s="1240"/>
      <c r="AW654" s="1240"/>
      <c r="AX654" s="1345"/>
      <c r="AY654" s="1240"/>
    </row>
    <row r="655" spans="1:51" ht="28.9" customHeight="1" x14ac:dyDescent="0.25">
      <c r="A655" s="1189"/>
      <c r="B655" s="1018"/>
      <c r="C655" s="1018"/>
      <c r="D655" s="164" t="s">
        <v>346</v>
      </c>
      <c r="E655" s="1225"/>
      <c r="F655" s="1225"/>
      <c r="G655" s="1225">
        <f>+G559-T559</f>
        <v>18124367</v>
      </c>
      <c r="H655" s="1225">
        <f>+H559-U559</f>
        <v>1169000</v>
      </c>
      <c r="I655" s="1225">
        <f>+I559-V559</f>
        <v>1169000</v>
      </c>
      <c r="J655" s="1225"/>
      <c r="K655" s="1225"/>
      <c r="L655" s="1225"/>
      <c r="M655" s="1026"/>
      <c r="N655" s="1026"/>
      <c r="O655" s="1026"/>
      <c r="P655" s="1225"/>
      <c r="Q655" s="1225"/>
      <c r="R655" s="1225"/>
      <c r="S655" s="1023"/>
      <c r="T655" s="1023"/>
      <c r="U655" s="1023"/>
      <c r="V655" s="1225"/>
      <c r="W655" s="1023"/>
      <c r="X655" s="1023"/>
      <c r="Y655" s="1225"/>
      <c r="Z655" s="1026"/>
      <c r="AA655" s="1023"/>
      <c r="AB655" s="1023"/>
      <c r="AC655" s="1225"/>
      <c r="AD655" s="1059"/>
      <c r="AE655" s="1225"/>
      <c r="AF655" s="1023"/>
      <c r="AG655" s="1247"/>
      <c r="AH655" s="1246"/>
      <c r="AI655" s="1246"/>
      <c r="AJ655" s="1246"/>
      <c r="AK655" s="1247"/>
      <c r="AL655" s="1246"/>
      <c r="AM655" s="1246"/>
      <c r="AN655" s="1345"/>
      <c r="AO655" s="1345"/>
      <c r="AP655" s="1345"/>
      <c r="AQ655" s="1240"/>
      <c r="AR655" s="1240"/>
      <c r="AS655" s="1240"/>
      <c r="AT655" s="1240"/>
      <c r="AU655" s="1240"/>
      <c r="AV655" s="1240"/>
      <c r="AW655" s="1240"/>
      <c r="AX655" s="1345"/>
      <c r="AY655" s="1240"/>
    </row>
    <row r="656" spans="1:51" ht="28.9" customHeight="1" x14ac:dyDescent="0.25">
      <c r="A656" s="1189"/>
      <c r="B656" s="1018"/>
      <c r="C656" s="1018"/>
      <c r="D656" s="165" t="s">
        <v>347</v>
      </c>
      <c r="E656" s="1225"/>
      <c r="F656" s="1225"/>
      <c r="G656" s="1225">
        <f>+G652</f>
        <v>14</v>
      </c>
      <c r="H656" s="1225">
        <f>+H652</f>
        <v>14</v>
      </c>
      <c r="I656" s="1225"/>
      <c r="J656" s="1225"/>
      <c r="K656" s="1225"/>
      <c r="L656" s="1225"/>
      <c r="M656" s="1225"/>
      <c r="N656" s="1023"/>
      <c r="O656" s="1225"/>
      <c r="P656" s="1225"/>
      <c r="Q656" s="1225"/>
      <c r="R656" s="1225"/>
      <c r="S656" s="1023"/>
      <c r="T656" s="1023"/>
      <c r="U656" s="1023"/>
      <c r="V656" s="1225"/>
      <c r="W656" s="1023"/>
      <c r="X656" s="1023"/>
      <c r="Y656" s="1225"/>
      <c r="Z656" s="1225"/>
      <c r="AA656" s="1023"/>
      <c r="AB656" s="1225"/>
      <c r="AC656" s="1225"/>
      <c r="AD656" s="1059"/>
      <c r="AE656" s="1225"/>
      <c r="AF656" s="1023"/>
      <c r="AG656" s="1247"/>
      <c r="AH656" s="1246"/>
      <c r="AI656" s="1246"/>
      <c r="AJ656" s="1246"/>
      <c r="AK656" s="1247"/>
      <c r="AL656" s="1246"/>
      <c r="AM656" s="1246"/>
      <c r="AN656" s="1345"/>
      <c r="AO656" s="1345"/>
      <c r="AP656" s="1345"/>
      <c r="AQ656" s="1240"/>
      <c r="AR656" s="1240"/>
      <c r="AS656" s="1240"/>
      <c r="AT656" s="1240"/>
      <c r="AU656" s="1240"/>
      <c r="AV656" s="1240"/>
      <c r="AW656" s="1240"/>
      <c r="AX656" s="1345"/>
      <c r="AY656" s="1240"/>
    </row>
    <row r="657" spans="1:51" ht="28.9" customHeight="1" x14ac:dyDescent="0.25">
      <c r="A657" s="1189"/>
      <c r="B657" s="1018"/>
      <c r="C657" s="1048"/>
      <c r="D657" s="164" t="s">
        <v>348</v>
      </c>
      <c r="E657" s="1225"/>
      <c r="F657" s="1225"/>
      <c r="G657" s="1225">
        <f>+G653+G655</f>
        <v>375009367</v>
      </c>
      <c r="H657" s="1225">
        <f>+H653+H655</f>
        <v>286346000</v>
      </c>
      <c r="I657" s="1225">
        <f>+I653+I655</f>
        <v>270886000</v>
      </c>
      <c r="J657" s="1020"/>
      <c r="K657" s="1020"/>
      <c r="L657" s="1020"/>
      <c r="M657" s="1026"/>
      <c r="N657" s="1026"/>
      <c r="O657" s="1026"/>
      <c r="P657" s="1026"/>
      <c r="Q657" s="1026"/>
      <c r="R657" s="1026"/>
      <c r="S657" s="1023"/>
      <c r="T657" s="1023"/>
      <c r="U657" s="1023"/>
      <c r="V657" s="1026"/>
      <c r="W657" s="1023"/>
      <c r="X657" s="1023"/>
      <c r="Y657" s="1023"/>
      <c r="Z657" s="1026"/>
      <c r="AA657" s="1023"/>
      <c r="AB657" s="1225"/>
      <c r="AC657" s="1225"/>
      <c r="AD657" s="1026"/>
      <c r="AE657" s="1026"/>
      <c r="AF657" s="1023"/>
      <c r="AG657" s="1250"/>
      <c r="AH657" s="1249"/>
      <c r="AI657" s="1249"/>
      <c r="AJ657" s="1249"/>
      <c r="AK657" s="1250"/>
      <c r="AL657" s="1249"/>
      <c r="AM657" s="1249"/>
      <c r="AN657" s="1346"/>
      <c r="AO657" s="1346"/>
      <c r="AP657" s="1346"/>
      <c r="AQ657" s="1241"/>
      <c r="AR657" s="1241"/>
      <c r="AS657" s="1241"/>
      <c r="AT657" s="1241"/>
      <c r="AU657" s="1241"/>
      <c r="AV657" s="1241"/>
      <c r="AW657" s="1241"/>
      <c r="AX657" s="1346"/>
      <c r="AY657" s="1241"/>
    </row>
    <row r="658" spans="1:51" ht="19.149999999999999" customHeight="1" x14ac:dyDescent="0.25">
      <c r="A658" s="1189"/>
      <c r="B658" s="1018"/>
      <c r="C658" s="1217" t="s">
        <v>512</v>
      </c>
      <c r="D658" s="161" t="s">
        <v>340</v>
      </c>
      <c r="E658" s="1225">
        <f t="shared" ref="E658:F663" si="121">+E556</f>
        <v>16</v>
      </c>
      <c r="F658" s="1225">
        <f t="shared" si="121"/>
        <v>16</v>
      </c>
      <c r="G658" s="1225">
        <f>+G562+G568+G574+G586+G592+G598+G604+G610+G616+G628+G640+G646+G652</f>
        <v>16</v>
      </c>
      <c r="H658" s="1225">
        <f>+H562+H568+H574+H586+H592+H598+H604+H610+H616+H628+H640+H646+H652</f>
        <v>16</v>
      </c>
      <c r="I658" s="1225">
        <f>+I562+I568+I574+I586+I592+I598+I604+I610+I616+I628+I640+I646+I652</f>
        <v>16</v>
      </c>
      <c r="J658" s="1225"/>
      <c r="K658" s="1225"/>
      <c r="L658" s="1225"/>
      <c r="M658" s="1225"/>
      <c r="N658" s="1225"/>
      <c r="O658" s="1225"/>
      <c r="P658" s="1225"/>
      <c r="Q658" s="1225"/>
      <c r="R658" s="1225"/>
      <c r="S658" s="1023"/>
      <c r="T658" s="1225">
        <f>+T562+T568+T574+T586+T592+T598+T604+T610+T616+T628+T640+T646+T652</f>
        <v>2</v>
      </c>
      <c r="U658" s="1225">
        <f>+U562+U568+U574+U586+U592+U598+U604+U610+U616+U628+U640+U646+U652</f>
        <v>2</v>
      </c>
      <c r="V658" s="1225">
        <f t="shared" ref="V658:V660" si="122">+V562+V568+V574+V586+V592+V598+V604+V610+V616+V628+V640+V646+V652</f>
        <v>4</v>
      </c>
      <c r="W658" s="1225"/>
      <c r="X658" s="1225">
        <f t="shared" ref="W658:Z663" si="123">+X562+X568+X574+X586+X592+X598+X604+X610+X616+X628+X640+X652</f>
        <v>0</v>
      </c>
      <c r="Y658" s="1225">
        <f t="shared" si="123"/>
        <v>0</v>
      </c>
      <c r="Z658" s="1225">
        <f t="shared" si="123"/>
        <v>0</v>
      </c>
      <c r="AA658" s="1225">
        <f t="shared" ref="AA658:AA663" si="124">+AA562+AA568+AA574+AA586+AA592+AA598+AA604+AA610+AA616+AA628+AA634+AA640+AA652</f>
        <v>0</v>
      </c>
      <c r="AB658" s="1225">
        <f t="shared" ref="AB658:AE663" si="125">+AB562+AB568+AB574+AB580+AB586+AB592+AB598+AB604+AB610+AB616+AB628+AB634+AB640+AB652</f>
        <v>0</v>
      </c>
      <c r="AC658" s="1225">
        <f t="shared" si="125"/>
        <v>0</v>
      </c>
      <c r="AD658" s="1225">
        <f t="shared" si="125"/>
        <v>0</v>
      </c>
      <c r="AE658" s="1225">
        <f t="shared" si="125"/>
        <v>0</v>
      </c>
      <c r="AF658" s="1023"/>
      <c r="AG658" s="1244" t="s">
        <v>456</v>
      </c>
      <c r="AH658" s="1243" t="s">
        <v>178</v>
      </c>
      <c r="AI658" s="1243" t="s">
        <v>178</v>
      </c>
      <c r="AJ658" s="1243" t="s">
        <v>178</v>
      </c>
      <c r="AK658" s="1244" t="s">
        <v>457</v>
      </c>
      <c r="AL658" s="1243" t="s">
        <v>178</v>
      </c>
      <c r="AM658" s="1243" t="s">
        <v>603</v>
      </c>
      <c r="AN658" s="1252">
        <v>8034649</v>
      </c>
      <c r="AO658" s="1252">
        <v>3847592</v>
      </c>
      <c r="AP658" s="1252">
        <v>418057</v>
      </c>
      <c r="AQ658" s="1072" t="s">
        <v>459</v>
      </c>
      <c r="AR658" s="1072" t="s">
        <v>459</v>
      </c>
      <c r="AS658" s="1072" t="s">
        <v>459</v>
      </c>
      <c r="AT658" s="1072" t="s">
        <v>459</v>
      </c>
      <c r="AU658" s="1072" t="s">
        <v>459</v>
      </c>
      <c r="AV658" s="1072" t="s">
        <v>459</v>
      </c>
      <c r="AW658" s="1072" t="s">
        <v>459</v>
      </c>
      <c r="AX658" s="1252">
        <v>8034649</v>
      </c>
      <c r="AY658" s="1072" t="s">
        <v>636</v>
      </c>
    </row>
    <row r="659" spans="1:51" ht="19.149999999999999" customHeight="1" x14ac:dyDescent="0.25">
      <c r="A659" s="1189"/>
      <c r="B659" s="1018"/>
      <c r="C659" s="1018"/>
      <c r="D659" s="164" t="s">
        <v>343</v>
      </c>
      <c r="E659" s="1225">
        <f t="shared" si="121"/>
        <v>378930000</v>
      </c>
      <c r="F659" s="1225">
        <f t="shared" si="121"/>
        <v>378930000</v>
      </c>
      <c r="G659" s="1225">
        <f t="shared" ref="G659:I663" si="126">+G563+G569+G575+G587+G593+G599+G605+G611+G617+G629+G641+G647+G653</f>
        <v>378930000</v>
      </c>
      <c r="H659" s="1225">
        <f t="shared" si="126"/>
        <v>378930000</v>
      </c>
      <c r="I659" s="1225">
        <f t="shared" si="126"/>
        <v>378930000</v>
      </c>
      <c r="J659" s="1225"/>
      <c r="K659" s="1225"/>
      <c r="L659" s="1225"/>
      <c r="M659" s="1225"/>
      <c r="N659" s="1225"/>
      <c r="O659" s="1225"/>
      <c r="P659" s="1225"/>
      <c r="Q659" s="1225"/>
      <c r="R659" s="1225"/>
      <c r="S659" s="1225"/>
      <c r="T659" s="1225">
        <f t="shared" ref="T659:V663" si="127">+T563+T569+T575+T587+T593+T599+T605+T611+T617+T629+T641+T647+T653</f>
        <v>22045000</v>
      </c>
      <c r="U659" s="1225">
        <f t="shared" si="127"/>
        <v>93753000</v>
      </c>
      <c r="V659" s="1225">
        <f t="shared" si="122"/>
        <v>109213000</v>
      </c>
      <c r="W659" s="1225"/>
      <c r="X659" s="1225">
        <f t="shared" si="123"/>
        <v>0</v>
      </c>
      <c r="Y659" s="1225">
        <f t="shared" si="123"/>
        <v>0</v>
      </c>
      <c r="Z659" s="1225">
        <f t="shared" si="123"/>
        <v>0</v>
      </c>
      <c r="AA659" s="1225">
        <f t="shared" si="124"/>
        <v>0</v>
      </c>
      <c r="AB659" s="1225">
        <f t="shared" si="125"/>
        <v>0</v>
      </c>
      <c r="AC659" s="1225">
        <f t="shared" si="125"/>
        <v>0</v>
      </c>
      <c r="AD659" s="1225">
        <f t="shared" si="125"/>
        <v>0</v>
      </c>
      <c r="AE659" s="1225">
        <f t="shared" si="125"/>
        <v>0</v>
      </c>
      <c r="AF659" s="1023"/>
      <c r="AG659" s="1247"/>
      <c r="AH659" s="1246"/>
      <c r="AI659" s="1246"/>
      <c r="AJ659" s="1246"/>
      <c r="AK659" s="1247"/>
      <c r="AL659" s="1246"/>
      <c r="AM659" s="1246"/>
      <c r="AN659" s="1345"/>
      <c r="AO659" s="1345"/>
      <c r="AP659" s="1345"/>
      <c r="AQ659" s="1240"/>
      <c r="AR659" s="1240"/>
      <c r="AS659" s="1240"/>
      <c r="AT659" s="1240"/>
      <c r="AU659" s="1240"/>
      <c r="AV659" s="1240"/>
      <c r="AW659" s="1240"/>
      <c r="AX659" s="1345"/>
      <c r="AY659" s="1240"/>
    </row>
    <row r="660" spans="1:51" ht="28.9" customHeight="1" x14ac:dyDescent="0.25">
      <c r="A660" s="1189"/>
      <c r="B660" s="1018"/>
      <c r="C660" s="1018"/>
      <c r="D660" s="165" t="s">
        <v>345</v>
      </c>
      <c r="E660" s="1225">
        <f t="shared" si="121"/>
        <v>0</v>
      </c>
      <c r="F660" s="1225">
        <f t="shared" si="121"/>
        <v>0</v>
      </c>
      <c r="G660" s="1225">
        <f t="shared" si="126"/>
        <v>0</v>
      </c>
      <c r="H660" s="1225">
        <f t="shared" si="126"/>
        <v>0</v>
      </c>
      <c r="I660" s="1225">
        <f t="shared" si="126"/>
        <v>0</v>
      </c>
      <c r="J660" s="1225"/>
      <c r="K660" s="1225"/>
      <c r="L660" s="1225"/>
      <c r="M660" s="1225"/>
      <c r="N660" s="1225"/>
      <c r="O660" s="1225"/>
      <c r="P660" s="1225"/>
      <c r="Q660" s="1225"/>
      <c r="R660" s="1225"/>
      <c r="S660" s="1023"/>
      <c r="T660" s="1225">
        <f t="shared" si="127"/>
        <v>0</v>
      </c>
      <c r="U660" s="1225">
        <f t="shared" si="127"/>
        <v>0</v>
      </c>
      <c r="V660" s="1225">
        <f t="shared" si="122"/>
        <v>0</v>
      </c>
      <c r="W660" s="1225"/>
      <c r="X660" s="1225">
        <f t="shared" si="123"/>
        <v>0</v>
      </c>
      <c r="Y660" s="1225">
        <f t="shared" si="123"/>
        <v>0</v>
      </c>
      <c r="Z660" s="1225">
        <f t="shared" si="123"/>
        <v>0</v>
      </c>
      <c r="AA660" s="1225">
        <f t="shared" si="124"/>
        <v>0</v>
      </c>
      <c r="AB660" s="1225">
        <f t="shared" si="125"/>
        <v>0</v>
      </c>
      <c r="AC660" s="1225">
        <f t="shared" si="125"/>
        <v>0</v>
      </c>
      <c r="AD660" s="1225">
        <f t="shared" si="125"/>
        <v>0</v>
      </c>
      <c r="AE660" s="1225">
        <f t="shared" si="125"/>
        <v>0</v>
      </c>
      <c r="AF660" s="1023"/>
      <c r="AG660" s="1247"/>
      <c r="AH660" s="1246"/>
      <c r="AI660" s="1246"/>
      <c r="AJ660" s="1246"/>
      <c r="AK660" s="1247"/>
      <c r="AL660" s="1246"/>
      <c r="AM660" s="1246"/>
      <c r="AN660" s="1345"/>
      <c r="AO660" s="1345"/>
      <c r="AP660" s="1345"/>
      <c r="AQ660" s="1240"/>
      <c r="AR660" s="1240"/>
      <c r="AS660" s="1240"/>
      <c r="AT660" s="1240"/>
      <c r="AU660" s="1240"/>
      <c r="AV660" s="1240"/>
      <c r="AW660" s="1240"/>
      <c r="AX660" s="1345"/>
      <c r="AY660" s="1240"/>
    </row>
    <row r="661" spans="1:51" ht="28.9" customHeight="1" x14ac:dyDescent="0.25">
      <c r="A661" s="1189"/>
      <c r="B661" s="1018"/>
      <c r="C661" s="1018"/>
      <c r="D661" s="164" t="s">
        <v>346</v>
      </c>
      <c r="E661" s="1225">
        <f t="shared" si="121"/>
        <v>28144567</v>
      </c>
      <c r="F661" s="1225">
        <f t="shared" si="121"/>
        <v>28144567</v>
      </c>
      <c r="G661" s="1225">
        <f t="shared" si="126"/>
        <v>28144567</v>
      </c>
      <c r="H661" s="1225">
        <f t="shared" si="126"/>
        <v>28144567</v>
      </c>
      <c r="I661" s="1225">
        <f t="shared" si="126"/>
        <v>28144567</v>
      </c>
      <c r="J661" s="1225"/>
      <c r="K661" s="1225"/>
      <c r="L661" s="1225"/>
      <c r="M661" s="1225"/>
      <c r="N661" s="1225"/>
      <c r="O661" s="1225"/>
      <c r="P661" s="1225"/>
      <c r="Q661" s="1225"/>
      <c r="R661" s="1225"/>
      <c r="S661" s="1023"/>
      <c r="T661" s="1225">
        <f t="shared" si="127"/>
        <v>10020200</v>
      </c>
      <c r="U661" s="1225">
        <f>+U565+U571+U577+U589+U595+U601+U607+U613+U619+U631+U643+U649+U655</f>
        <v>26975567</v>
      </c>
      <c r="V661" s="1225">
        <f>+V565+V571+V577+V589+V595+V601+V607+V613+V619+V631+V643+V649+V655</f>
        <v>26975567</v>
      </c>
      <c r="W661" s="1225"/>
      <c r="X661" s="1225">
        <f t="shared" si="123"/>
        <v>0</v>
      </c>
      <c r="Y661" s="1225">
        <f t="shared" si="123"/>
        <v>0</v>
      </c>
      <c r="Z661" s="1225">
        <f t="shared" si="123"/>
        <v>0</v>
      </c>
      <c r="AA661" s="1225">
        <f t="shared" si="124"/>
        <v>0</v>
      </c>
      <c r="AB661" s="1225">
        <f t="shared" si="125"/>
        <v>0</v>
      </c>
      <c r="AC661" s="1225">
        <f t="shared" si="125"/>
        <v>0</v>
      </c>
      <c r="AD661" s="1225">
        <f t="shared" si="125"/>
        <v>0</v>
      </c>
      <c r="AE661" s="1225">
        <f t="shared" si="125"/>
        <v>0</v>
      </c>
      <c r="AF661" s="1023"/>
      <c r="AG661" s="1247"/>
      <c r="AH661" s="1246"/>
      <c r="AI661" s="1246"/>
      <c r="AJ661" s="1246"/>
      <c r="AK661" s="1247"/>
      <c r="AL661" s="1246"/>
      <c r="AM661" s="1246"/>
      <c r="AN661" s="1345"/>
      <c r="AO661" s="1345"/>
      <c r="AP661" s="1345"/>
      <c r="AQ661" s="1240"/>
      <c r="AR661" s="1240"/>
      <c r="AS661" s="1240"/>
      <c r="AT661" s="1240"/>
      <c r="AU661" s="1240"/>
      <c r="AV661" s="1240"/>
      <c r="AW661" s="1240"/>
      <c r="AX661" s="1345"/>
      <c r="AY661" s="1240"/>
    </row>
    <row r="662" spans="1:51" ht="28.9" customHeight="1" x14ac:dyDescent="0.25">
      <c r="A662" s="1189"/>
      <c r="B662" s="1018"/>
      <c r="C662" s="1018"/>
      <c r="D662" s="165" t="s">
        <v>347</v>
      </c>
      <c r="E662" s="1225">
        <f t="shared" si="121"/>
        <v>16</v>
      </c>
      <c r="F662" s="1225">
        <f t="shared" si="121"/>
        <v>16</v>
      </c>
      <c r="G662" s="1225">
        <f t="shared" si="126"/>
        <v>16</v>
      </c>
      <c r="H662" s="1225">
        <f t="shared" si="126"/>
        <v>16</v>
      </c>
      <c r="I662" s="1225">
        <v>16</v>
      </c>
      <c r="J662" s="1225"/>
      <c r="K662" s="1225"/>
      <c r="L662" s="1225"/>
      <c r="M662" s="1225"/>
      <c r="N662" s="1225"/>
      <c r="O662" s="1225"/>
      <c r="P662" s="1225"/>
      <c r="Q662" s="1225"/>
      <c r="R662" s="1225"/>
      <c r="S662" s="1023"/>
      <c r="T662" s="1225">
        <f t="shared" si="127"/>
        <v>2</v>
      </c>
      <c r="U662" s="1225">
        <f t="shared" si="127"/>
        <v>2</v>
      </c>
      <c r="V662" s="1225">
        <f t="shared" si="127"/>
        <v>4</v>
      </c>
      <c r="W662" s="1225"/>
      <c r="X662" s="1225">
        <f t="shared" si="123"/>
        <v>0</v>
      </c>
      <c r="Y662" s="1225">
        <f t="shared" si="123"/>
        <v>0</v>
      </c>
      <c r="Z662" s="1225">
        <f t="shared" si="123"/>
        <v>0</v>
      </c>
      <c r="AA662" s="1225">
        <f t="shared" si="124"/>
        <v>0</v>
      </c>
      <c r="AB662" s="1225">
        <f t="shared" si="125"/>
        <v>0</v>
      </c>
      <c r="AC662" s="1225">
        <f t="shared" si="125"/>
        <v>0</v>
      </c>
      <c r="AD662" s="1225">
        <f t="shared" si="125"/>
        <v>0</v>
      </c>
      <c r="AE662" s="1225">
        <f t="shared" si="125"/>
        <v>0</v>
      </c>
      <c r="AF662" s="1023"/>
      <c r="AG662" s="1247"/>
      <c r="AH662" s="1246"/>
      <c r="AI662" s="1246"/>
      <c r="AJ662" s="1246"/>
      <c r="AK662" s="1247"/>
      <c r="AL662" s="1246"/>
      <c r="AM662" s="1246"/>
      <c r="AN662" s="1345"/>
      <c r="AO662" s="1345"/>
      <c r="AP662" s="1345"/>
      <c r="AQ662" s="1240"/>
      <c r="AR662" s="1240"/>
      <c r="AS662" s="1240"/>
      <c r="AT662" s="1240"/>
      <c r="AU662" s="1240"/>
      <c r="AV662" s="1240"/>
      <c r="AW662" s="1240"/>
      <c r="AX662" s="1345"/>
      <c r="AY662" s="1240"/>
    </row>
    <row r="663" spans="1:51" ht="28.9" customHeight="1" thickBot="1" x14ac:dyDescent="0.3">
      <c r="A663" s="1190"/>
      <c r="B663" s="1376"/>
      <c r="C663" s="1048"/>
      <c r="D663" s="164" t="s">
        <v>348</v>
      </c>
      <c r="E663" s="1225">
        <f t="shared" si="121"/>
        <v>407074567</v>
      </c>
      <c r="F663" s="1225">
        <f t="shared" si="121"/>
        <v>407074567</v>
      </c>
      <c r="G663" s="1225">
        <f t="shared" si="126"/>
        <v>407074567</v>
      </c>
      <c r="H663" s="1225">
        <f t="shared" si="126"/>
        <v>407074567</v>
      </c>
      <c r="I663" s="1225">
        <f t="shared" si="126"/>
        <v>407074567</v>
      </c>
      <c r="J663" s="1225"/>
      <c r="K663" s="1225"/>
      <c r="L663" s="1225"/>
      <c r="M663" s="1225"/>
      <c r="N663" s="1225"/>
      <c r="O663" s="1225"/>
      <c r="P663" s="1225"/>
      <c r="Q663" s="1225"/>
      <c r="R663" s="1225"/>
      <c r="S663" s="1023"/>
      <c r="T663" s="1225">
        <f t="shared" si="127"/>
        <v>32065200</v>
      </c>
      <c r="U663" s="1225">
        <f t="shared" si="127"/>
        <v>120728567</v>
      </c>
      <c r="V663" s="1225">
        <f t="shared" si="127"/>
        <v>136188567</v>
      </c>
      <c r="W663" s="1225"/>
      <c r="X663" s="1225">
        <f t="shared" si="123"/>
        <v>0</v>
      </c>
      <c r="Y663" s="1225">
        <f t="shared" si="123"/>
        <v>0</v>
      </c>
      <c r="Z663" s="1225">
        <f t="shared" si="123"/>
        <v>0</v>
      </c>
      <c r="AA663" s="1225">
        <f t="shared" si="124"/>
        <v>0</v>
      </c>
      <c r="AB663" s="1225">
        <f t="shared" si="125"/>
        <v>0</v>
      </c>
      <c r="AC663" s="1225">
        <f t="shared" si="125"/>
        <v>0</v>
      </c>
      <c r="AD663" s="1225">
        <f t="shared" si="125"/>
        <v>0</v>
      </c>
      <c r="AE663" s="1225">
        <f t="shared" si="125"/>
        <v>0</v>
      </c>
      <c r="AF663" s="1023"/>
      <c r="AG663" s="1250"/>
      <c r="AH663" s="1249"/>
      <c r="AI663" s="1249"/>
      <c r="AJ663" s="1249"/>
      <c r="AK663" s="1250"/>
      <c r="AL663" s="1249"/>
      <c r="AM663" s="1249"/>
      <c r="AN663" s="1346"/>
      <c r="AO663" s="1346"/>
      <c r="AP663" s="1346"/>
      <c r="AQ663" s="1241"/>
      <c r="AR663" s="1241"/>
      <c r="AS663" s="1241"/>
      <c r="AT663" s="1241"/>
      <c r="AU663" s="1241"/>
      <c r="AV663" s="1241"/>
      <c r="AW663" s="1241"/>
      <c r="AX663" s="1346"/>
      <c r="AY663" s="1241"/>
    </row>
    <row r="664" spans="1:51" ht="19.149999999999999" customHeight="1" x14ac:dyDescent="0.25">
      <c r="A664" s="1216">
        <v>7</v>
      </c>
      <c r="B664" s="1374" t="s">
        <v>674</v>
      </c>
      <c r="C664" s="1217" t="s">
        <v>675</v>
      </c>
      <c r="D664" s="161" t="s">
        <v>340</v>
      </c>
      <c r="E664" s="1225">
        <f>+INVERSIÓN!DN52</f>
        <v>0.82</v>
      </c>
      <c r="F664" s="1225">
        <v>0.82399999999999995</v>
      </c>
      <c r="G664" s="1225">
        <v>0.82399999999999995</v>
      </c>
      <c r="H664" s="1225">
        <v>0.82399999999999995</v>
      </c>
      <c r="I664" s="1326">
        <v>0.82399999999999995</v>
      </c>
      <c r="J664" s="1326"/>
      <c r="K664" s="1326"/>
      <c r="L664" s="1326"/>
      <c r="M664" s="1225"/>
      <c r="N664" s="1225"/>
      <c r="O664" s="1006"/>
      <c r="P664" s="1225"/>
      <c r="Q664" s="1225"/>
      <c r="R664" s="1225"/>
      <c r="S664" s="1325"/>
      <c r="T664" s="1006">
        <v>0.15</v>
      </c>
      <c r="U664" s="1028">
        <v>0.25</v>
      </c>
      <c r="V664" s="1028">
        <v>0.41000000000000003</v>
      </c>
      <c r="W664" s="1028"/>
      <c r="X664" s="1028"/>
      <c r="Y664" s="1028"/>
      <c r="Z664" s="1028"/>
      <c r="AA664" s="1028"/>
      <c r="AB664" s="1028"/>
      <c r="AC664" s="1326"/>
      <c r="AD664" s="1225"/>
      <c r="AE664" s="1326"/>
      <c r="AF664" s="1301"/>
      <c r="AG664" s="1244" t="s">
        <v>456</v>
      </c>
      <c r="AH664" s="1243" t="s">
        <v>178</v>
      </c>
      <c r="AI664" s="1243" t="s">
        <v>178</v>
      </c>
      <c r="AJ664" s="1243" t="s">
        <v>178</v>
      </c>
      <c r="AK664" s="1244" t="s">
        <v>457</v>
      </c>
      <c r="AL664" s="1243" t="s">
        <v>178</v>
      </c>
      <c r="AM664" s="1243" t="s">
        <v>603</v>
      </c>
      <c r="AN664" s="1252">
        <v>8034649</v>
      </c>
      <c r="AO664" s="1252">
        <v>3847592</v>
      </c>
      <c r="AP664" s="1252">
        <v>418057</v>
      </c>
      <c r="AQ664" s="1072" t="s">
        <v>459</v>
      </c>
      <c r="AR664" s="1072" t="s">
        <v>459</v>
      </c>
      <c r="AS664" s="1072" t="s">
        <v>459</v>
      </c>
      <c r="AT664" s="1072" t="s">
        <v>459</v>
      </c>
      <c r="AU664" s="1072" t="s">
        <v>459</v>
      </c>
      <c r="AV664" s="1072" t="s">
        <v>459</v>
      </c>
      <c r="AW664" s="1072" t="s">
        <v>459</v>
      </c>
      <c r="AX664" s="1252">
        <v>8034649</v>
      </c>
      <c r="AY664" s="1072" t="s">
        <v>676</v>
      </c>
    </row>
    <row r="665" spans="1:51" ht="19.149999999999999" customHeight="1" x14ac:dyDescent="0.25">
      <c r="A665" s="1189"/>
      <c r="B665" s="1018"/>
      <c r="C665" s="1018"/>
      <c r="D665" s="164" t="s">
        <v>343</v>
      </c>
      <c r="E665" s="1225">
        <f>+INVERSIÓN!DN53</f>
        <v>1824103000</v>
      </c>
      <c r="F665" s="1225">
        <v>1824103000</v>
      </c>
      <c r="G665" s="1225">
        <v>1824103000</v>
      </c>
      <c r="H665" s="1225">
        <v>1824103000</v>
      </c>
      <c r="I665" s="1225">
        <v>1824103000</v>
      </c>
      <c r="J665" s="1225"/>
      <c r="K665" s="1225"/>
      <c r="L665" s="1225"/>
      <c r="M665" s="1225"/>
      <c r="N665" s="1225"/>
      <c r="O665" s="1006"/>
      <c r="P665" s="1006"/>
      <c r="Q665" s="1006"/>
      <c r="R665" s="1006"/>
      <c r="S665" s="1219"/>
      <c r="T665" s="1006">
        <v>26646000</v>
      </c>
      <c r="U665" s="1028">
        <v>49034000</v>
      </c>
      <c r="V665" s="1006">
        <v>85726000</v>
      </c>
      <c r="W665" s="1006"/>
      <c r="X665" s="1059"/>
      <c r="Y665" s="1006"/>
      <c r="Z665" s="1006"/>
      <c r="AA665" s="1006"/>
      <c r="AB665" s="1006"/>
      <c r="AC665" s="1225"/>
      <c r="AD665" s="1225"/>
      <c r="AE665" s="1028"/>
      <c r="AF665" s="1219"/>
      <c r="AG665" s="1247"/>
      <c r="AH665" s="1246"/>
      <c r="AI665" s="1246"/>
      <c r="AJ665" s="1246"/>
      <c r="AK665" s="1247"/>
      <c r="AL665" s="1246"/>
      <c r="AM665" s="1246"/>
      <c r="AN665" s="1345"/>
      <c r="AO665" s="1345"/>
      <c r="AP665" s="1345"/>
      <c r="AQ665" s="1105"/>
      <c r="AR665" s="1105"/>
      <c r="AS665" s="1105"/>
      <c r="AT665" s="1105"/>
      <c r="AU665" s="1105"/>
      <c r="AV665" s="1105"/>
      <c r="AW665" s="1105"/>
      <c r="AX665" s="1345"/>
      <c r="AY665" s="1105"/>
    </row>
    <row r="666" spans="1:51" ht="28.9" customHeight="1" x14ac:dyDescent="0.25">
      <c r="A666" s="1189"/>
      <c r="B666" s="1018"/>
      <c r="C666" s="1018"/>
      <c r="D666" s="165" t="s">
        <v>345</v>
      </c>
      <c r="E666" s="1225">
        <f>+INVERSIÓN!DN55</f>
        <v>0.1</v>
      </c>
      <c r="F666" s="1225">
        <v>0.1</v>
      </c>
      <c r="G666" s="1225">
        <v>0.1</v>
      </c>
      <c r="H666" s="1225">
        <v>0.1</v>
      </c>
      <c r="I666" s="1225">
        <v>0.1</v>
      </c>
      <c r="J666" s="1225"/>
      <c r="K666" s="1225"/>
      <c r="L666" s="1225"/>
      <c r="M666" s="1225"/>
      <c r="N666" s="1225"/>
      <c r="O666" s="1006"/>
      <c r="P666" s="1006"/>
      <c r="Q666" s="1006"/>
      <c r="R666" s="1006"/>
      <c r="S666" s="1219"/>
      <c r="T666" s="1006">
        <v>0.1</v>
      </c>
      <c r="U666" s="1006">
        <v>0.1</v>
      </c>
      <c r="V666" s="1006">
        <v>0.1</v>
      </c>
      <c r="W666" s="1006"/>
      <c r="X666" s="1059"/>
      <c r="Y666" s="1059"/>
      <c r="Z666" s="1006"/>
      <c r="AA666" s="1006"/>
      <c r="AB666" s="1006"/>
      <c r="AC666" s="1006"/>
      <c r="AD666" s="1225"/>
      <c r="AE666" s="1006"/>
      <c r="AF666" s="1219"/>
      <c r="AG666" s="1247"/>
      <c r="AH666" s="1246"/>
      <c r="AI666" s="1246"/>
      <c r="AJ666" s="1246"/>
      <c r="AK666" s="1247"/>
      <c r="AL666" s="1246"/>
      <c r="AM666" s="1246"/>
      <c r="AN666" s="1345"/>
      <c r="AO666" s="1345"/>
      <c r="AP666" s="1345"/>
      <c r="AQ666" s="1105"/>
      <c r="AR666" s="1105"/>
      <c r="AS666" s="1105"/>
      <c r="AT666" s="1105"/>
      <c r="AU666" s="1105"/>
      <c r="AV666" s="1105"/>
      <c r="AW666" s="1105"/>
      <c r="AX666" s="1345"/>
      <c r="AY666" s="1105"/>
    </row>
    <row r="667" spans="1:51" ht="28.9" customHeight="1" x14ac:dyDescent="0.25">
      <c r="A667" s="1189"/>
      <c r="B667" s="1018"/>
      <c r="C667" s="1018"/>
      <c r="D667" s="164" t="s">
        <v>346</v>
      </c>
      <c r="E667" s="1225">
        <f>+INVERSIÓN!DN56</f>
        <v>518027966</v>
      </c>
      <c r="F667" s="1225">
        <v>518027966</v>
      </c>
      <c r="G667" s="1225">
        <v>518027966</v>
      </c>
      <c r="H667" s="1225">
        <v>518027966</v>
      </c>
      <c r="I667" s="1225">
        <v>518027966</v>
      </c>
      <c r="J667" s="1225"/>
      <c r="K667" s="1225"/>
      <c r="L667" s="1225"/>
      <c r="M667" s="1225"/>
      <c r="N667" s="1225"/>
      <c r="O667" s="1225"/>
      <c r="P667" s="1006"/>
      <c r="Q667" s="1006"/>
      <c r="R667" s="1006"/>
      <c r="S667" s="1219"/>
      <c r="T667" s="1006">
        <v>8322000</v>
      </c>
      <c r="U667" s="1006">
        <v>33621433</v>
      </c>
      <c r="V667" s="1006">
        <v>129741566</v>
      </c>
      <c r="W667" s="1006"/>
      <c r="X667" s="1059"/>
      <c r="Y667" s="1059"/>
      <c r="Z667" s="1006"/>
      <c r="AA667" s="1006"/>
      <c r="AB667" s="1006"/>
      <c r="AC667" s="1006"/>
      <c r="AD667" s="1006"/>
      <c r="AE667" s="1028"/>
      <c r="AF667" s="1219"/>
      <c r="AG667" s="1247"/>
      <c r="AH667" s="1246"/>
      <c r="AI667" s="1246"/>
      <c r="AJ667" s="1246"/>
      <c r="AK667" s="1247"/>
      <c r="AL667" s="1246"/>
      <c r="AM667" s="1246"/>
      <c r="AN667" s="1345"/>
      <c r="AO667" s="1345"/>
      <c r="AP667" s="1345"/>
      <c r="AQ667" s="1105"/>
      <c r="AR667" s="1105"/>
      <c r="AS667" s="1105"/>
      <c r="AT667" s="1105"/>
      <c r="AU667" s="1105"/>
      <c r="AV667" s="1105"/>
      <c r="AW667" s="1105"/>
      <c r="AX667" s="1345"/>
      <c r="AY667" s="1105"/>
    </row>
    <row r="668" spans="1:51" ht="28.9" customHeight="1" x14ac:dyDescent="0.25">
      <c r="A668" s="1189"/>
      <c r="B668" s="1018"/>
      <c r="C668" s="1018"/>
      <c r="D668" s="165" t="s">
        <v>347</v>
      </c>
      <c r="E668" s="1225">
        <f>+INVERSIÓN!DN57</f>
        <v>0.91999999999999993</v>
      </c>
      <c r="F668" s="1225">
        <v>0.82</v>
      </c>
      <c r="G668" s="1225">
        <v>0.82</v>
      </c>
      <c r="H668" s="1225">
        <f>+H664+H666</f>
        <v>0.92399999999999993</v>
      </c>
      <c r="I668" s="1326">
        <v>0.92399999999999993</v>
      </c>
      <c r="J668" s="1326"/>
      <c r="K668" s="1326"/>
      <c r="L668" s="1326"/>
      <c r="M668" s="1225"/>
      <c r="N668" s="1225"/>
      <c r="O668" s="1225"/>
      <c r="P668" s="1006"/>
      <c r="Q668" s="1006"/>
      <c r="R668" s="1006"/>
      <c r="S668" s="1219"/>
      <c r="T668" s="1006">
        <v>0.25</v>
      </c>
      <c r="U668" s="1006">
        <v>0.35</v>
      </c>
      <c r="V668" s="1006">
        <f>+V664+V666</f>
        <v>0.51</v>
      </c>
      <c r="W668" s="1028"/>
      <c r="X668" s="1028"/>
      <c r="Y668" s="1326"/>
      <c r="Z668" s="1028"/>
      <c r="AA668" s="1028"/>
      <c r="AB668" s="1028"/>
      <c r="AC668" s="1028"/>
      <c r="AD668" s="1028"/>
      <c r="AE668" s="1326"/>
      <c r="AF668" s="1219"/>
      <c r="AG668" s="1247"/>
      <c r="AH668" s="1246"/>
      <c r="AI668" s="1246"/>
      <c r="AJ668" s="1246"/>
      <c r="AK668" s="1247"/>
      <c r="AL668" s="1246"/>
      <c r="AM668" s="1246"/>
      <c r="AN668" s="1345"/>
      <c r="AO668" s="1345"/>
      <c r="AP668" s="1345"/>
      <c r="AQ668" s="1105"/>
      <c r="AR668" s="1105"/>
      <c r="AS668" s="1105"/>
      <c r="AT668" s="1105"/>
      <c r="AU668" s="1105"/>
      <c r="AV668" s="1105"/>
      <c r="AW668" s="1105"/>
      <c r="AX668" s="1345"/>
      <c r="AY668" s="1105"/>
    </row>
    <row r="669" spans="1:51" ht="28.9" customHeight="1" x14ac:dyDescent="0.25">
      <c r="A669" s="1189"/>
      <c r="B669" s="1018"/>
      <c r="C669" s="1048"/>
      <c r="D669" s="164" t="s">
        <v>348</v>
      </c>
      <c r="E669" s="1225">
        <f>+INVERSIÓN!DN58</f>
        <v>2342130966</v>
      </c>
      <c r="F669" s="1059">
        <v>2342130966</v>
      </c>
      <c r="G669" s="1059">
        <v>2342130966</v>
      </c>
      <c r="H669" s="1059">
        <v>2342130966</v>
      </c>
      <c r="I669" s="1225">
        <v>2342130966</v>
      </c>
      <c r="J669" s="1225"/>
      <c r="K669" s="1225"/>
      <c r="L669" s="1225"/>
      <c r="M669" s="1225"/>
      <c r="N669" s="1225"/>
      <c r="O669" s="1225"/>
      <c r="P669" s="1225"/>
      <c r="Q669" s="1225"/>
      <c r="R669" s="1225"/>
      <c r="S669" s="1219"/>
      <c r="T669" s="1006">
        <v>34968000</v>
      </c>
      <c r="U669" s="1006">
        <v>82655433</v>
      </c>
      <c r="V669" s="1024">
        <f>+V665+V667</f>
        <v>215467566</v>
      </c>
      <c r="W669" s="1006"/>
      <c r="X669" s="1006"/>
      <c r="Y669" s="1225"/>
      <c r="Z669" s="1225"/>
      <c r="AA669" s="1225"/>
      <c r="AB669" s="1225"/>
      <c r="AC669" s="1225"/>
      <c r="AD669" s="1225"/>
      <c r="AE669" s="1225"/>
      <c r="AF669" s="1219"/>
      <c r="AG669" s="1250"/>
      <c r="AH669" s="1249"/>
      <c r="AI669" s="1249"/>
      <c r="AJ669" s="1249"/>
      <c r="AK669" s="1250"/>
      <c r="AL669" s="1249"/>
      <c r="AM669" s="1249"/>
      <c r="AN669" s="1346"/>
      <c r="AO669" s="1346"/>
      <c r="AP669" s="1346"/>
      <c r="AQ669" s="1113"/>
      <c r="AR669" s="1113"/>
      <c r="AS669" s="1113"/>
      <c r="AT669" s="1113"/>
      <c r="AU669" s="1113"/>
      <c r="AV669" s="1113"/>
      <c r="AW669" s="1113"/>
      <c r="AX669" s="1346"/>
      <c r="AY669" s="1113"/>
    </row>
    <row r="670" spans="1:51" ht="19.149999999999999" customHeight="1" x14ac:dyDescent="0.25">
      <c r="A670" s="1189"/>
      <c r="B670" s="1018"/>
      <c r="C670" s="1217" t="s">
        <v>512</v>
      </c>
      <c r="D670" s="161" t="s">
        <v>340</v>
      </c>
      <c r="E670" s="1225">
        <f t="shared" ref="E670:L670" si="128">+E664</f>
        <v>0.82</v>
      </c>
      <c r="F670" s="1225">
        <f t="shared" si="128"/>
        <v>0.82399999999999995</v>
      </c>
      <c r="G670" s="1225">
        <f t="shared" si="128"/>
        <v>0.82399999999999995</v>
      </c>
      <c r="H670" s="1225">
        <f t="shared" si="128"/>
        <v>0.82399999999999995</v>
      </c>
      <c r="I670" s="1225">
        <f t="shared" si="128"/>
        <v>0.82399999999999995</v>
      </c>
      <c r="J670" s="1225"/>
      <c r="K670" s="1225"/>
      <c r="L670" s="1225"/>
      <c r="M670" s="1225"/>
      <c r="N670" s="1225"/>
      <c r="O670" s="1225"/>
      <c r="P670" s="1225"/>
      <c r="Q670" s="1225"/>
      <c r="R670" s="1225"/>
      <c r="S670" s="1219"/>
      <c r="T670" s="1326">
        <f t="shared" ref="T670:Y670" si="129">+T664</f>
        <v>0.15</v>
      </c>
      <c r="U670" s="1326">
        <f t="shared" si="129"/>
        <v>0.25</v>
      </c>
      <c r="V670" s="1326">
        <f t="shared" si="129"/>
        <v>0.41000000000000003</v>
      </c>
      <c r="W670" s="1326"/>
      <c r="X670" s="1326">
        <f t="shared" si="129"/>
        <v>0</v>
      </c>
      <c r="Y670" s="1326">
        <f t="shared" si="129"/>
        <v>0</v>
      </c>
      <c r="Z670" s="1326">
        <f t="shared" ref="Z670:AE670" si="130">+Z664</f>
        <v>0</v>
      </c>
      <c r="AA670" s="1326">
        <f t="shared" si="130"/>
        <v>0</v>
      </c>
      <c r="AB670" s="1326">
        <f t="shared" si="130"/>
        <v>0</v>
      </c>
      <c r="AC670" s="1326">
        <f t="shared" si="130"/>
        <v>0</v>
      </c>
      <c r="AD670" s="1326">
        <f t="shared" si="130"/>
        <v>0</v>
      </c>
      <c r="AE670" s="1326">
        <f t="shared" si="130"/>
        <v>0</v>
      </c>
      <c r="AF670" s="1219"/>
      <c r="AG670" s="1300" t="s">
        <v>456</v>
      </c>
      <c r="AH670" s="1299" t="s">
        <v>178</v>
      </c>
      <c r="AI670" s="1299" t="s">
        <v>178</v>
      </c>
      <c r="AJ670" s="1299" t="s">
        <v>178</v>
      </c>
      <c r="AK670" s="1300" t="s">
        <v>457</v>
      </c>
      <c r="AL670" s="1299" t="s">
        <v>178</v>
      </c>
      <c r="AM670" s="1299" t="s">
        <v>603</v>
      </c>
      <c r="AN670" s="1252">
        <v>8034649</v>
      </c>
      <c r="AO670" s="1252">
        <v>3847592</v>
      </c>
      <c r="AP670" s="1252">
        <v>418057</v>
      </c>
      <c r="AQ670" s="1302" t="s">
        <v>459</v>
      </c>
      <c r="AR670" s="1302" t="s">
        <v>459</v>
      </c>
      <c r="AS670" s="1302" t="s">
        <v>459</v>
      </c>
      <c r="AT670" s="1302" t="s">
        <v>459</v>
      </c>
      <c r="AU670" s="1302" t="s">
        <v>459</v>
      </c>
      <c r="AV670" s="1302" t="s">
        <v>459</v>
      </c>
      <c r="AW670" s="1302" t="s">
        <v>459</v>
      </c>
      <c r="AX670" s="1252">
        <v>8034649</v>
      </c>
      <c r="AY670" s="1263"/>
    </row>
    <row r="671" spans="1:51" ht="19.149999999999999" customHeight="1" x14ac:dyDescent="0.25">
      <c r="A671" s="1189"/>
      <c r="B671" s="1018"/>
      <c r="C671" s="1018"/>
      <c r="D671" s="164" t="s">
        <v>343</v>
      </c>
      <c r="E671" s="1225">
        <f t="shared" ref="E671:L671" si="131">+E665</f>
        <v>1824103000</v>
      </c>
      <c r="F671" s="1225">
        <f t="shared" si="131"/>
        <v>1824103000</v>
      </c>
      <c r="G671" s="1225">
        <f t="shared" si="131"/>
        <v>1824103000</v>
      </c>
      <c r="H671" s="1225">
        <f t="shared" si="131"/>
        <v>1824103000</v>
      </c>
      <c r="I671" s="1225">
        <f t="shared" si="131"/>
        <v>1824103000</v>
      </c>
      <c r="J671" s="1225"/>
      <c r="K671" s="1225"/>
      <c r="L671" s="1225"/>
      <c r="M671" s="1225"/>
      <c r="N671" s="1225"/>
      <c r="O671" s="1225"/>
      <c r="P671" s="1225"/>
      <c r="Q671" s="1225"/>
      <c r="R671" s="1225"/>
      <c r="S671" s="1219"/>
      <c r="T671" s="1326">
        <f t="shared" ref="T671:Y671" si="132">+T665</f>
        <v>26646000</v>
      </c>
      <c r="U671" s="1326">
        <f t="shared" si="132"/>
        <v>49034000</v>
      </c>
      <c r="V671" s="1326">
        <f t="shared" si="132"/>
        <v>85726000</v>
      </c>
      <c r="W671" s="1326"/>
      <c r="X671" s="1326">
        <f t="shared" si="132"/>
        <v>0</v>
      </c>
      <c r="Y671" s="1326">
        <f t="shared" si="132"/>
        <v>0</v>
      </c>
      <c r="Z671" s="1326">
        <f t="shared" ref="Z671:AE671" si="133">+Z665</f>
        <v>0</v>
      </c>
      <c r="AA671" s="1326">
        <f t="shared" si="133"/>
        <v>0</v>
      </c>
      <c r="AB671" s="1326">
        <f t="shared" si="133"/>
        <v>0</v>
      </c>
      <c r="AC671" s="1326">
        <f t="shared" si="133"/>
        <v>0</v>
      </c>
      <c r="AD671" s="1326">
        <f t="shared" si="133"/>
        <v>0</v>
      </c>
      <c r="AE671" s="1326">
        <f t="shared" si="133"/>
        <v>0</v>
      </c>
      <c r="AF671" s="1219"/>
      <c r="AG671" s="1219"/>
      <c r="AH671" s="1219"/>
      <c r="AI671" s="1219"/>
      <c r="AJ671" s="1219"/>
      <c r="AK671" s="1219"/>
      <c r="AL671" s="1219"/>
      <c r="AM671" s="1219"/>
      <c r="AN671" s="1345"/>
      <c r="AO671" s="1345"/>
      <c r="AP671" s="1345"/>
      <c r="AQ671" s="1219"/>
      <c r="AR671" s="1219"/>
      <c r="AS671" s="1219"/>
      <c r="AT671" s="1219"/>
      <c r="AU671" s="1219"/>
      <c r="AV671" s="1219"/>
      <c r="AW671" s="1219"/>
      <c r="AX671" s="1345"/>
      <c r="AY671" s="1219"/>
    </row>
    <row r="672" spans="1:51" ht="28.9" customHeight="1" x14ac:dyDescent="0.25">
      <c r="A672" s="1189"/>
      <c r="B672" s="1018"/>
      <c r="C672" s="1018"/>
      <c r="D672" s="165" t="s">
        <v>345</v>
      </c>
      <c r="E672" s="1225">
        <f t="shared" ref="E672:L672" si="134">+E666</f>
        <v>0.1</v>
      </c>
      <c r="F672" s="1225">
        <f t="shared" si="134"/>
        <v>0.1</v>
      </c>
      <c r="G672" s="1225">
        <f t="shared" si="134"/>
        <v>0.1</v>
      </c>
      <c r="H672" s="1225">
        <f t="shared" si="134"/>
        <v>0.1</v>
      </c>
      <c r="I672" s="1225">
        <f t="shared" si="134"/>
        <v>0.1</v>
      </c>
      <c r="J672" s="1225"/>
      <c r="K672" s="1225"/>
      <c r="L672" s="1225"/>
      <c r="M672" s="1225"/>
      <c r="N672" s="1225"/>
      <c r="O672" s="1225"/>
      <c r="P672" s="1225"/>
      <c r="Q672" s="1225"/>
      <c r="R672" s="1225"/>
      <c r="S672" s="1219"/>
      <c r="T672" s="1326">
        <f t="shared" ref="T672:Y672" si="135">+T666</f>
        <v>0.1</v>
      </c>
      <c r="U672" s="1326">
        <f t="shared" si="135"/>
        <v>0.1</v>
      </c>
      <c r="V672" s="1326">
        <f t="shared" si="135"/>
        <v>0.1</v>
      </c>
      <c r="W672" s="1326"/>
      <c r="X672" s="1326">
        <f t="shared" si="135"/>
        <v>0</v>
      </c>
      <c r="Y672" s="1326">
        <f t="shared" si="135"/>
        <v>0</v>
      </c>
      <c r="Z672" s="1326">
        <f t="shared" ref="Z672:AE672" si="136">+Z666</f>
        <v>0</v>
      </c>
      <c r="AA672" s="1326">
        <f t="shared" si="136"/>
        <v>0</v>
      </c>
      <c r="AB672" s="1326">
        <f t="shared" si="136"/>
        <v>0</v>
      </c>
      <c r="AC672" s="1326">
        <f t="shared" si="136"/>
        <v>0</v>
      </c>
      <c r="AD672" s="1326">
        <f t="shared" si="136"/>
        <v>0</v>
      </c>
      <c r="AE672" s="1326">
        <f t="shared" si="136"/>
        <v>0</v>
      </c>
      <c r="AF672" s="1219"/>
      <c r="AG672" s="1219"/>
      <c r="AH672" s="1219"/>
      <c r="AI672" s="1219"/>
      <c r="AJ672" s="1219"/>
      <c r="AK672" s="1219"/>
      <c r="AL672" s="1219"/>
      <c r="AM672" s="1219"/>
      <c r="AN672" s="1345"/>
      <c r="AO672" s="1345"/>
      <c r="AP672" s="1345"/>
      <c r="AQ672" s="1219"/>
      <c r="AR672" s="1219"/>
      <c r="AS672" s="1219"/>
      <c r="AT672" s="1219"/>
      <c r="AU672" s="1219"/>
      <c r="AV672" s="1219"/>
      <c r="AW672" s="1219"/>
      <c r="AX672" s="1345"/>
      <c r="AY672" s="1219"/>
    </row>
    <row r="673" spans="1:51" ht="28.9" customHeight="1" x14ac:dyDescent="0.25">
      <c r="A673" s="1189"/>
      <c r="B673" s="1018"/>
      <c r="C673" s="1018"/>
      <c r="D673" s="164" t="s">
        <v>346</v>
      </c>
      <c r="E673" s="1225">
        <f t="shared" ref="E673:L673" si="137">+E667</f>
        <v>518027966</v>
      </c>
      <c r="F673" s="1225">
        <f t="shared" si="137"/>
        <v>518027966</v>
      </c>
      <c r="G673" s="1225">
        <f t="shared" si="137"/>
        <v>518027966</v>
      </c>
      <c r="H673" s="1225">
        <f t="shared" si="137"/>
        <v>518027966</v>
      </c>
      <c r="I673" s="1225">
        <f t="shared" si="137"/>
        <v>518027966</v>
      </c>
      <c r="J673" s="1225"/>
      <c r="K673" s="1225"/>
      <c r="L673" s="1225"/>
      <c r="M673" s="1225"/>
      <c r="N673" s="1225"/>
      <c r="O673" s="1225"/>
      <c r="P673" s="1225"/>
      <c r="Q673" s="1225"/>
      <c r="R673" s="1225"/>
      <c r="S673" s="1219"/>
      <c r="T673" s="1326">
        <f t="shared" ref="T673:Y673" si="138">+T667</f>
        <v>8322000</v>
      </c>
      <c r="U673" s="1326">
        <f t="shared" si="138"/>
        <v>33621433</v>
      </c>
      <c r="V673" s="1326">
        <f t="shared" si="138"/>
        <v>129741566</v>
      </c>
      <c r="W673" s="1326"/>
      <c r="X673" s="1326">
        <f t="shared" si="138"/>
        <v>0</v>
      </c>
      <c r="Y673" s="1326">
        <f t="shared" si="138"/>
        <v>0</v>
      </c>
      <c r="Z673" s="1326">
        <f t="shared" ref="Z673:AE673" si="139">+Z667</f>
        <v>0</v>
      </c>
      <c r="AA673" s="1326">
        <f t="shared" si="139"/>
        <v>0</v>
      </c>
      <c r="AB673" s="1326">
        <f t="shared" si="139"/>
        <v>0</v>
      </c>
      <c r="AC673" s="1326">
        <f t="shared" si="139"/>
        <v>0</v>
      </c>
      <c r="AD673" s="1326">
        <f t="shared" si="139"/>
        <v>0</v>
      </c>
      <c r="AE673" s="1326">
        <f t="shared" si="139"/>
        <v>0</v>
      </c>
      <c r="AF673" s="1219"/>
      <c r="AG673" s="1219"/>
      <c r="AH673" s="1219"/>
      <c r="AI673" s="1219"/>
      <c r="AJ673" s="1219"/>
      <c r="AK673" s="1219"/>
      <c r="AL673" s="1219"/>
      <c r="AM673" s="1219"/>
      <c r="AN673" s="1345"/>
      <c r="AO673" s="1345"/>
      <c r="AP673" s="1345"/>
      <c r="AQ673" s="1219"/>
      <c r="AR673" s="1219"/>
      <c r="AS673" s="1219"/>
      <c r="AT673" s="1219"/>
      <c r="AU673" s="1219"/>
      <c r="AV673" s="1219"/>
      <c r="AW673" s="1219"/>
      <c r="AX673" s="1345"/>
      <c r="AY673" s="1219"/>
    </row>
    <row r="674" spans="1:51" ht="28.9" customHeight="1" x14ac:dyDescent="0.25">
      <c r="A674" s="1189"/>
      <c r="B674" s="1018"/>
      <c r="C674" s="1018"/>
      <c r="D674" s="165" t="s">
        <v>347</v>
      </c>
      <c r="E674" s="1225">
        <f t="shared" ref="E674:L674" si="140">+E668</f>
        <v>0.91999999999999993</v>
      </c>
      <c r="F674" s="1225">
        <f>+F668+F672</f>
        <v>0.91999999999999993</v>
      </c>
      <c r="G674" s="1225">
        <f>+G668+G672</f>
        <v>0.91999999999999993</v>
      </c>
      <c r="H674" s="1225">
        <f>+H668</f>
        <v>0.92399999999999993</v>
      </c>
      <c r="I674" s="1225">
        <f t="shared" ref="I674" si="141">+I668</f>
        <v>0.92399999999999993</v>
      </c>
      <c r="J674" s="1225"/>
      <c r="K674" s="1225"/>
      <c r="L674" s="1225"/>
      <c r="M674" s="1225"/>
      <c r="N674" s="1225"/>
      <c r="O674" s="1225"/>
      <c r="P674" s="1225"/>
      <c r="Q674" s="1225"/>
      <c r="R674" s="1225"/>
      <c r="S674" s="1219"/>
      <c r="T674" s="1326">
        <f t="shared" ref="T674:Y674" si="142">+T668</f>
        <v>0.25</v>
      </c>
      <c r="U674" s="1326">
        <f t="shared" si="142"/>
        <v>0.35</v>
      </c>
      <c r="V674" s="1326">
        <f t="shared" si="142"/>
        <v>0.51</v>
      </c>
      <c r="W674" s="1326"/>
      <c r="X674" s="1326">
        <f t="shared" si="142"/>
        <v>0</v>
      </c>
      <c r="Y674" s="1326">
        <f t="shared" si="142"/>
        <v>0</v>
      </c>
      <c r="Z674" s="1326">
        <f>+Z668</f>
        <v>0</v>
      </c>
      <c r="AA674" s="1326">
        <f>+AA668</f>
        <v>0</v>
      </c>
      <c r="AB674" s="1326">
        <f>+AB668</f>
        <v>0</v>
      </c>
      <c r="AC674" s="1326">
        <f>+AC668</f>
        <v>0</v>
      </c>
      <c r="AD674" s="1326">
        <f>+AD668</f>
        <v>0</v>
      </c>
      <c r="AE674" s="1326">
        <f>AE670</f>
        <v>0</v>
      </c>
      <c r="AF674" s="1219"/>
      <c r="AG674" s="1219"/>
      <c r="AH674" s="1219"/>
      <c r="AI674" s="1219"/>
      <c r="AJ674" s="1219"/>
      <c r="AK674" s="1219"/>
      <c r="AL674" s="1219"/>
      <c r="AM674" s="1219"/>
      <c r="AN674" s="1345"/>
      <c r="AO674" s="1345"/>
      <c r="AP674" s="1345"/>
      <c r="AQ674" s="1219"/>
      <c r="AR674" s="1219"/>
      <c r="AS674" s="1219"/>
      <c r="AT674" s="1219"/>
      <c r="AU674" s="1219"/>
      <c r="AV674" s="1219"/>
      <c r="AW674" s="1219"/>
      <c r="AX674" s="1345"/>
      <c r="AY674" s="1219"/>
    </row>
    <row r="675" spans="1:51" ht="28.9" customHeight="1" thickBot="1" x14ac:dyDescent="0.3">
      <c r="A675" s="1190"/>
      <c r="B675" s="1376"/>
      <c r="C675" s="1048"/>
      <c r="D675" s="164" t="s">
        <v>348</v>
      </c>
      <c r="E675" s="1225">
        <f t="shared" ref="E675:L675" si="143">+E669</f>
        <v>2342130966</v>
      </c>
      <c r="F675" s="1225">
        <f t="shared" si="143"/>
        <v>2342130966</v>
      </c>
      <c r="G675" s="1225">
        <f t="shared" si="143"/>
        <v>2342130966</v>
      </c>
      <c r="H675" s="1225">
        <f t="shared" si="143"/>
        <v>2342130966</v>
      </c>
      <c r="I675" s="1225">
        <f t="shared" si="143"/>
        <v>2342130966</v>
      </c>
      <c r="J675" s="1225"/>
      <c r="K675" s="1225"/>
      <c r="L675" s="1225"/>
      <c r="M675" s="1225"/>
      <c r="N675" s="1225"/>
      <c r="O675" s="1225"/>
      <c r="P675" s="1225"/>
      <c r="Q675" s="1225"/>
      <c r="R675" s="1225"/>
      <c r="S675" s="1221"/>
      <c r="T675" s="1225">
        <f t="shared" ref="T675:Y675" si="144">+T669</f>
        <v>34968000</v>
      </c>
      <c r="U675" s="1225">
        <f t="shared" si="144"/>
        <v>82655433</v>
      </c>
      <c r="V675" s="1326">
        <f t="shared" si="144"/>
        <v>215467566</v>
      </c>
      <c r="W675" s="1326"/>
      <c r="X675" s="1326">
        <f t="shared" si="144"/>
        <v>0</v>
      </c>
      <c r="Y675" s="1326">
        <f t="shared" si="144"/>
        <v>0</v>
      </c>
      <c r="Z675" s="1326">
        <f t="shared" ref="Z675:AE675" si="145">+Z669</f>
        <v>0</v>
      </c>
      <c r="AA675" s="1326">
        <f t="shared" si="145"/>
        <v>0</v>
      </c>
      <c r="AB675" s="1326">
        <f t="shared" si="145"/>
        <v>0</v>
      </c>
      <c r="AC675" s="1326">
        <f t="shared" si="145"/>
        <v>0</v>
      </c>
      <c r="AD675" s="1326">
        <f t="shared" si="145"/>
        <v>0</v>
      </c>
      <c r="AE675" s="1326">
        <f t="shared" si="145"/>
        <v>0</v>
      </c>
      <c r="AF675" s="1221"/>
      <c r="AG675" s="1221"/>
      <c r="AH675" s="1221"/>
      <c r="AI675" s="1221"/>
      <c r="AJ675" s="1221"/>
      <c r="AK675" s="1221"/>
      <c r="AL675" s="1221"/>
      <c r="AM675" s="1221"/>
      <c r="AN675" s="1346"/>
      <c r="AO675" s="1346"/>
      <c r="AP675" s="1346"/>
      <c r="AQ675" s="1221"/>
      <c r="AR675" s="1221"/>
      <c r="AS675" s="1221"/>
      <c r="AT675" s="1221"/>
      <c r="AU675" s="1221"/>
      <c r="AV675" s="1221"/>
      <c r="AW675" s="1221"/>
      <c r="AX675" s="1346"/>
      <c r="AY675" s="1221"/>
    </row>
    <row r="676" spans="1:51" ht="19.149999999999999" customHeight="1" x14ac:dyDescent="0.25">
      <c r="A676" s="1216">
        <v>8</v>
      </c>
      <c r="B676" s="1374" t="s">
        <v>362</v>
      </c>
      <c r="C676" s="1239" t="s">
        <v>1492</v>
      </c>
      <c r="D676" s="161" t="s">
        <v>340</v>
      </c>
      <c r="E676" s="1225">
        <f>+INVERSIÓN!DN59</f>
        <v>1.3</v>
      </c>
      <c r="F676" s="1225">
        <v>1.3</v>
      </c>
      <c r="G676" s="1225">
        <v>1.3</v>
      </c>
      <c r="H676" s="1225">
        <v>1.3</v>
      </c>
      <c r="I676" s="1225">
        <v>1.3</v>
      </c>
      <c r="J676" s="1225"/>
      <c r="K676" s="1225"/>
      <c r="L676" s="1225"/>
      <c r="M676" s="1225"/>
      <c r="N676" s="1225"/>
      <c r="O676" s="1225"/>
      <c r="P676" s="1225"/>
      <c r="Q676" s="1225"/>
      <c r="R676" s="1225"/>
      <c r="S676" s="1315"/>
      <c r="T676" s="1028">
        <v>0.06</v>
      </c>
      <c r="U676" s="1360">
        <v>0.12</v>
      </c>
      <c r="V676" s="1028">
        <v>0.51</v>
      </c>
      <c r="W676" s="1028"/>
      <c r="X676" s="1028"/>
      <c r="Y676" s="1225"/>
      <c r="Z676" s="1343"/>
      <c r="AA676" s="1264"/>
      <c r="AB676" s="1225"/>
      <c r="AC676" s="1326"/>
      <c r="AD676" s="1225"/>
      <c r="AE676" s="1225"/>
      <c r="AF676" s="1361" t="s">
        <v>1479</v>
      </c>
      <c r="AG676" s="1362" t="s">
        <v>456</v>
      </c>
      <c r="AH676" s="1243" t="s">
        <v>178</v>
      </c>
      <c r="AI676" s="1243" t="s">
        <v>178</v>
      </c>
      <c r="AJ676" s="1243" t="s">
        <v>678</v>
      </c>
      <c r="AK676" s="1244" t="s">
        <v>457</v>
      </c>
      <c r="AL676" s="1243"/>
      <c r="AM676" s="1243" t="s">
        <v>603</v>
      </c>
      <c r="AN676" s="1252">
        <v>8034649</v>
      </c>
      <c r="AO676" s="1252">
        <v>3847592</v>
      </c>
      <c r="AP676" s="1252">
        <v>418057</v>
      </c>
      <c r="AQ676" s="1341" t="s">
        <v>459</v>
      </c>
      <c r="AR676" s="1341" t="s">
        <v>459</v>
      </c>
      <c r="AS676" s="1341" t="s">
        <v>459</v>
      </c>
      <c r="AT676" s="1341" t="s">
        <v>459</v>
      </c>
      <c r="AU676" s="1341" t="s">
        <v>459</v>
      </c>
      <c r="AV676" s="1341" t="s">
        <v>459</v>
      </c>
      <c r="AW676" s="1341" t="s">
        <v>459</v>
      </c>
      <c r="AX676" s="1252">
        <v>8034649</v>
      </c>
      <c r="AY676" s="1183"/>
    </row>
    <row r="677" spans="1:51" ht="19.149999999999999" customHeight="1" x14ac:dyDescent="0.25">
      <c r="A677" s="1189"/>
      <c r="B677" s="1018"/>
      <c r="C677" s="1073"/>
      <c r="D677" s="164" t="s">
        <v>343</v>
      </c>
      <c r="E677" s="1225">
        <f>+INVERSIÓN!DN60</f>
        <v>400000000</v>
      </c>
      <c r="F677" s="1225">
        <v>400000000</v>
      </c>
      <c r="G677" s="1225">
        <v>400000000</v>
      </c>
      <c r="H677" s="1225">
        <v>400000000</v>
      </c>
      <c r="I677" s="1225">
        <v>400000000</v>
      </c>
      <c r="J677" s="1225"/>
      <c r="K677" s="1020"/>
      <c r="L677" s="1020"/>
      <c r="M677" s="1225"/>
      <c r="N677" s="1225"/>
      <c r="O677" s="1225"/>
      <c r="P677" s="1225"/>
      <c r="Q677" s="1225"/>
      <c r="R677" s="1225"/>
      <c r="S677" s="1219"/>
      <c r="T677" s="1028">
        <v>16490000</v>
      </c>
      <c r="U677" s="1006">
        <v>89874000</v>
      </c>
      <c r="V677" s="1006">
        <v>107126000</v>
      </c>
      <c r="W677" s="1006"/>
      <c r="X677" s="1059"/>
      <c r="Y677" s="1006"/>
      <c r="Z677" s="1343"/>
      <c r="AA677" s="1343"/>
      <c r="AB677" s="1225"/>
      <c r="AC677" s="1225"/>
      <c r="AD677" s="1225"/>
      <c r="AE677" s="1225"/>
      <c r="AF677" s="1363"/>
      <c r="AG677" s="1265"/>
      <c r="AH677" s="1240"/>
      <c r="AI677" s="1240"/>
      <c r="AJ677" s="1240"/>
      <c r="AK677" s="1240"/>
      <c r="AL677" s="1240"/>
      <c r="AM677" s="1240"/>
      <c r="AN677" s="1345"/>
      <c r="AO677" s="1345"/>
      <c r="AP677" s="1345"/>
      <c r="AQ677" s="1240"/>
      <c r="AR677" s="1240"/>
      <c r="AS677" s="1240"/>
      <c r="AT677" s="1240"/>
      <c r="AU677" s="1240"/>
      <c r="AV677" s="1240"/>
      <c r="AW677" s="1240"/>
      <c r="AX677" s="1345"/>
      <c r="AY677" s="1183"/>
    </row>
    <row r="678" spans="1:51" ht="22.9" customHeight="1" x14ac:dyDescent="0.25">
      <c r="A678" s="1189"/>
      <c r="B678" s="1018"/>
      <c r="C678" s="1073"/>
      <c r="D678" s="165" t="s">
        <v>345</v>
      </c>
      <c r="E678" s="1225">
        <f>+INVERSIÓN!DN62</f>
        <v>0</v>
      </c>
      <c r="F678" s="1225">
        <v>0</v>
      </c>
      <c r="G678" s="1225">
        <v>0</v>
      </c>
      <c r="H678" s="1225">
        <v>0</v>
      </c>
      <c r="I678" s="1225">
        <v>0</v>
      </c>
      <c r="J678" s="1225"/>
      <c r="K678" s="1020"/>
      <c r="L678" s="1020"/>
      <c r="M678" s="1225"/>
      <c r="N678" s="1225"/>
      <c r="O678" s="1225"/>
      <c r="P678" s="1225"/>
      <c r="Q678" s="1225"/>
      <c r="R678" s="1225"/>
      <c r="S678" s="1219"/>
      <c r="T678" s="1006">
        <v>0</v>
      </c>
      <c r="U678" s="1006">
        <v>0</v>
      </c>
      <c r="V678" s="1006">
        <v>0</v>
      </c>
      <c r="W678" s="1006"/>
      <c r="X678" s="1059"/>
      <c r="Y678" s="1059"/>
      <c r="Z678" s="1343"/>
      <c r="AA678" s="1343"/>
      <c r="AB678" s="1225"/>
      <c r="AC678" s="1225"/>
      <c r="AD678" s="1225"/>
      <c r="AE678" s="1225"/>
      <c r="AF678" s="1363"/>
      <c r="AG678" s="1265"/>
      <c r="AH678" s="1240"/>
      <c r="AI678" s="1240"/>
      <c r="AJ678" s="1240"/>
      <c r="AK678" s="1240"/>
      <c r="AL678" s="1240"/>
      <c r="AM678" s="1240"/>
      <c r="AN678" s="1345"/>
      <c r="AO678" s="1345"/>
      <c r="AP678" s="1345"/>
      <c r="AQ678" s="1240"/>
      <c r="AR678" s="1240"/>
      <c r="AS678" s="1240"/>
      <c r="AT678" s="1240"/>
      <c r="AU678" s="1240"/>
      <c r="AV678" s="1240"/>
      <c r="AW678" s="1240"/>
      <c r="AX678" s="1345"/>
      <c r="AY678" s="1183"/>
    </row>
    <row r="679" spans="1:51" ht="22.9" customHeight="1" x14ac:dyDescent="0.25">
      <c r="A679" s="1189"/>
      <c r="B679" s="1018"/>
      <c r="C679" s="1073"/>
      <c r="D679" s="164" t="s">
        <v>346</v>
      </c>
      <c r="E679" s="1225">
        <f>+INVERSIÓN!DN63</f>
        <v>22405267</v>
      </c>
      <c r="F679" s="1225">
        <v>22405267</v>
      </c>
      <c r="G679" s="1225">
        <v>22405267</v>
      </c>
      <c r="H679" s="1225">
        <v>22405267</v>
      </c>
      <c r="I679" s="1225">
        <v>22405267</v>
      </c>
      <c r="J679" s="1225"/>
      <c r="K679" s="1020"/>
      <c r="L679" s="1020"/>
      <c r="M679" s="1225"/>
      <c r="N679" s="1225"/>
      <c r="O679" s="1225"/>
      <c r="P679" s="1225"/>
      <c r="Q679" s="1225"/>
      <c r="R679" s="1225"/>
      <c r="S679" s="1219"/>
      <c r="T679" s="1006">
        <v>7826000</v>
      </c>
      <c r="U679" s="1006">
        <v>21523467</v>
      </c>
      <c r="V679" s="1006">
        <v>22405267</v>
      </c>
      <c r="W679" s="1006"/>
      <c r="X679" s="1059"/>
      <c r="Y679" s="1059"/>
      <c r="Z679" s="1343"/>
      <c r="AA679" s="1343"/>
      <c r="AB679" s="1343"/>
      <c r="AC679" s="1326"/>
      <c r="AD679" s="1326"/>
      <c r="AE679" s="1326"/>
      <c r="AF679" s="1363"/>
      <c r="AG679" s="1265"/>
      <c r="AH679" s="1240"/>
      <c r="AI679" s="1240"/>
      <c r="AJ679" s="1240"/>
      <c r="AK679" s="1240"/>
      <c r="AL679" s="1240"/>
      <c r="AM679" s="1240"/>
      <c r="AN679" s="1345"/>
      <c r="AO679" s="1345"/>
      <c r="AP679" s="1345"/>
      <c r="AQ679" s="1240"/>
      <c r="AR679" s="1240"/>
      <c r="AS679" s="1240"/>
      <c r="AT679" s="1240"/>
      <c r="AU679" s="1240"/>
      <c r="AV679" s="1240"/>
      <c r="AW679" s="1240"/>
      <c r="AX679" s="1345"/>
      <c r="AY679" s="1183"/>
    </row>
    <row r="680" spans="1:51" ht="22.9" customHeight="1" x14ac:dyDescent="0.25">
      <c r="A680" s="1189"/>
      <c r="B680" s="1018"/>
      <c r="C680" s="1073"/>
      <c r="D680" s="165" t="s">
        <v>347</v>
      </c>
      <c r="E680" s="1225">
        <f>+INVERSIÓN!DN64</f>
        <v>1.3</v>
      </c>
      <c r="F680" s="1225">
        <v>1.3</v>
      </c>
      <c r="G680" s="1225">
        <v>1.3</v>
      </c>
      <c r="H680" s="1225">
        <v>1.3</v>
      </c>
      <c r="I680" s="1225">
        <v>1.3</v>
      </c>
      <c r="J680" s="1225"/>
      <c r="K680" s="1225"/>
      <c r="L680" s="1006"/>
      <c r="M680" s="1225"/>
      <c r="N680" s="1225"/>
      <c r="O680" s="1225"/>
      <c r="P680" s="1225"/>
      <c r="Q680" s="1225"/>
      <c r="R680" s="1225"/>
      <c r="S680" s="1219"/>
      <c r="T680" s="1006">
        <v>0.06</v>
      </c>
      <c r="U680" s="1006">
        <v>0.12</v>
      </c>
      <c r="V680" s="1028">
        <v>0.51</v>
      </c>
      <c r="W680" s="1028"/>
      <c r="X680" s="1326"/>
      <c r="Y680" s="1225"/>
      <c r="Z680" s="1343"/>
      <c r="AA680" s="1225"/>
      <c r="AB680" s="1225"/>
      <c r="AC680" s="1326"/>
      <c r="AD680" s="1225"/>
      <c r="AE680" s="1225"/>
      <c r="AF680" s="1363"/>
      <c r="AG680" s="1265"/>
      <c r="AH680" s="1240"/>
      <c r="AI680" s="1240"/>
      <c r="AJ680" s="1240"/>
      <c r="AK680" s="1240"/>
      <c r="AL680" s="1240"/>
      <c r="AM680" s="1240"/>
      <c r="AN680" s="1345"/>
      <c r="AO680" s="1345"/>
      <c r="AP680" s="1345"/>
      <c r="AQ680" s="1240"/>
      <c r="AR680" s="1240"/>
      <c r="AS680" s="1240"/>
      <c r="AT680" s="1240"/>
      <c r="AU680" s="1240"/>
      <c r="AV680" s="1240"/>
      <c r="AW680" s="1240"/>
      <c r="AX680" s="1345"/>
      <c r="AY680" s="1183"/>
    </row>
    <row r="681" spans="1:51" ht="22.9" customHeight="1" x14ac:dyDescent="0.25">
      <c r="A681" s="1189"/>
      <c r="B681" s="1018"/>
      <c r="C681" s="1076"/>
      <c r="D681" s="164" t="s">
        <v>348</v>
      </c>
      <c r="E681" s="1225">
        <f>+INVERSIÓN!DN65</f>
        <v>422405267</v>
      </c>
      <c r="F681" s="1059">
        <v>422405267</v>
      </c>
      <c r="G681" s="1059">
        <v>422405267</v>
      </c>
      <c r="H681" s="1059">
        <v>422405267</v>
      </c>
      <c r="I681" s="1059">
        <v>422405267</v>
      </c>
      <c r="J681" s="1225"/>
      <c r="K681" s="1026"/>
      <c r="L681" s="1026"/>
      <c r="M681" s="1026"/>
      <c r="N681" s="1026"/>
      <c r="O681" s="1026"/>
      <c r="P681" s="1026"/>
      <c r="Q681" s="1026"/>
      <c r="R681" s="1026"/>
      <c r="S681" s="1219"/>
      <c r="T681" s="1006">
        <v>24316000</v>
      </c>
      <c r="U681" s="1006">
        <v>111397467</v>
      </c>
      <c r="V681" s="1059">
        <f>+V677+V679</f>
        <v>129531267</v>
      </c>
      <c r="W681" s="1006"/>
      <c r="X681" s="1006"/>
      <c r="Y681" s="1006"/>
      <c r="Z681" s="1026"/>
      <c r="AA681" s="1026"/>
      <c r="AB681" s="1026"/>
      <c r="AC681" s="1026"/>
      <c r="AD681" s="1026"/>
      <c r="AE681" s="1026"/>
      <c r="AF681" s="1363"/>
      <c r="AG681" s="1220"/>
      <c r="AH681" s="1241"/>
      <c r="AI681" s="1241"/>
      <c r="AJ681" s="1241"/>
      <c r="AK681" s="1241"/>
      <c r="AL681" s="1241"/>
      <c r="AM681" s="1241"/>
      <c r="AN681" s="1346"/>
      <c r="AO681" s="1346"/>
      <c r="AP681" s="1346"/>
      <c r="AQ681" s="1241"/>
      <c r="AR681" s="1241"/>
      <c r="AS681" s="1241"/>
      <c r="AT681" s="1241"/>
      <c r="AU681" s="1241"/>
      <c r="AV681" s="1241"/>
      <c r="AW681" s="1241"/>
      <c r="AX681" s="1346"/>
      <c r="AY681" s="1183"/>
    </row>
    <row r="682" spans="1:51" ht="19.149999999999999" customHeight="1" x14ac:dyDescent="0.25">
      <c r="A682" s="1189"/>
      <c r="B682" s="1018"/>
      <c r="C682" s="1153" t="s">
        <v>679</v>
      </c>
      <c r="D682" s="161" t="s">
        <v>340</v>
      </c>
      <c r="E682" s="1225"/>
      <c r="F682" s="1225"/>
      <c r="G682" s="1225"/>
      <c r="H682" s="1364"/>
      <c r="I682" s="1225">
        <v>0.06</v>
      </c>
      <c r="J682" s="1225"/>
      <c r="K682" s="1025"/>
      <c r="L682" s="1025"/>
      <c r="M682" s="1025"/>
      <c r="N682" s="1006"/>
      <c r="O682" s="1225"/>
      <c r="P682" s="1225"/>
      <c r="Q682" s="1225"/>
      <c r="R682" s="1225"/>
      <c r="S682" s="1219"/>
      <c r="T682" s="1006"/>
      <c r="U682" s="1028"/>
      <c r="V682" s="1028">
        <f>+I682</f>
        <v>0.06</v>
      </c>
      <c r="W682" s="1028"/>
      <c r="X682" s="1028"/>
      <c r="Y682" s="1025"/>
      <c r="Z682" s="1225"/>
      <c r="AA682" s="1266"/>
      <c r="AB682" s="1266"/>
      <c r="AC682" s="1225"/>
      <c r="AD682" s="1225"/>
      <c r="AE682" s="1225"/>
      <c r="AF682" s="1305"/>
      <c r="AG682" s="1311"/>
      <c r="AH682" s="1299" t="s">
        <v>633</v>
      </c>
      <c r="AI682" s="1299" t="s">
        <v>633</v>
      </c>
      <c r="AJ682" s="1299" t="s">
        <v>633</v>
      </c>
      <c r="AK682" s="1299" t="s">
        <v>457</v>
      </c>
      <c r="AL682" s="1299" t="s">
        <v>680</v>
      </c>
      <c r="AM682" s="1299" t="s">
        <v>603</v>
      </c>
      <c r="AN682" s="1365"/>
      <c r="AO682" s="1301"/>
      <c r="AP682" s="1301"/>
      <c r="AQ682" s="1011" t="s">
        <v>459</v>
      </c>
      <c r="AR682" s="1011" t="s">
        <v>459</v>
      </c>
      <c r="AS682" s="1011" t="s">
        <v>459</v>
      </c>
      <c r="AT682" s="1011" t="s">
        <v>459</v>
      </c>
      <c r="AU682" s="1302" t="s">
        <v>459</v>
      </c>
      <c r="AV682" s="1302" t="s">
        <v>459</v>
      </c>
      <c r="AW682" s="1302" t="s">
        <v>459</v>
      </c>
      <c r="AX682" s="1301"/>
      <c r="AY682" s="1267" t="s">
        <v>1493</v>
      </c>
    </row>
    <row r="683" spans="1:51" ht="19.149999999999999" customHeight="1" x14ac:dyDescent="0.25">
      <c r="A683" s="1189"/>
      <c r="B683" s="1018"/>
      <c r="C683" s="1018"/>
      <c r="D683" s="164" t="s">
        <v>343</v>
      </c>
      <c r="E683" s="1225"/>
      <c r="F683" s="1225"/>
      <c r="G683" s="1225"/>
      <c r="H683" s="1225"/>
      <c r="I683" s="1026">
        <f>+I682*$V$677/$V$676</f>
        <v>12603058.823529411</v>
      </c>
      <c r="J683" s="1225"/>
      <c r="K683" s="1225"/>
      <c r="L683" s="1225"/>
      <c r="M683" s="1225"/>
      <c r="N683" s="1225"/>
      <c r="O683" s="1225"/>
      <c r="P683" s="1225"/>
      <c r="Q683" s="1225"/>
      <c r="R683" s="1225"/>
      <c r="S683" s="1219"/>
      <c r="T683" s="1225"/>
      <c r="U683" s="1225"/>
      <c r="V683" s="1028">
        <f t="shared" ref="V683:V699" si="146">+I683</f>
        <v>12603058.823529411</v>
      </c>
      <c r="W683" s="1225"/>
      <c r="X683" s="1225"/>
      <c r="Y683" s="1225"/>
      <c r="Z683" s="1225"/>
      <c r="AA683" s="1225"/>
      <c r="AB683" s="1225"/>
      <c r="AC683" s="1225"/>
      <c r="AD683" s="1225"/>
      <c r="AE683" s="1225"/>
      <c r="AF683" s="1307"/>
      <c r="AG683" s="1218"/>
      <c r="AH683" s="1219"/>
      <c r="AI683" s="1219"/>
      <c r="AJ683" s="1219"/>
      <c r="AK683" s="1219"/>
      <c r="AL683" s="1219"/>
      <c r="AM683" s="1219"/>
      <c r="AN683" s="1219"/>
      <c r="AO683" s="1219"/>
      <c r="AP683" s="1219"/>
      <c r="AQ683" s="1219"/>
      <c r="AR683" s="1219"/>
      <c r="AS683" s="1219"/>
      <c r="AT683" s="1219"/>
      <c r="AU683" s="1219"/>
      <c r="AV683" s="1219"/>
      <c r="AW683" s="1219"/>
      <c r="AX683" s="1219"/>
      <c r="AY683" s="1219"/>
    </row>
    <row r="684" spans="1:51" ht="28.9" customHeight="1" x14ac:dyDescent="0.25">
      <c r="A684" s="1189"/>
      <c r="B684" s="1018"/>
      <c r="C684" s="1018"/>
      <c r="D684" s="165" t="s">
        <v>345</v>
      </c>
      <c r="E684" s="1225"/>
      <c r="F684" s="1225"/>
      <c r="G684" s="1225"/>
      <c r="H684" s="1225"/>
      <c r="I684" s="1225">
        <v>0</v>
      </c>
      <c r="J684" s="1225"/>
      <c r="K684" s="1025"/>
      <c r="L684" s="1025"/>
      <c r="M684" s="1225"/>
      <c r="N684" s="1006"/>
      <c r="O684" s="1225"/>
      <c r="P684" s="1225"/>
      <c r="Q684" s="1225"/>
      <c r="R684" s="1225"/>
      <c r="S684" s="1219"/>
      <c r="T684" s="1006"/>
      <c r="U684" s="1028"/>
      <c r="V684" s="1028">
        <f t="shared" si="146"/>
        <v>0</v>
      </c>
      <c r="W684" s="1006"/>
      <c r="X684" s="1059"/>
      <c r="Y684" s="1059"/>
      <c r="Z684" s="1225"/>
      <c r="AA684" s="1006"/>
      <c r="AB684" s="1006"/>
      <c r="AC684" s="1225"/>
      <c r="AD684" s="1225"/>
      <c r="AE684" s="1225"/>
      <c r="AF684" s="1307"/>
      <c r="AG684" s="1218"/>
      <c r="AH684" s="1219"/>
      <c r="AI684" s="1219"/>
      <c r="AJ684" s="1219"/>
      <c r="AK684" s="1219"/>
      <c r="AL684" s="1219"/>
      <c r="AM684" s="1219"/>
      <c r="AN684" s="1219"/>
      <c r="AO684" s="1219"/>
      <c r="AP684" s="1219"/>
      <c r="AQ684" s="1219"/>
      <c r="AR684" s="1219"/>
      <c r="AS684" s="1219"/>
      <c r="AT684" s="1219"/>
      <c r="AU684" s="1219"/>
      <c r="AV684" s="1219"/>
      <c r="AW684" s="1219"/>
      <c r="AX684" s="1219"/>
      <c r="AY684" s="1219"/>
    </row>
    <row r="685" spans="1:51" ht="28.9" customHeight="1" x14ac:dyDescent="0.25">
      <c r="A685" s="1189"/>
      <c r="B685" s="1018"/>
      <c r="C685" s="1018"/>
      <c r="D685" s="164" t="s">
        <v>346</v>
      </c>
      <c r="E685" s="1225"/>
      <c r="F685" s="1225"/>
      <c r="G685" s="1225"/>
      <c r="H685" s="1225"/>
      <c r="I685" s="1225">
        <v>0</v>
      </c>
      <c r="J685" s="1225"/>
      <c r="K685" s="1225"/>
      <c r="L685" s="1225"/>
      <c r="M685" s="1225"/>
      <c r="N685" s="1225"/>
      <c r="O685" s="1225"/>
      <c r="P685" s="1225"/>
      <c r="Q685" s="1225"/>
      <c r="R685" s="1225"/>
      <c r="S685" s="1219"/>
      <c r="T685" s="1006"/>
      <c r="U685" s="1028"/>
      <c r="V685" s="1028">
        <f t="shared" si="146"/>
        <v>0</v>
      </c>
      <c r="W685" s="1028"/>
      <c r="X685" s="1028"/>
      <c r="Y685" s="1028"/>
      <c r="Z685" s="1225"/>
      <c r="AA685" s="1006"/>
      <c r="AB685" s="1006"/>
      <c r="AC685" s="1225"/>
      <c r="AD685" s="1225"/>
      <c r="AE685" s="1225"/>
      <c r="AF685" s="1307"/>
      <c r="AG685" s="1218"/>
      <c r="AH685" s="1219"/>
      <c r="AI685" s="1219"/>
      <c r="AJ685" s="1219"/>
      <c r="AK685" s="1219"/>
      <c r="AL685" s="1219"/>
      <c r="AM685" s="1219"/>
      <c r="AN685" s="1219"/>
      <c r="AO685" s="1219"/>
      <c r="AP685" s="1219"/>
      <c r="AQ685" s="1219"/>
      <c r="AR685" s="1219"/>
      <c r="AS685" s="1219"/>
      <c r="AT685" s="1219"/>
      <c r="AU685" s="1219"/>
      <c r="AV685" s="1219"/>
      <c r="AW685" s="1219"/>
      <c r="AX685" s="1219"/>
      <c r="AY685" s="1219"/>
    </row>
    <row r="686" spans="1:51" ht="28.9" customHeight="1" x14ac:dyDescent="0.25">
      <c r="A686" s="1189"/>
      <c r="B686" s="1018"/>
      <c r="C686" s="1018"/>
      <c r="D686" s="165" t="s">
        <v>347</v>
      </c>
      <c r="E686" s="1225"/>
      <c r="F686" s="1225"/>
      <c r="G686" s="1225"/>
      <c r="H686" s="1326"/>
      <c r="I686" s="1225">
        <f>+I682</f>
        <v>0.06</v>
      </c>
      <c r="J686" s="1225"/>
      <c r="K686" s="1025"/>
      <c r="L686" s="1025"/>
      <c r="M686" s="1343"/>
      <c r="N686" s="1006"/>
      <c r="O686" s="1225"/>
      <c r="P686" s="1225"/>
      <c r="Q686" s="1225"/>
      <c r="R686" s="1225"/>
      <c r="S686" s="1219"/>
      <c r="T686" s="1006"/>
      <c r="U686" s="1028"/>
      <c r="V686" s="1028">
        <f t="shared" si="146"/>
        <v>0.06</v>
      </c>
      <c r="W686" s="1028"/>
      <c r="X686" s="1225"/>
      <c r="Y686" s="1025"/>
      <c r="Z686" s="1225"/>
      <c r="AA686" s="1266"/>
      <c r="AB686" s="1266"/>
      <c r="AC686" s="1225"/>
      <c r="AD686" s="1225"/>
      <c r="AE686" s="1225"/>
      <c r="AF686" s="1307"/>
      <c r="AG686" s="1218"/>
      <c r="AH686" s="1219"/>
      <c r="AI686" s="1219"/>
      <c r="AJ686" s="1219"/>
      <c r="AK686" s="1219"/>
      <c r="AL686" s="1219"/>
      <c r="AM686" s="1219"/>
      <c r="AN686" s="1219"/>
      <c r="AO686" s="1219"/>
      <c r="AP686" s="1219"/>
      <c r="AQ686" s="1219"/>
      <c r="AR686" s="1219"/>
      <c r="AS686" s="1219"/>
      <c r="AT686" s="1219"/>
      <c r="AU686" s="1219"/>
      <c r="AV686" s="1219"/>
      <c r="AW686" s="1219"/>
      <c r="AX686" s="1219"/>
      <c r="AY686" s="1219"/>
    </row>
    <row r="687" spans="1:51" ht="28.9" customHeight="1" x14ac:dyDescent="0.25">
      <c r="A687" s="1189"/>
      <c r="B687" s="1018"/>
      <c r="C687" s="1048"/>
      <c r="D687" s="164" t="s">
        <v>348</v>
      </c>
      <c r="E687" s="1225"/>
      <c r="F687" s="1225"/>
      <c r="G687" s="1006"/>
      <c r="H687" s="1326"/>
      <c r="I687" s="1225">
        <f>+I683</f>
        <v>12603058.823529411</v>
      </c>
      <c r="J687" s="1225"/>
      <c r="K687" s="1225"/>
      <c r="L687" s="1059"/>
      <c r="M687" s="1026"/>
      <c r="N687" s="1026"/>
      <c r="O687" s="1026"/>
      <c r="P687" s="1026"/>
      <c r="Q687" s="1026"/>
      <c r="R687" s="1026"/>
      <c r="S687" s="1219"/>
      <c r="T687" s="1006"/>
      <c r="U687" s="1028"/>
      <c r="V687" s="1028">
        <f t="shared" si="146"/>
        <v>12603058.823529411</v>
      </c>
      <c r="W687" s="1028"/>
      <c r="X687" s="1028"/>
      <c r="Y687" s="1028"/>
      <c r="Z687" s="1225"/>
      <c r="AA687" s="1026"/>
      <c r="AB687" s="1026"/>
      <c r="AC687" s="1225"/>
      <c r="AD687" s="1225"/>
      <c r="AE687" s="1225"/>
      <c r="AF687" s="1307"/>
      <c r="AG687" s="1220"/>
      <c r="AH687" s="1221"/>
      <c r="AI687" s="1221"/>
      <c r="AJ687" s="1221"/>
      <c r="AK687" s="1221"/>
      <c r="AL687" s="1221"/>
      <c r="AM687" s="1221"/>
      <c r="AN687" s="1221"/>
      <c r="AO687" s="1221"/>
      <c r="AP687" s="1221"/>
      <c r="AQ687" s="1221"/>
      <c r="AR687" s="1221"/>
      <c r="AS687" s="1221"/>
      <c r="AT687" s="1221"/>
      <c r="AU687" s="1221"/>
      <c r="AV687" s="1221"/>
      <c r="AW687" s="1221"/>
      <c r="AX687" s="1221"/>
      <c r="AY687" s="1221"/>
    </row>
    <row r="688" spans="1:51" ht="19.149999999999999" customHeight="1" x14ac:dyDescent="0.25">
      <c r="A688" s="1189"/>
      <c r="B688" s="1018"/>
      <c r="C688" s="1378" t="s">
        <v>681</v>
      </c>
      <c r="D688" s="161" t="s">
        <v>340</v>
      </c>
      <c r="E688" s="1225"/>
      <c r="F688" s="1225"/>
      <c r="G688" s="1225"/>
      <c r="H688" s="1364"/>
      <c r="I688" s="1225">
        <v>0.04</v>
      </c>
      <c r="J688" s="1225"/>
      <c r="K688" s="1225"/>
      <c r="L688" s="1225"/>
      <c r="M688" s="1225"/>
      <c r="N688" s="1006"/>
      <c r="O688" s="1225"/>
      <c r="P688" s="1225"/>
      <c r="Q688" s="1225"/>
      <c r="R688" s="1225"/>
      <c r="S688" s="1219"/>
      <c r="T688" s="1006"/>
      <c r="U688" s="1028"/>
      <c r="V688" s="1028">
        <f t="shared" si="146"/>
        <v>0.04</v>
      </c>
      <c r="W688" s="1006"/>
      <c r="X688" s="1006"/>
      <c r="Y688" s="1225"/>
      <c r="Z688" s="1225"/>
      <c r="AA688" s="1006"/>
      <c r="AB688" s="1006"/>
      <c r="AC688" s="1225"/>
      <c r="AD688" s="1225"/>
      <c r="AE688" s="1225"/>
      <c r="AF688" s="1305"/>
      <c r="AG688" s="1298" t="s">
        <v>682</v>
      </c>
      <c r="AH688" s="1299" t="s">
        <v>683</v>
      </c>
      <c r="AI688" s="1299" t="s">
        <v>633</v>
      </c>
      <c r="AJ688" s="1299" t="s">
        <v>633</v>
      </c>
      <c r="AK688" s="1299" t="s">
        <v>457</v>
      </c>
      <c r="AL688" s="1299">
        <v>8</v>
      </c>
      <c r="AM688" s="1299" t="s">
        <v>603</v>
      </c>
      <c r="AN688" s="1365"/>
      <c r="AO688" s="1301"/>
      <c r="AP688" s="1301"/>
      <c r="AQ688" s="1302" t="s">
        <v>459</v>
      </c>
      <c r="AR688" s="1302" t="s">
        <v>459</v>
      </c>
      <c r="AS688" s="1302" t="s">
        <v>459</v>
      </c>
      <c r="AT688" s="1302" t="s">
        <v>459</v>
      </c>
      <c r="AU688" s="1302" t="s">
        <v>459</v>
      </c>
      <c r="AV688" s="1302" t="s">
        <v>459</v>
      </c>
      <c r="AW688" s="1302" t="s">
        <v>459</v>
      </c>
      <c r="AX688" s="1301"/>
      <c r="AY688" s="1267" t="s">
        <v>684</v>
      </c>
    </row>
    <row r="689" spans="1:51" ht="19.149999999999999" customHeight="1" x14ac:dyDescent="0.25">
      <c r="A689" s="1189"/>
      <c r="B689" s="1018"/>
      <c r="C689" s="1379"/>
      <c r="D689" s="164" t="s">
        <v>343</v>
      </c>
      <c r="E689" s="1020"/>
      <c r="F689" s="1020"/>
      <c r="G689" s="1020"/>
      <c r="H689" s="1225"/>
      <c r="I689" s="1026">
        <f>+I688*$V$677/$V$676</f>
        <v>8402039.2156862747</v>
      </c>
      <c r="J689" s="1225"/>
      <c r="K689" s="1225"/>
      <c r="L689" s="1225"/>
      <c r="M689" s="1225"/>
      <c r="N689" s="1225"/>
      <c r="O689" s="1225"/>
      <c r="P689" s="1225"/>
      <c r="Q689" s="1225"/>
      <c r="R689" s="1225"/>
      <c r="S689" s="1219"/>
      <c r="T689" s="1006"/>
      <c r="U689" s="1225"/>
      <c r="V689" s="1028">
        <f t="shared" si="146"/>
        <v>8402039.2156862747</v>
      </c>
      <c r="W689" s="1225"/>
      <c r="X689" s="1225"/>
      <c r="Y689" s="1225"/>
      <c r="Z689" s="1225"/>
      <c r="AA689" s="1059"/>
      <c r="AB689" s="1059"/>
      <c r="AC689" s="1225"/>
      <c r="AD689" s="1225"/>
      <c r="AE689" s="1225"/>
      <c r="AF689" s="1307"/>
      <c r="AG689" s="1218"/>
      <c r="AH689" s="1219"/>
      <c r="AI689" s="1219"/>
      <c r="AJ689" s="1219"/>
      <c r="AK689" s="1219"/>
      <c r="AL689" s="1219"/>
      <c r="AM689" s="1219"/>
      <c r="AN689" s="1219"/>
      <c r="AO689" s="1219"/>
      <c r="AP689" s="1219"/>
      <c r="AQ689" s="1219"/>
      <c r="AR689" s="1219"/>
      <c r="AS689" s="1219"/>
      <c r="AT689" s="1219"/>
      <c r="AU689" s="1219"/>
      <c r="AV689" s="1219"/>
      <c r="AW689" s="1219"/>
      <c r="AX689" s="1219"/>
      <c r="AY689" s="1219"/>
    </row>
    <row r="690" spans="1:51" ht="28.9" customHeight="1" x14ac:dyDescent="0.25">
      <c r="A690" s="1189"/>
      <c r="B690" s="1018"/>
      <c r="C690" s="1379"/>
      <c r="D690" s="165" t="s">
        <v>345</v>
      </c>
      <c r="E690" s="1020"/>
      <c r="F690" s="1020"/>
      <c r="G690" s="1020"/>
      <c r="H690" s="1020"/>
      <c r="I690" s="1020"/>
      <c r="J690" s="1020"/>
      <c r="K690" s="1020"/>
      <c r="L690" s="1020"/>
      <c r="M690" s="1020"/>
      <c r="N690" s="1059"/>
      <c r="O690" s="1020"/>
      <c r="P690" s="1020"/>
      <c r="Q690" s="1020"/>
      <c r="R690" s="1020"/>
      <c r="S690" s="1219"/>
      <c r="T690" s="1006"/>
      <c r="U690" s="1028"/>
      <c r="V690" s="1028">
        <f t="shared" si="146"/>
        <v>0</v>
      </c>
      <c r="W690" s="1028"/>
      <c r="X690" s="1059"/>
      <c r="Y690" s="1059"/>
      <c r="Z690" s="1225"/>
      <c r="AA690" s="1059"/>
      <c r="AB690" s="1059"/>
      <c r="AC690" s="1225"/>
      <c r="AD690" s="1225"/>
      <c r="AE690" s="1020"/>
      <c r="AF690" s="1307"/>
      <c r="AG690" s="1218"/>
      <c r="AH690" s="1219"/>
      <c r="AI690" s="1219"/>
      <c r="AJ690" s="1219"/>
      <c r="AK690" s="1219"/>
      <c r="AL690" s="1219"/>
      <c r="AM690" s="1219"/>
      <c r="AN690" s="1219"/>
      <c r="AO690" s="1219"/>
      <c r="AP690" s="1219"/>
      <c r="AQ690" s="1219"/>
      <c r="AR690" s="1219"/>
      <c r="AS690" s="1219"/>
      <c r="AT690" s="1219"/>
      <c r="AU690" s="1219"/>
      <c r="AV690" s="1219"/>
      <c r="AW690" s="1219"/>
      <c r="AX690" s="1219"/>
      <c r="AY690" s="1219"/>
    </row>
    <row r="691" spans="1:51" ht="28.9" customHeight="1" x14ac:dyDescent="0.25">
      <c r="A691" s="1189"/>
      <c r="B691" s="1018"/>
      <c r="C691" s="1379"/>
      <c r="D691" s="164" t="s">
        <v>346</v>
      </c>
      <c r="E691" s="1020"/>
      <c r="F691" s="1020"/>
      <c r="G691" s="1020"/>
      <c r="H691" s="1020"/>
      <c r="I691" s="1020"/>
      <c r="J691" s="1020"/>
      <c r="K691" s="1225"/>
      <c r="L691" s="1225"/>
      <c r="M691" s="1225"/>
      <c r="N691" s="1225"/>
      <c r="O691" s="1225"/>
      <c r="P691" s="1225"/>
      <c r="Q691" s="1225"/>
      <c r="R691" s="1225"/>
      <c r="S691" s="1219"/>
      <c r="T691" s="1006"/>
      <c r="U691" s="1028"/>
      <c r="V691" s="1028">
        <f t="shared" si="146"/>
        <v>0</v>
      </c>
      <c r="W691" s="1028"/>
      <c r="X691" s="1028"/>
      <c r="Y691" s="1028"/>
      <c r="Z691" s="1225"/>
      <c r="AA691" s="1059"/>
      <c r="AB691" s="1059"/>
      <c r="AC691" s="1225"/>
      <c r="AD691" s="1225"/>
      <c r="AE691" s="1225"/>
      <c r="AF691" s="1307"/>
      <c r="AG691" s="1218"/>
      <c r="AH691" s="1219"/>
      <c r="AI691" s="1219"/>
      <c r="AJ691" s="1219"/>
      <c r="AK691" s="1219"/>
      <c r="AL691" s="1219"/>
      <c r="AM691" s="1219"/>
      <c r="AN691" s="1219"/>
      <c r="AO691" s="1219"/>
      <c r="AP691" s="1219"/>
      <c r="AQ691" s="1219"/>
      <c r="AR691" s="1219"/>
      <c r="AS691" s="1219"/>
      <c r="AT691" s="1219"/>
      <c r="AU691" s="1219"/>
      <c r="AV691" s="1219"/>
      <c r="AW691" s="1219"/>
      <c r="AX691" s="1219"/>
      <c r="AY691" s="1219"/>
    </row>
    <row r="692" spans="1:51" ht="28.9" customHeight="1" x14ac:dyDescent="0.25">
      <c r="A692" s="1189"/>
      <c r="B692" s="1018"/>
      <c r="C692" s="1379"/>
      <c r="D692" s="165" t="s">
        <v>347</v>
      </c>
      <c r="E692" s="1225"/>
      <c r="F692" s="1225"/>
      <c r="G692" s="1225"/>
      <c r="H692" s="1225"/>
      <c r="I692" s="1225">
        <f>+I688</f>
        <v>0.04</v>
      </c>
      <c r="J692" s="1225"/>
      <c r="K692" s="1225"/>
      <c r="L692" s="1225"/>
      <c r="M692" s="1225"/>
      <c r="N692" s="1006"/>
      <c r="O692" s="1225"/>
      <c r="P692" s="1225"/>
      <c r="Q692" s="1225"/>
      <c r="R692" s="1225"/>
      <c r="S692" s="1219"/>
      <c r="T692" s="1006"/>
      <c r="U692" s="1028"/>
      <c r="V692" s="1028">
        <f t="shared" si="146"/>
        <v>0.04</v>
      </c>
      <c r="W692" s="1028"/>
      <c r="X692" s="1225"/>
      <c r="Y692" s="1225"/>
      <c r="Z692" s="1225"/>
      <c r="AA692" s="1225"/>
      <c r="AB692" s="1225"/>
      <c r="AC692" s="1225"/>
      <c r="AD692" s="1225"/>
      <c r="AE692" s="1225"/>
      <c r="AF692" s="1307"/>
      <c r="AG692" s="1218"/>
      <c r="AH692" s="1219"/>
      <c r="AI692" s="1219"/>
      <c r="AJ692" s="1219"/>
      <c r="AK692" s="1219"/>
      <c r="AL692" s="1219"/>
      <c r="AM692" s="1219"/>
      <c r="AN692" s="1219"/>
      <c r="AO692" s="1219"/>
      <c r="AP692" s="1219"/>
      <c r="AQ692" s="1219"/>
      <c r="AR692" s="1219"/>
      <c r="AS692" s="1219"/>
      <c r="AT692" s="1219"/>
      <c r="AU692" s="1219"/>
      <c r="AV692" s="1219"/>
      <c r="AW692" s="1219"/>
      <c r="AX692" s="1219"/>
      <c r="AY692" s="1219"/>
    </row>
    <row r="693" spans="1:51" ht="28.9" customHeight="1" x14ac:dyDescent="0.25">
      <c r="A693" s="1189"/>
      <c r="B693" s="1018"/>
      <c r="C693" s="1169"/>
      <c r="D693" s="164" t="s">
        <v>348</v>
      </c>
      <c r="E693" s="1026"/>
      <c r="F693" s="1026"/>
      <c r="G693" s="1026"/>
      <c r="H693" s="1026"/>
      <c r="I693" s="1225">
        <f>+I689</f>
        <v>8402039.2156862747</v>
      </c>
      <c r="J693" s="1225"/>
      <c r="K693" s="1225"/>
      <c r="L693" s="1059"/>
      <c r="M693" s="1026"/>
      <c r="N693" s="1026"/>
      <c r="O693" s="1026"/>
      <c r="P693" s="1026"/>
      <c r="Q693" s="1026"/>
      <c r="R693" s="1026"/>
      <c r="S693" s="1219"/>
      <c r="T693" s="1006"/>
      <c r="U693" s="1028"/>
      <c r="V693" s="1028">
        <f t="shared" si="146"/>
        <v>8402039.2156862747</v>
      </c>
      <c r="W693" s="1028"/>
      <c r="X693" s="1028"/>
      <c r="Y693" s="1028"/>
      <c r="Z693" s="1225"/>
      <c r="AA693" s="1006"/>
      <c r="AB693" s="1006"/>
      <c r="AC693" s="1225"/>
      <c r="AD693" s="1225"/>
      <c r="AE693" s="1225"/>
      <c r="AF693" s="1307"/>
      <c r="AG693" s="1220"/>
      <c r="AH693" s="1221"/>
      <c r="AI693" s="1221"/>
      <c r="AJ693" s="1221"/>
      <c r="AK693" s="1221"/>
      <c r="AL693" s="1221"/>
      <c r="AM693" s="1221"/>
      <c r="AN693" s="1221"/>
      <c r="AO693" s="1221"/>
      <c r="AP693" s="1221"/>
      <c r="AQ693" s="1221"/>
      <c r="AR693" s="1221"/>
      <c r="AS693" s="1221"/>
      <c r="AT693" s="1221"/>
      <c r="AU693" s="1221"/>
      <c r="AV693" s="1221"/>
      <c r="AW693" s="1221"/>
      <c r="AX693" s="1221"/>
      <c r="AY693" s="1221"/>
    </row>
    <row r="694" spans="1:51" ht="19.149999999999999" customHeight="1" x14ac:dyDescent="0.25">
      <c r="A694" s="1189"/>
      <c r="B694" s="1018"/>
      <c r="C694" s="1153" t="s">
        <v>685</v>
      </c>
      <c r="D694" s="161" t="s">
        <v>340</v>
      </c>
      <c r="E694" s="1225"/>
      <c r="F694" s="1225"/>
      <c r="G694" s="1225"/>
      <c r="H694" s="1225"/>
      <c r="I694" s="1225">
        <v>0.28999999999999998</v>
      </c>
      <c r="J694" s="1225"/>
      <c r="K694" s="1006"/>
      <c r="L694" s="1225"/>
      <c r="M694" s="1225"/>
      <c r="N694" s="1006"/>
      <c r="O694" s="1225"/>
      <c r="P694" s="1225"/>
      <c r="Q694" s="1225"/>
      <c r="R694" s="1225"/>
      <c r="S694" s="1219"/>
      <c r="T694" s="1006"/>
      <c r="U694" s="1028"/>
      <c r="V694" s="1028">
        <f t="shared" si="146"/>
        <v>0.28999999999999998</v>
      </c>
      <c r="W694" s="1006"/>
      <c r="X694" s="1006"/>
      <c r="Y694" s="1225"/>
      <c r="Z694" s="1225"/>
      <c r="AA694" s="1266"/>
      <c r="AB694" s="1266"/>
      <c r="AC694" s="1225"/>
      <c r="AD694" s="1225"/>
      <c r="AE694" s="1225"/>
      <c r="AF694" s="1305"/>
      <c r="AG694" s="1298" t="s">
        <v>646</v>
      </c>
      <c r="AH694" s="1299" t="s">
        <v>686</v>
      </c>
      <c r="AI694" s="1299" t="s">
        <v>687</v>
      </c>
      <c r="AJ694" s="1253"/>
      <c r="AK694" s="1299" t="s">
        <v>457</v>
      </c>
      <c r="AL694" s="1299">
        <v>6</v>
      </c>
      <c r="AM694" s="1299" t="s">
        <v>603</v>
      </c>
      <c r="AN694" s="1301"/>
      <c r="AO694" s="1301"/>
      <c r="AP694" s="1301"/>
      <c r="AQ694" s="1302" t="s">
        <v>459</v>
      </c>
      <c r="AR694" s="1302" t="s">
        <v>459</v>
      </c>
      <c r="AS694" s="1302" t="s">
        <v>459</v>
      </c>
      <c r="AT694" s="1302" t="s">
        <v>459</v>
      </c>
      <c r="AU694" s="1302" t="s">
        <v>459</v>
      </c>
      <c r="AV694" s="1302" t="s">
        <v>459</v>
      </c>
      <c r="AW694" s="1302" t="s">
        <v>459</v>
      </c>
      <c r="AX694" s="1301"/>
      <c r="AY694" s="1267" t="s">
        <v>1494</v>
      </c>
    </row>
    <row r="695" spans="1:51" ht="19.149999999999999" customHeight="1" x14ac:dyDescent="0.25">
      <c r="A695" s="1189"/>
      <c r="B695" s="1018"/>
      <c r="C695" s="1018"/>
      <c r="D695" s="164" t="s">
        <v>343</v>
      </c>
      <c r="E695" s="1020"/>
      <c r="F695" s="1020"/>
      <c r="G695" s="1020"/>
      <c r="H695" s="1225"/>
      <c r="I695" s="1026">
        <f>+I694*$V$677/$V$676</f>
        <v>60914784.313725479</v>
      </c>
      <c r="J695" s="1225"/>
      <c r="K695" s="1225"/>
      <c r="L695" s="1225"/>
      <c r="M695" s="1225"/>
      <c r="N695" s="1225"/>
      <c r="O695" s="1225"/>
      <c r="P695" s="1225"/>
      <c r="Q695" s="1225"/>
      <c r="R695" s="1225"/>
      <c r="S695" s="1219"/>
      <c r="T695" s="1006"/>
      <c r="U695" s="1028"/>
      <c r="V695" s="1028">
        <f t="shared" si="146"/>
        <v>60914784.313725479</v>
      </c>
      <c r="W695" s="1225"/>
      <c r="X695" s="1225"/>
      <c r="Y695" s="1225"/>
      <c r="Z695" s="1225"/>
      <c r="AA695" s="1059"/>
      <c r="AB695" s="1059"/>
      <c r="AC695" s="1225"/>
      <c r="AD695" s="1225"/>
      <c r="AE695" s="1225"/>
      <c r="AF695" s="1307"/>
      <c r="AG695" s="1218"/>
      <c r="AH695" s="1219"/>
      <c r="AI695" s="1219"/>
      <c r="AJ695" s="1253"/>
      <c r="AK695" s="1219"/>
      <c r="AL695" s="1219"/>
      <c r="AM695" s="1219"/>
      <c r="AN695" s="1219"/>
      <c r="AO695" s="1219"/>
      <c r="AP695" s="1219"/>
      <c r="AQ695" s="1219"/>
      <c r="AR695" s="1219"/>
      <c r="AS695" s="1219"/>
      <c r="AT695" s="1219"/>
      <c r="AU695" s="1219"/>
      <c r="AV695" s="1219"/>
      <c r="AW695" s="1219"/>
      <c r="AX695" s="1219"/>
      <c r="AY695" s="1219"/>
    </row>
    <row r="696" spans="1:51" ht="28.9" customHeight="1" x14ac:dyDescent="0.25">
      <c r="A696" s="1189"/>
      <c r="B696" s="1018"/>
      <c r="C696" s="1018"/>
      <c r="D696" s="165" t="s">
        <v>345</v>
      </c>
      <c r="E696" s="1020"/>
      <c r="F696" s="1020"/>
      <c r="G696" s="1020"/>
      <c r="H696" s="1020"/>
      <c r="I696" s="1020"/>
      <c r="J696" s="1020"/>
      <c r="K696" s="1020"/>
      <c r="L696" s="1020"/>
      <c r="M696" s="1020"/>
      <c r="N696" s="1059"/>
      <c r="O696" s="1020"/>
      <c r="P696" s="1020"/>
      <c r="Q696" s="1020"/>
      <c r="R696" s="1020"/>
      <c r="S696" s="1219"/>
      <c r="T696" s="1006"/>
      <c r="U696" s="1028"/>
      <c r="V696" s="1028">
        <f t="shared" si="146"/>
        <v>0</v>
      </c>
      <c r="W696" s="1028"/>
      <c r="X696" s="1059"/>
      <c r="Y696" s="1059"/>
      <c r="Z696" s="1225"/>
      <c r="AA696" s="1059"/>
      <c r="AB696" s="1059"/>
      <c r="AC696" s="1225"/>
      <c r="AD696" s="1225"/>
      <c r="AE696" s="1020"/>
      <c r="AF696" s="1307"/>
      <c r="AG696" s="1218"/>
      <c r="AH696" s="1219"/>
      <c r="AI696" s="1219"/>
      <c r="AJ696" s="1253"/>
      <c r="AK696" s="1219"/>
      <c r="AL696" s="1219"/>
      <c r="AM696" s="1219"/>
      <c r="AN696" s="1219"/>
      <c r="AO696" s="1219"/>
      <c r="AP696" s="1219"/>
      <c r="AQ696" s="1219"/>
      <c r="AR696" s="1219"/>
      <c r="AS696" s="1219"/>
      <c r="AT696" s="1219"/>
      <c r="AU696" s="1219"/>
      <c r="AV696" s="1219"/>
      <c r="AW696" s="1219"/>
      <c r="AX696" s="1219"/>
      <c r="AY696" s="1219"/>
    </row>
    <row r="697" spans="1:51" ht="28.9" customHeight="1" x14ac:dyDescent="0.25">
      <c r="A697" s="1189"/>
      <c r="B697" s="1018"/>
      <c r="C697" s="1018"/>
      <c r="D697" s="164" t="s">
        <v>346</v>
      </c>
      <c r="E697" s="1020"/>
      <c r="F697" s="1020"/>
      <c r="G697" s="1020"/>
      <c r="H697" s="1020"/>
      <c r="I697" s="1020"/>
      <c r="J697" s="1020"/>
      <c r="K697" s="1020"/>
      <c r="L697" s="1225"/>
      <c r="M697" s="1225"/>
      <c r="N697" s="1225"/>
      <c r="O697" s="1225"/>
      <c r="P697" s="1225"/>
      <c r="Q697" s="1225"/>
      <c r="R697" s="1225"/>
      <c r="S697" s="1219"/>
      <c r="T697" s="1006"/>
      <c r="U697" s="1028"/>
      <c r="V697" s="1028">
        <f t="shared" si="146"/>
        <v>0</v>
      </c>
      <c r="W697" s="1028"/>
      <c r="X697" s="1028"/>
      <c r="Y697" s="1028"/>
      <c r="Z697" s="1225"/>
      <c r="AA697" s="1059"/>
      <c r="AB697" s="1059"/>
      <c r="AC697" s="1225"/>
      <c r="AD697" s="1225"/>
      <c r="AE697" s="1225"/>
      <c r="AF697" s="1307"/>
      <c r="AG697" s="1218"/>
      <c r="AH697" s="1219"/>
      <c r="AI697" s="1219"/>
      <c r="AJ697" s="1253"/>
      <c r="AK697" s="1219"/>
      <c r="AL697" s="1219"/>
      <c r="AM697" s="1219"/>
      <c r="AN697" s="1219"/>
      <c r="AO697" s="1219"/>
      <c r="AP697" s="1219"/>
      <c r="AQ697" s="1219"/>
      <c r="AR697" s="1219"/>
      <c r="AS697" s="1219"/>
      <c r="AT697" s="1219"/>
      <c r="AU697" s="1219"/>
      <c r="AV697" s="1219"/>
      <c r="AW697" s="1219"/>
      <c r="AX697" s="1219"/>
      <c r="AY697" s="1219"/>
    </row>
    <row r="698" spans="1:51" ht="28.9" customHeight="1" x14ac:dyDescent="0.25">
      <c r="A698" s="1189"/>
      <c r="B698" s="1018"/>
      <c r="C698" s="1018"/>
      <c r="D698" s="165" t="s">
        <v>347</v>
      </c>
      <c r="E698" s="1225"/>
      <c r="F698" s="1225"/>
      <c r="G698" s="1225"/>
      <c r="H698" s="1225"/>
      <c r="I698" s="1225">
        <f>+I694</f>
        <v>0.28999999999999998</v>
      </c>
      <c r="J698" s="1225"/>
      <c r="K698" s="1225"/>
      <c r="L698" s="1225"/>
      <c r="M698" s="1225"/>
      <c r="N698" s="1006"/>
      <c r="O698" s="1225"/>
      <c r="P698" s="1225"/>
      <c r="Q698" s="1225"/>
      <c r="R698" s="1225"/>
      <c r="S698" s="1219"/>
      <c r="T698" s="1006"/>
      <c r="U698" s="1028"/>
      <c r="V698" s="1028">
        <f t="shared" si="146"/>
        <v>0.28999999999999998</v>
      </c>
      <c r="W698" s="1028"/>
      <c r="X698" s="1225"/>
      <c r="Y698" s="1225"/>
      <c r="Z698" s="1225"/>
      <c r="AA698" s="1225"/>
      <c r="AB698" s="1225"/>
      <c r="AC698" s="1225"/>
      <c r="AD698" s="1225"/>
      <c r="AE698" s="1225"/>
      <c r="AF698" s="1307"/>
      <c r="AG698" s="1218"/>
      <c r="AH698" s="1219"/>
      <c r="AI698" s="1219"/>
      <c r="AJ698" s="1253"/>
      <c r="AK698" s="1219"/>
      <c r="AL698" s="1219"/>
      <c r="AM698" s="1219"/>
      <c r="AN698" s="1219"/>
      <c r="AO698" s="1219"/>
      <c r="AP698" s="1219"/>
      <c r="AQ698" s="1219"/>
      <c r="AR698" s="1219"/>
      <c r="AS698" s="1219"/>
      <c r="AT698" s="1219"/>
      <c r="AU698" s="1219"/>
      <c r="AV698" s="1219"/>
      <c r="AW698" s="1219"/>
      <c r="AX698" s="1219"/>
      <c r="AY698" s="1219"/>
    </row>
    <row r="699" spans="1:51" ht="28.9" customHeight="1" x14ac:dyDescent="0.25">
      <c r="A699" s="1189"/>
      <c r="B699" s="1018"/>
      <c r="C699" s="1048"/>
      <c r="D699" s="164" t="s">
        <v>348</v>
      </c>
      <c r="E699" s="1026"/>
      <c r="F699" s="1026"/>
      <c r="G699" s="1026"/>
      <c r="H699" s="1026"/>
      <c r="I699" s="1225">
        <f>+I695</f>
        <v>60914784.313725479</v>
      </c>
      <c r="J699" s="1225"/>
      <c r="K699" s="1225"/>
      <c r="L699" s="1059"/>
      <c r="M699" s="1026"/>
      <c r="N699" s="1026"/>
      <c r="O699" s="1026"/>
      <c r="P699" s="1026"/>
      <c r="Q699" s="1026"/>
      <c r="R699" s="1026"/>
      <c r="S699" s="1219"/>
      <c r="T699" s="1006"/>
      <c r="U699" s="1028"/>
      <c r="V699" s="1028">
        <f t="shared" si="146"/>
        <v>60914784.313725479</v>
      </c>
      <c r="W699" s="1028"/>
      <c r="X699" s="1028"/>
      <c r="Y699" s="1028"/>
      <c r="Z699" s="1225"/>
      <c r="AA699" s="1006"/>
      <c r="AB699" s="1006"/>
      <c r="AC699" s="1225"/>
      <c r="AD699" s="1225"/>
      <c r="AE699" s="1225"/>
      <c r="AF699" s="1307"/>
      <c r="AG699" s="1220"/>
      <c r="AH699" s="1221"/>
      <c r="AI699" s="1221"/>
      <c r="AJ699" s="1253"/>
      <c r="AK699" s="1221"/>
      <c r="AL699" s="1221"/>
      <c r="AM699" s="1221"/>
      <c r="AN699" s="1221"/>
      <c r="AO699" s="1221"/>
      <c r="AP699" s="1221"/>
      <c r="AQ699" s="1221"/>
      <c r="AR699" s="1221"/>
      <c r="AS699" s="1221"/>
      <c r="AT699" s="1221"/>
      <c r="AU699" s="1221"/>
      <c r="AV699" s="1221"/>
      <c r="AW699" s="1221"/>
      <c r="AX699" s="1221"/>
      <c r="AY699" s="1221"/>
    </row>
    <row r="700" spans="1:51" ht="19.149999999999999" customHeight="1" x14ac:dyDescent="0.25">
      <c r="A700" s="1189"/>
      <c r="B700" s="1018"/>
      <c r="C700" s="1217" t="s">
        <v>456</v>
      </c>
      <c r="D700" s="161" t="s">
        <v>340</v>
      </c>
      <c r="E700" s="1225"/>
      <c r="F700" s="1225"/>
      <c r="G700" s="1225">
        <v>1.3</v>
      </c>
      <c r="H700" s="1225">
        <v>1.3</v>
      </c>
      <c r="I700" s="1225">
        <v>0.91</v>
      </c>
      <c r="J700" s="1225"/>
      <c r="K700" s="1225"/>
      <c r="L700" s="1225"/>
      <c r="M700" s="1225"/>
      <c r="N700" s="1023"/>
      <c r="O700" s="1225"/>
      <c r="P700" s="1225"/>
      <c r="Q700" s="1225"/>
      <c r="R700" s="1225"/>
      <c r="S700" s="1219"/>
      <c r="T700" s="1028">
        <v>6.5000000000000002E-2</v>
      </c>
      <c r="U700" s="1028">
        <v>0.12</v>
      </c>
      <c r="V700" s="1028">
        <v>0.12</v>
      </c>
      <c r="W700" s="1006"/>
      <c r="X700" s="1023"/>
      <c r="Y700" s="1225"/>
      <c r="Z700" s="1225"/>
      <c r="AA700" s="1225"/>
      <c r="AB700" s="1225"/>
      <c r="AC700" s="1026"/>
      <c r="AD700" s="1225"/>
      <c r="AE700" s="1225"/>
      <c r="AF700" s="1305"/>
      <c r="AG700" s="1311" t="s">
        <v>456</v>
      </c>
      <c r="AH700" s="1299" t="s">
        <v>178</v>
      </c>
      <c r="AI700" s="1299" t="s">
        <v>178</v>
      </c>
      <c r="AJ700" s="1299" t="s">
        <v>178</v>
      </c>
      <c r="AK700" s="1300" t="s">
        <v>457</v>
      </c>
      <c r="AL700" s="1299"/>
      <c r="AM700" s="1299" t="s">
        <v>603</v>
      </c>
      <c r="AN700" s="1252">
        <v>8034649</v>
      </c>
      <c r="AO700" s="1252">
        <v>3847592</v>
      </c>
      <c r="AP700" s="1252">
        <v>418057</v>
      </c>
      <c r="AQ700" s="1302" t="s">
        <v>459</v>
      </c>
      <c r="AR700" s="1302" t="s">
        <v>459</v>
      </c>
      <c r="AS700" s="1302" t="s">
        <v>459</v>
      </c>
      <c r="AT700" s="1302" t="s">
        <v>459</v>
      </c>
      <c r="AU700" s="1302" t="s">
        <v>459</v>
      </c>
      <c r="AV700" s="1302" t="s">
        <v>459</v>
      </c>
      <c r="AW700" s="1302" t="s">
        <v>459</v>
      </c>
      <c r="AX700" s="1252">
        <v>8034649</v>
      </c>
      <c r="AY700" s="1267" t="s">
        <v>688</v>
      </c>
    </row>
    <row r="701" spans="1:51" ht="19.149999999999999" customHeight="1" x14ac:dyDescent="0.25">
      <c r="A701" s="1189"/>
      <c r="B701" s="1018"/>
      <c r="C701" s="1018"/>
      <c r="D701" s="164" t="s">
        <v>343</v>
      </c>
      <c r="E701" s="1225"/>
      <c r="F701" s="1225"/>
      <c r="G701" s="1225">
        <v>400000000</v>
      </c>
      <c r="H701" s="1225">
        <v>400000000</v>
      </c>
      <c r="I701" s="1225">
        <v>318080117.64705884</v>
      </c>
      <c r="J701" s="1225"/>
      <c r="K701" s="1059"/>
      <c r="L701" s="1059"/>
      <c r="M701" s="1225"/>
      <c r="N701" s="1225"/>
      <c r="O701" s="1225"/>
      <c r="P701" s="1225"/>
      <c r="Q701" s="1225"/>
      <c r="R701" s="1225"/>
      <c r="S701" s="1219"/>
      <c r="T701" s="1006">
        <v>16490000</v>
      </c>
      <c r="U701" s="1006">
        <f>+U677</f>
        <v>89874000</v>
      </c>
      <c r="V701" s="1026">
        <f>+V700*$V$677/$V$676</f>
        <v>25206117.647058822</v>
      </c>
      <c r="W701" s="1225"/>
      <c r="X701" s="1225"/>
      <c r="Y701" s="1225"/>
      <c r="Z701" s="1225"/>
      <c r="AA701" s="1225"/>
      <c r="AB701" s="1225"/>
      <c r="AC701" s="1225"/>
      <c r="AD701" s="1225"/>
      <c r="AE701" s="1225"/>
      <c r="AF701" s="1307"/>
      <c r="AG701" s="1218"/>
      <c r="AH701" s="1219"/>
      <c r="AI701" s="1219"/>
      <c r="AJ701" s="1219"/>
      <c r="AK701" s="1219"/>
      <c r="AL701" s="1219"/>
      <c r="AM701" s="1219"/>
      <c r="AN701" s="1345"/>
      <c r="AO701" s="1345"/>
      <c r="AP701" s="1345"/>
      <c r="AQ701" s="1219"/>
      <c r="AR701" s="1219"/>
      <c r="AS701" s="1219"/>
      <c r="AT701" s="1219"/>
      <c r="AU701" s="1219"/>
      <c r="AV701" s="1219"/>
      <c r="AW701" s="1219"/>
      <c r="AX701" s="1345"/>
      <c r="AY701" s="1219"/>
    </row>
    <row r="702" spans="1:51" ht="28.9" customHeight="1" x14ac:dyDescent="0.25">
      <c r="A702" s="1189"/>
      <c r="B702" s="1018"/>
      <c r="C702" s="1018"/>
      <c r="D702" s="165" t="s">
        <v>345</v>
      </c>
      <c r="E702" s="1225"/>
      <c r="F702" s="1225"/>
      <c r="G702" s="1225">
        <v>0</v>
      </c>
      <c r="H702" s="1225">
        <v>0</v>
      </c>
      <c r="I702" s="1225">
        <v>0</v>
      </c>
      <c r="J702" s="1225"/>
      <c r="K702" s="1225"/>
      <c r="L702" s="1225"/>
      <c r="M702" s="1225"/>
      <c r="N702" s="1023"/>
      <c r="O702" s="1225"/>
      <c r="P702" s="1225"/>
      <c r="Q702" s="1225"/>
      <c r="R702" s="1225"/>
      <c r="S702" s="1219"/>
      <c r="T702" s="1006">
        <v>0</v>
      </c>
      <c r="U702" s="1006">
        <f>+U678</f>
        <v>0</v>
      </c>
      <c r="V702" s="1028">
        <v>0</v>
      </c>
      <c r="W702" s="1023"/>
      <c r="X702" s="1023"/>
      <c r="Y702" s="1023"/>
      <c r="Z702" s="1225"/>
      <c r="AA702" s="1225"/>
      <c r="AB702" s="1023"/>
      <c r="AC702" s="1225"/>
      <c r="AD702" s="1225"/>
      <c r="AE702" s="1225"/>
      <c r="AF702" s="1307"/>
      <c r="AG702" s="1218"/>
      <c r="AH702" s="1219"/>
      <c r="AI702" s="1219"/>
      <c r="AJ702" s="1219"/>
      <c r="AK702" s="1219"/>
      <c r="AL702" s="1219"/>
      <c r="AM702" s="1219"/>
      <c r="AN702" s="1345"/>
      <c r="AO702" s="1345"/>
      <c r="AP702" s="1345"/>
      <c r="AQ702" s="1219"/>
      <c r="AR702" s="1219"/>
      <c r="AS702" s="1219"/>
      <c r="AT702" s="1219"/>
      <c r="AU702" s="1219"/>
      <c r="AV702" s="1219"/>
      <c r="AW702" s="1219"/>
      <c r="AX702" s="1345"/>
      <c r="AY702" s="1219"/>
    </row>
    <row r="703" spans="1:51" ht="28.9" customHeight="1" x14ac:dyDescent="0.25">
      <c r="A703" s="1189"/>
      <c r="B703" s="1018"/>
      <c r="C703" s="1018"/>
      <c r="D703" s="164" t="s">
        <v>346</v>
      </c>
      <c r="E703" s="1225"/>
      <c r="F703" s="1225"/>
      <c r="G703" s="1225">
        <v>22405267</v>
      </c>
      <c r="H703" s="1225">
        <v>22405267</v>
      </c>
      <c r="I703" s="1225">
        <v>22405267</v>
      </c>
      <c r="J703" s="1225"/>
      <c r="K703" s="1225"/>
      <c r="L703" s="1006"/>
      <c r="M703" s="1006"/>
      <c r="N703" s="1006"/>
      <c r="O703" s="1006"/>
      <c r="P703" s="1006"/>
      <c r="Q703" s="1225"/>
      <c r="R703" s="1225"/>
      <c r="S703" s="1219"/>
      <c r="T703" s="1006">
        <v>7826000</v>
      </c>
      <c r="U703" s="1006">
        <f>+U679</f>
        <v>21523467</v>
      </c>
      <c r="V703" s="1006">
        <f>+V679</f>
        <v>22405267</v>
      </c>
      <c r="W703" s="1006"/>
      <c r="X703" s="1006"/>
      <c r="Y703" s="1006"/>
      <c r="Z703" s="1006"/>
      <c r="AA703" s="1006"/>
      <c r="AB703" s="1006"/>
      <c r="AC703" s="1006"/>
      <c r="AD703" s="1225"/>
      <c r="AE703" s="1225"/>
      <c r="AF703" s="1307"/>
      <c r="AG703" s="1218"/>
      <c r="AH703" s="1219"/>
      <c r="AI703" s="1219"/>
      <c r="AJ703" s="1219"/>
      <c r="AK703" s="1219"/>
      <c r="AL703" s="1219"/>
      <c r="AM703" s="1219"/>
      <c r="AN703" s="1345"/>
      <c r="AO703" s="1345"/>
      <c r="AP703" s="1345"/>
      <c r="AQ703" s="1219"/>
      <c r="AR703" s="1219"/>
      <c r="AS703" s="1219"/>
      <c r="AT703" s="1219"/>
      <c r="AU703" s="1219"/>
      <c r="AV703" s="1219"/>
      <c r="AW703" s="1219"/>
      <c r="AX703" s="1345"/>
      <c r="AY703" s="1219"/>
    </row>
    <row r="704" spans="1:51" ht="28.9" customHeight="1" x14ac:dyDescent="0.25">
      <c r="A704" s="1189"/>
      <c r="B704" s="1018"/>
      <c r="C704" s="1018"/>
      <c r="D704" s="165" t="s">
        <v>347</v>
      </c>
      <c r="E704" s="1225"/>
      <c r="F704" s="1225"/>
      <c r="G704" s="1225">
        <v>1.3</v>
      </c>
      <c r="H704" s="1225">
        <v>1.3</v>
      </c>
      <c r="I704" s="1225">
        <v>0.91</v>
      </c>
      <c r="J704" s="1225"/>
      <c r="K704" s="1225"/>
      <c r="L704" s="1225"/>
      <c r="M704" s="1225"/>
      <c r="N704" s="1225"/>
      <c r="O704" s="1225"/>
      <c r="P704" s="1225"/>
      <c r="Q704" s="1225"/>
      <c r="R704" s="1225"/>
      <c r="S704" s="1219"/>
      <c r="T704" s="1006">
        <v>6.5000000000000002E-2</v>
      </c>
      <c r="U704" s="1006">
        <f>+U680</f>
        <v>0.12</v>
      </c>
      <c r="V704" s="1028">
        <v>0.12</v>
      </c>
      <c r="W704" s="1006"/>
      <c r="X704" s="1023"/>
      <c r="Y704" s="1225"/>
      <c r="Z704" s="1225"/>
      <c r="AA704" s="1225"/>
      <c r="AB704" s="1225"/>
      <c r="AC704" s="1225"/>
      <c r="AD704" s="1225"/>
      <c r="AE704" s="1225"/>
      <c r="AF704" s="1307"/>
      <c r="AG704" s="1218"/>
      <c r="AH704" s="1219"/>
      <c r="AI704" s="1219"/>
      <c r="AJ704" s="1219"/>
      <c r="AK704" s="1219"/>
      <c r="AL704" s="1219"/>
      <c r="AM704" s="1219"/>
      <c r="AN704" s="1345"/>
      <c r="AO704" s="1345"/>
      <c r="AP704" s="1345"/>
      <c r="AQ704" s="1219"/>
      <c r="AR704" s="1219"/>
      <c r="AS704" s="1219"/>
      <c r="AT704" s="1219"/>
      <c r="AU704" s="1219"/>
      <c r="AV704" s="1219"/>
      <c r="AW704" s="1219"/>
      <c r="AX704" s="1345"/>
      <c r="AY704" s="1219"/>
    </row>
    <row r="705" spans="1:51" ht="28.9" customHeight="1" x14ac:dyDescent="0.25">
      <c r="A705" s="1189"/>
      <c r="B705" s="1018"/>
      <c r="C705" s="1048"/>
      <c r="D705" s="164" t="s">
        <v>348</v>
      </c>
      <c r="E705" s="1225"/>
      <c r="F705" s="1225"/>
      <c r="G705" s="1225">
        <v>422405267</v>
      </c>
      <c r="H705" s="1225">
        <v>422405267</v>
      </c>
      <c r="I705" s="1225">
        <f>+I701+I703</f>
        <v>340485384.64705884</v>
      </c>
      <c r="J705" s="1225"/>
      <c r="K705" s="1059"/>
      <c r="L705" s="1059"/>
      <c r="M705" s="1026"/>
      <c r="N705" s="1026"/>
      <c r="O705" s="1026"/>
      <c r="P705" s="1026"/>
      <c r="Q705" s="1026"/>
      <c r="R705" s="1026"/>
      <c r="S705" s="1219"/>
      <c r="T705" s="1006">
        <v>24316000</v>
      </c>
      <c r="U705" s="1006">
        <f>+U681</f>
        <v>111397467</v>
      </c>
      <c r="V705" s="1006">
        <f>+V701+V703</f>
        <v>47611384.647058822</v>
      </c>
      <c r="W705" s="1225"/>
      <c r="X705" s="1225"/>
      <c r="Y705" s="1225"/>
      <c r="Z705" s="1026"/>
      <c r="AA705" s="1026"/>
      <c r="AB705" s="1026"/>
      <c r="AC705" s="1026"/>
      <c r="AD705" s="1026"/>
      <c r="AE705" s="1026"/>
      <c r="AF705" s="1307"/>
      <c r="AG705" s="1220"/>
      <c r="AH705" s="1221"/>
      <c r="AI705" s="1221"/>
      <c r="AJ705" s="1221"/>
      <c r="AK705" s="1221"/>
      <c r="AL705" s="1221"/>
      <c r="AM705" s="1221"/>
      <c r="AN705" s="1346"/>
      <c r="AO705" s="1346"/>
      <c r="AP705" s="1346"/>
      <c r="AQ705" s="1221"/>
      <c r="AR705" s="1221"/>
      <c r="AS705" s="1221"/>
      <c r="AT705" s="1221"/>
      <c r="AU705" s="1221"/>
      <c r="AV705" s="1221"/>
      <c r="AW705" s="1221"/>
      <c r="AX705" s="1346"/>
      <c r="AY705" s="1221"/>
    </row>
    <row r="706" spans="1:51" ht="19.149999999999999" customHeight="1" x14ac:dyDescent="0.25">
      <c r="A706" s="1189"/>
      <c r="B706" s="1018"/>
      <c r="C706" s="1217" t="s">
        <v>512</v>
      </c>
      <c r="D706" s="161" t="s">
        <v>340</v>
      </c>
      <c r="E706" s="1225">
        <f t="shared" ref="E706:F711" si="147">+E676</f>
        <v>1.3</v>
      </c>
      <c r="F706" s="1225">
        <f t="shared" si="147"/>
        <v>1.3</v>
      </c>
      <c r="G706" s="1225">
        <f t="shared" ref="G706:L711" si="148">+G682+G688+G694+G700</f>
        <v>1.3</v>
      </c>
      <c r="H706" s="1225">
        <f t="shared" si="148"/>
        <v>1.3</v>
      </c>
      <c r="I706" s="1225">
        <f t="shared" si="148"/>
        <v>1.3</v>
      </c>
      <c r="J706" s="1225"/>
      <c r="K706" s="1225"/>
      <c r="L706" s="1225"/>
      <c r="M706" s="1225"/>
      <c r="N706" s="1225"/>
      <c r="O706" s="1225"/>
      <c r="P706" s="1225"/>
      <c r="Q706" s="1225"/>
      <c r="R706" s="1225"/>
      <c r="S706" s="1219"/>
      <c r="T706" s="1225">
        <f t="shared" ref="T706:Y706" si="149">+T682+T688+T694+T700</f>
        <v>6.5000000000000002E-2</v>
      </c>
      <c r="U706" s="1225">
        <f t="shared" si="149"/>
        <v>0.12</v>
      </c>
      <c r="V706" s="1225">
        <f t="shared" si="149"/>
        <v>0.51</v>
      </c>
      <c r="W706" s="1225"/>
      <c r="X706" s="1225">
        <f t="shared" si="149"/>
        <v>0</v>
      </c>
      <c r="Y706" s="1225">
        <f t="shared" si="149"/>
        <v>0</v>
      </c>
      <c r="Z706" s="1225">
        <f t="shared" ref="Z706:AE706" si="150">+Z682+Z688+Z694+Z700</f>
        <v>0</v>
      </c>
      <c r="AA706" s="1225">
        <f t="shared" si="150"/>
        <v>0</v>
      </c>
      <c r="AB706" s="1225">
        <f t="shared" si="150"/>
        <v>0</v>
      </c>
      <c r="AC706" s="1225">
        <f t="shared" si="150"/>
        <v>0</v>
      </c>
      <c r="AD706" s="1225">
        <f t="shared" si="150"/>
        <v>0</v>
      </c>
      <c r="AE706" s="1225">
        <f t="shared" si="150"/>
        <v>0</v>
      </c>
      <c r="AF706" s="1305"/>
      <c r="AG706" s="1311" t="s">
        <v>456</v>
      </c>
      <c r="AH706" s="1299" t="s">
        <v>178</v>
      </c>
      <c r="AI706" s="1299" t="s">
        <v>178</v>
      </c>
      <c r="AJ706" s="1299" t="s">
        <v>178</v>
      </c>
      <c r="AK706" s="1300" t="s">
        <v>457</v>
      </c>
      <c r="AL706" s="1299"/>
      <c r="AM706" s="1299" t="s">
        <v>603</v>
      </c>
      <c r="AN706" s="1252">
        <v>8034649</v>
      </c>
      <c r="AO706" s="1252">
        <v>3847592</v>
      </c>
      <c r="AP706" s="1252">
        <v>418057</v>
      </c>
      <c r="AQ706" s="1302" t="s">
        <v>459</v>
      </c>
      <c r="AR706" s="1302" t="s">
        <v>459</v>
      </c>
      <c r="AS706" s="1302" t="s">
        <v>459</v>
      </c>
      <c r="AT706" s="1302" t="s">
        <v>459</v>
      </c>
      <c r="AU706" s="1302" t="s">
        <v>459</v>
      </c>
      <c r="AV706" s="1302" t="s">
        <v>459</v>
      </c>
      <c r="AW706" s="1302" t="s">
        <v>459</v>
      </c>
      <c r="AX706" s="1252">
        <v>8034649</v>
      </c>
      <c r="AY706" s="1267"/>
    </row>
    <row r="707" spans="1:51" ht="15.75" customHeight="1" x14ac:dyDescent="0.25">
      <c r="A707" s="1189"/>
      <c r="B707" s="1018"/>
      <c r="C707" s="1018"/>
      <c r="D707" s="164" t="s">
        <v>343</v>
      </c>
      <c r="E707" s="1225">
        <f t="shared" si="147"/>
        <v>400000000</v>
      </c>
      <c r="F707" s="1225">
        <f t="shared" si="147"/>
        <v>400000000</v>
      </c>
      <c r="G707" s="1225">
        <f t="shared" si="148"/>
        <v>400000000</v>
      </c>
      <c r="H707" s="1225">
        <f t="shared" si="148"/>
        <v>400000000</v>
      </c>
      <c r="I707" s="1225">
        <f>+I683+I689+I695+I701</f>
        <v>400000000</v>
      </c>
      <c r="J707" s="1225"/>
      <c r="K707" s="1225"/>
      <c r="L707" s="1225"/>
      <c r="M707" s="1225"/>
      <c r="N707" s="1225"/>
      <c r="O707" s="1225"/>
      <c r="P707" s="1225"/>
      <c r="Q707" s="1225"/>
      <c r="R707" s="1225"/>
      <c r="S707" s="1219"/>
      <c r="T707" s="1225">
        <f t="shared" ref="T707:Y707" si="151">+T683+T689+T695+T701</f>
        <v>16490000</v>
      </c>
      <c r="U707" s="1225">
        <f t="shared" si="151"/>
        <v>89874000</v>
      </c>
      <c r="V707" s="1225">
        <f t="shared" si="151"/>
        <v>107125999.99999997</v>
      </c>
      <c r="W707" s="1225"/>
      <c r="X707" s="1225">
        <f t="shared" si="151"/>
        <v>0</v>
      </c>
      <c r="Y707" s="1225">
        <f t="shared" si="151"/>
        <v>0</v>
      </c>
      <c r="Z707" s="1225">
        <f t="shared" ref="Z707:AE707" si="152">+Z683+Z689+Z695+Z701</f>
        <v>0</v>
      </c>
      <c r="AA707" s="1225">
        <f t="shared" si="152"/>
        <v>0</v>
      </c>
      <c r="AB707" s="1225">
        <f t="shared" si="152"/>
        <v>0</v>
      </c>
      <c r="AC707" s="1225">
        <f t="shared" si="152"/>
        <v>0</v>
      </c>
      <c r="AD707" s="1225">
        <f t="shared" si="152"/>
        <v>0</v>
      </c>
      <c r="AE707" s="1225">
        <f t="shared" si="152"/>
        <v>0</v>
      </c>
      <c r="AF707" s="1307"/>
      <c r="AG707" s="1218"/>
      <c r="AH707" s="1219"/>
      <c r="AI707" s="1219"/>
      <c r="AJ707" s="1219"/>
      <c r="AK707" s="1219"/>
      <c r="AL707" s="1219"/>
      <c r="AM707" s="1219"/>
      <c r="AN707" s="1345"/>
      <c r="AO707" s="1345"/>
      <c r="AP707" s="1345"/>
      <c r="AQ707" s="1219"/>
      <c r="AR707" s="1219"/>
      <c r="AS707" s="1219"/>
      <c r="AT707" s="1219"/>
      <c r="AU707" s="1219"/>
      <c r="AV707" s="1219"/>
      <c r="AW707" s="1219"/>
      <c r="AX707" s="1345"/>
      <c r="AY707" s="1219"/>
    </row>
    <row r="708" spans="1:51" ht="28.9" customHeight="1" x14ac:dyDescent="0.25">
      <c r="A708" s="1189"/>
      <c r="B708" s="1018"/>
      <c r="C708" s="1018"/>
      <c r="D708" s="165" t="s">
        <v>345</v>
      </c>
      <c r="E708" s="1225">
        <f t="shared" si="147"/>
        <v>0</v>
      </c>
      <c r="F708" s="1225">
        <f t="shared" si="147"/>
        <v>0</v>
      </c>
      <c r="G708" s="1225">
        <f t="shared" si="148"/>
        <v>0</v>
      </c>
      <c r="H708" s="1225">
        <f t="shared" si="148"/>
        <v>0</v>
      </c>
      <c r="I708" s="1225">
        <f t="shared" ref="I708" si="153">+I684+I690+I696+I702</f>
        <v>0</v>
      </c>
      <c r="J708" s="1225"/>
      <c r="K708" s="1225"/>
      <c r="L708" s="1225"/>
      <c r="M708" s="1225"/>
      <c r="N708" s="1225"/>
      <c r="O708" s="1225"/>
      <c r="P708" s="1225"/>
      <c r="Q708" s="1225"/>
      <c r="R708" s="1225"/>
      <c r="S708" s="1219"/>
      <c r="T708" s="1225">
        <f t="shared" ref="T708:Y708" si="154">+T684+T690+T696+T702</f>
        <v>0</v>
      </c>
      <c r="U708" s="1225">
        <f t="shared" si="154"/>
        <v>0</v>
      </c>
      <c r="V708" s="1225">
        <f t="shared" si="154"/>
        <v>0</v>
      </c>
      <c r="W708" s="1225"/>
      <c r="X708" s="1225">
        <f t="shared" si="154"/>
        <v>0</v>
      </c>
      <c r="Y708" s="1225">
        <f t="shared" si="154"/>
        <v>0</v>
      </c>
      <c r="Z708" s="1225">
        <f t="shared" ref="Z708:AE708" si="155">+Z684+Z690+Z696+Z702</f>
        <v>0</v>
      </c>
      <c r="AA708" s="1225">
        <f t="shared" si="155"/>
        <v>0</v>
      </c>
      <c r="AB708" s="1225">
        <f t="shared" si="155"/>
        <v>0</v>
      </c>
      <c r="AC708" s="1225">
        <f t="shared" si="155"/>
        <v>0</v>
      </c>
      <c r="AD708" s="1225">
        <f t="shared" si="155"/>
        <v>0</v>
      </c>
      <c r="AE708" s="1225">
        <f t="shared" si="155"/>
        <v>0</v>
      </c>
      <c r="AF708" s="1307"/>
      <c r="AG708" s="1218"/>
      <c r="AH708" s="1219"/>
      <c r="AI708" s="1219"/>
      <c r="AJ708" s="1219"/>
      <c r="AK708" s="1219"/>
      <c r="AL708" s="1219"/>
      <c r="AM708" s="1219"/>
      <c r="AN708" s="1345"/>
      <c r="AO708" s="1345"/>
      <c r="AP708" s="1345"/>
      <c r="AQ708" s="1219"/>
      <c r="AR708" s="1219"/>
      <c r="AS708" s="1219"/>
      <c r="AT708" s="1219"/>
      <c r="AU708" s="1219"/>
      <c r="AV708" s="1219"/>
      <c r="AW708" s="1219"/>
      <c r="AX708" s="1345"/>
      <c r="AY708" s="1219"/>
    </row>
    <row r="709" spans="1:51" ht="28.9" customHeight="1" x14ac:dyDescent="0.25">
      <c r="A709" s="1189"/>
      <c r="B709" s="1018"/>
      <c r="C709" s="1018"/>
      <c r="D709" s="164" t="s">
        <v>346</v>
      </c>
      <c r="E709" s="1225">
        <f t="shared" si="147"/>
        <v>22405267</v>
      </c>
      <c r="F709" s="1225">
        <f t="shared" si="147"/>
        <v>22405267</v>
      </c>
      <c r="G709" s="1225">
        <f t="shared" si="148"/>
        <v>22405267</v>
      </c>
      <c r="H709" s="1225">
        <f t="shared" si="148"/>
        <v>22405267</v>
      </c>
      <c r="I709" s="1225">
        <f t="shared" ref="I709" si="156">+I685+I691+I697+I703</f>
        <v>22405267</v>
      </c>
      <c r="J709" s="1225"/>
      <c r="K709" s="1225"/>
      <c r="L709" s="1225"/>
      <c r="M709" s="1225"/>
      <c r="N709" s="1225"/>
      <c r="O709" s="1225"/>
      <c r="P709" s="1225"/>
      <c r="Q709" s="1225"/>
      <c r="R709" s="1225"/>
      <c r="S709" s="1219"/>
      <c r="T709" s="1225">
        <f t="shared" ref="T709:Y709" si="157">+T685+T691+T697+T703</f>
        <v>7826000</v>
      </c>
      <c r="U709" s="1225">
        <f t="shared" si="157"/>
        <v>21523467</v>
      </c>
      <c r="V709" s="1225">
        <f t="shared" si="157"/>
        <v>22405267</v>
      </c>
      <c r="W709" s="1225"/>
      <c r="X709" s="1225">
        <f t="shared" si="157"/>
        <v>0</v>
      </c>
      <c r="Y709" s="1225">
        <f t="shared" si="157"/>
        <v>0</v>
      </c>
      <c r="Z709" s="1225">
        <f t="shared" ref="Z709:AE709" si="158">+Z685+Z691+Z697+Z703</f>
        <v>0</v>
      </c>
      <c r="AA709" s="1225">
        <f t="shared" si="158"/>
        <v>0</v>
      </c>
      <c r="AB709" s="1225">
        <f t="shared" si="158"/>
        <v>0</v>
      </c>
      <c r="AC709" s="1225">
        <f t="shared" si="158"/>
        <v>0</v>
      </c>
      <c r="AD709" s="1225">
        <f t="shared" si="158"/>
        <v>0</v>
      </c>
      <c r="AE709" s="1225">
        <f t="shared" si="158"/>
        <v>0</v>
      </c>
      <c r="AF709" s="1307"/>
      <c r="AG709" s="1218"/>
      <c r="AH709" s="1219"/>
      <c r="AI709" s="1219"/>
      <c r="AJ709" s="1219"/>
      <c r="AK709" s="1219"/>
      <c r="AL709" s="1219"/>
      <c r="AM709" s="1219"/>
      <c r="AN709" s="1345"/>
      <c r="AO709" s="1345"/>
      <c r="AP709" s="1345"/>
      <c r="AQ709" s="1219"/>
      <c r="AR709" s="1219"/>
      <c r="AS709" s="1219"/>
      <c r="AT709" s="1219"/>
      <c r="AU709" s="1219"/>
      <c r="AV709" s="1219"/>
      <c r="AW709" s="1219"/>
      <c r="AX709" s="1345"/>
      <c r="AY709" s="1219"/>
    </row>
    <row r="710" spans="1:51" ht="28.9" customHeight="1" x14ac:dyDescent="0.25">
      <c r="A710" s="1189"/>
      <c r="B710" s="1018"/>
      <c r="C710" s="1018"/>
      <c r="D710" s="165" t="s">
        <v>347</v>
      </c>
      <c r="E710" s="1225">
        <f t="shared" si="147"/>
        <v>1.3</v>
      </c>
      <c r="F710" s="1225">
        <f t="shared" si="147"/>
        <v>1.3</v>
      </c>
      <c r="G710" s="1225">
        <f t="shared" si="148"/>
        <v>1.3</v>
      </c>
      <c r="H710" s="1225">
        <f t="shared" si="148"/>
        <v>1.3</v>
      </c>
      <c r="I710" s="1225">
        <f t="shared" ref="I710" si="159">+I686+I692+I698+I704</f>
        <v>1.3</v>
      </c>
      <c r="J710" s="1225"/>
      <c r="K710" s="1225"/>
      <c r="L710" s="1225"/>
      <c r="M710" s="1225"/>
      <c r="N710" s="1225"/>
      <c r="O710" s="1225"/>
      <c r="P710" s="1225"/>
      <c r="Q710" s="1225"/>
      <c r="R710" s="1225"/>
      <c r="S710" s="1219"/>
      <c r="T710" s="1225">
        <f t="shared" ref="T710:Y710" si="160">+T686+T692+T698+T704</f>
        <v>6.5000000000000002E-2</v>
      </c>
      <c r="U710" s="1225">
        <f t="shared" si="160"/>
        <v>0.12</v>
      </c>
      <c r="V710" s="1225">
        <f t="shared" si="160"/>
        <v>0.51</v>
      </c>
      <c r="W710" s="1225"/>
      <c r="X710" s="1225">
        <f t="shared" si="160"/>
        <v>0</v>
      </c>
      <c r="Y710" s="1225">
        <f t="shared" si="160"/>
        <v>0</v>
      </c>
      <c r="Z710" s="1225">
        <f t="shared" ref="Z710:AE710" si="161">+Z686+Z692+Z698+Z704</f>
        <v>0</v>
      </c>
      <c r="AA710" s="1225">
        <f t="shared" si="161"/>
        <v>0</v>
      </c>
      <c r="AB710" s="1225">
        <f t="shared" si="161"/>
        <v>0</v>
      </c>
      <c r="AC710" s="1225">
        <f t="shared" si="161"/>
        <v>0</v>
      </c>
      <c r="AD710" s="1225">
        <f t="shared" si="161"/>
        <v>0</v>
      </c>
      <c r="AE710" s="1225">
        <f t="shared" si="161"/>
        <v>0</v>
      </c>
      <c r="AF710" s="1307"/>
      <c r="AG710" s="1218"/>
      <c r="AH710" s="1219"/>
      <c r="AI710" s="1219"/>
      <c r="AJ710" s="1219"/>
      <c r="AK710" s="1219"/>
      <c r="AL710" s="1219"/>
      <c r="AM710" s="1219"/>
      <c r="AN710" s="1345"/>
      <c r="AO710" s="1345"/>
      <c r="AP710" s="1345"/>
      <c r="AQ710" s="1219"/>
      <c r="AR710" s="1219"/>
      <c r="AS710" s="1219"/>
      <c r="AT710" s="1219"/>
      <c r="AU710" s="1219"/>
      <c r="AV710" s="1219"/>
      <c r="AW710" s="1219"/>
      <c r="AX710" s="1345"/>
      <c r="AY710" s="1219"/>
    </row>
    <row r="711" spans="1:51" ht="15.75" customHeight="1" thickBot="1" x14ac:dyDescent="0.3">
      <c r="A711" s="1190"/>
      <c r="B711" s="1376"/>
      <c r="C711" s="1048"/>
      <c r="D711" s="164" t="s">
        <v>348</v>
      </c>
      <c r="E711" s="1225">
        <f t="shared" si="147"/>
        <v>422405267</v>
      </c>
      <c r="F711" s="1225">
        <f t="shared" si="147"/>
        <v>422405267</v>
      </c>
      <c r="G711" s="1225">
        <f t="shared" si="148"/>
        <v>422405267</v>
      </c>
      <c r="H711" s="1225">
        <f t="shared" si="148"/>
        <v>422405267</v>
      </c>
      <c r="I711" s="1225">
        <f t="shared" ref="I711" si="162">+I687+I693+I699+I705</f>
        <v>422405267</v>
      </c>
      <c r="J711" s="1225"/>
      <c r="K711" s="1225"/>
      <c r="L711" s="1225"/>
      <c r="M711" s="1225"/>
      <c r="N711" s="1225"/>
      <c r="O711" s="1225"/>
      <c r="P711" s="1225"/>
      <c r="Q711" s="1225"/>
      <c r="R711" s="1225"/>
      <c r="S711" s="1221"/>
      <c r="T711" s="1225">
        <f t="shared" ref="T711:Y711" si="163">+T687+T693+T699+T705</f>
        <v>24316000</v>
      </c>
      <c r="U711" s="1225">
        <f t="shared" si="163"/>
        <v>111397467</v>
      </c>
      <c r="V711" s="1225">
        <f t="shared" si="163"/>
        <v>129531266.99999997</v>
      </c>
      <c r="W711" s="1225"/>
      <c r="X711" s="1225">
        <f t="shared" si="163"/>
        <v>0</v>
      </c>
      <c r="Y711" s="1225">
        <f t="shared" si="163"/>
        <v>0</v>
      </c>
      <c r="Z711" s="1225">
        <f t="shared" ref="Z711:AE711" si="164">+Z687+Z693+Z699+Z705</f>
        <v>0</v>
      </c>
      <c r="AA711" s="1225">
        <f t="shared" si="164"/>
        <v>0</v>
      </c>
      <c r="AB711" s="1225">
        <f t="shared" si="164"/>
        <v>0</v>
      </c>
      <c r="AC711" s="1225">
        <f t="shared" si="164"/>
        <v>0</v>
      </c>
      <c r="AD711" s="1225">
        <f t="shared" si="164"/>
        <v>0</v>
      </c>
      <c r="AE711" s="1225">
        <f t="shared" si="164"/>
        <v>0</v>
      </c>
      <c r="AF711" s="1307"/>
      <c r="AG711" s="1220"/>
      <c r="AH711" s="1221"/>
      <c r="AI711" s="1221"/>
      <c r="AJ711" s="1221"/>
      <c r="AK711" s="1221"/>
      <c r="AL711" s="1221"/>
      <c r="AM711" s="1221"/>
      <c r="AN711" s="1346"/>
      <c r="AO711" s="1346"/>
      <c r="AP711" s="1346"/>
      <c r="AQ711" s="1221"/>
      <c r="AR711" s="1221"/>
      <c r="AS711" s="1221"/>
      <c r="AT711" s="1221"/>
      <c r="AU711" s="1221"/>
      <c r="AV711" s="1221"/>
      <c r="AW711" s="1221"/>
      <c r="AX711" s="1346"/>
      <c r="AY711" s="1221"/>
    </row>
    <row r="712" spans="1:51" ht="19.149999999999999" customHeight="1" x14ac:dyDescent="0.25">
      <c r="A712" s="1216">
        <v>9</v>
      </c>
      <c r="B712" s="1374" t="s">
        <v>689</v>
      </c>
      <c r="C712" s="1217" t="s">
        <v>690</v>
      </c>
      <c r="D712" s="161" t="s">
        <v>340</v>
      </c>
      <c r="E712" s="1225"/>
      <c r="F712" s="1225"/>
      <c r="G712" s="1225"/>
      <c r="H712" s="1225"/>
      <c r="I712" s="1225"/>
      <c r="J712" s="1225"/>
      <c r="K712" s="1225"/>
      <c r="L712" s="1225"/>
      <c r="M712" s="1225"/>
      <c r="N712" s="1225"/>
      <c r="O712" s="1225"/>
      <c r="P712" s="1225"/>
      <c r="Q712" s="1225"/>
      <c r="R712" s="1225"/>
      <c r="S712" s="1006"/>
      <c r="T712" s="1225"/>
      <c r="U712" s="1006"/>
      <c r="V712" s="1006"/>
      <c r="W712" s="1006"/>
      <c r="X712" s="1023"/>
      <c r="Y712" s="1006"/>
      <c r="Z712" s="1006"/>
      <c r="AA712" s="1006"/>
      <c r="AB712" s="1006"/>
      <c r="AC712" s="1225"/>
      <c r="AD712" s="1225"/>
      <c r="AE712" s="1225"/>
      <c r="AF712" s="1328"/>
      <c r="AG712" s="1300" t="s">
        <v>456</v>
      </c>
      <c r="AH712" s="1299" t="s">
        <v>178</v>
      </c>
      <c r="AI712" s="1299" t="s">
        <v>178</v>
      </c>
      <c r="AJ712" s="1299" t="s">
        <v>178</v>
      </c>
      <c r="AK712" s="1300" t="s">
        <v>457</v>
      </c>
      <c r="AL712" s="1299"/>
      <c r="AM712" s="1299" t="s">
        <v>691</v>
      </c>
      <c r="AN712" s="1252">
        <v>8034649</v>
      </c>
      <c r="AO712" s="1252">
        <v>3847592</v>
      </c>
      <c r="AP712" s="1252">
        <v>418057</v>
      </c>
      <c r="AQ712" s="1302" t="s">
        <v>459</v>
      </c>
      <c r="AR712" s="1302" t="s">
        <v>459</v>
      </c>
      <c r="AS712" s="1302" t="s">
        <v>459</v>
      </c>
      <c r="AT712" s="1302" t="s">
        <v>459</v>
      </c>
      <c r="AU712" s="1302" t="s">
        <v>459</v>
      </c>
      <c r="AV712" s="1302" t="s">
        <v>459</v>
      </c>
      <c r="AW712" s="1302" t="s">
        <v>459</v>
      </c>
      <c r="AX712" s="1252">
        <v>8034649</v>
      </c>
      <c r="AY712" s="1183"/>
    </row>
    <row r="713" spans="1:51" ht="19.149999999999999" customHeight="1" x14ac:dyDescent="0.25">
      <c r="A713" s="1189"/>
      <c r="B713" s="1018"/>
      <c r="C713" s="1018"/>
      <c r="D713" s="164" t="s">
        <v>343</v>
      </c>
      <c r="E713" s="1225"/>
      <c r="F713" s="1225"/>
      <c r="G713" s="1225"/>
      <c r="H713" s="1225"/>
      <c r="I713" s="1225"/>
      <c r="J713" s="1225"/>
      <c r="K713" s="1225"/>
      <c r="L713" s="1225"/>
      <c r="M713" s="1225"/>
      <c r="N713" s="1225"/>
      <c r="O713" s="1225"/>
      <c r="P713" s="1225"/>
      <c r="Q713" s="1225"/>
      <c r="R713" s="1225"/>
      <c r="S713" s="1006"/>
      <c r="T713" s="1225"/>
      <c r="U713" s="1006"/>
      <c r="V713" s="1006"/>
      <c r="W713" s="1006"/>
      <c r="X713" s="1023"/>
      <c r="Y713" s="1006"/>
      <c r="Z713" s="1006"/>
      <c r="AA713" s="1006"/>
      <c r="AB713" s="1006"/>
      <c r="AC713" s="1225"/>
      <c r="AD713" s="1225"/>
      <c r="AE713" s="1225"/>
      <c r="AF713" s="1240"/>
      <c r="AG713" s="1219"/>
      <c r="AH713" s="1219"/>
      <c r="AI713" s="1219"/>
      <c r="AJ713" s="1219"/>
      <c r="AK713" s="1219"/>
      <c r="AL713" s="1219"/>
      <c r="AM713" s="1219"/>
      <c r="AN713" s="1345"/>
      <c r="AO713" s="1345"/>
      <c r="AP713" s="1345"/>
      <c r="AQ713" s="1219"/>
      <c r="AR713" s="1219"/>
      <c r="AS713" s="1219"/>
      <c r="AT713" s="1219"/>
      <c r="AU713" s="1219"/>
      <c r="AV713" s="1219"/>
      <c r="AW713" s="1219"/>
      <c r="AX713" s="1345"/>
      <c r="AY713" s="1183"/>
    </row>
    <row r="714" spans="1:51" ht="28.9" customHeight="1" x14ac:dyDescent="0.25">
      <c r="A714" s="1189"/>
      <c r="B714" s="1018"/>
      <c r="C714" s="1018"/>
      <c r="D714" s="165" t="s">
        <v>345</v>
      </c>
      <c r="E714" s="1225"/>
      <c r="F714" s="1225"/>
      <c r="G714" s="1225"/>
      <c r="H714" s="1225"/>
      <c r="I714" s="1225"/>
      <c r="J714" s="1225"/>
      <c r="K714" s="1225"/>
      <c r="L714" s="1225"/>
      <c r="M714" s="1225"/>
      <c r="N714" s="1225"/>
      <c r="O714" s="1225"/>
      <c r="P714" s="1225"/>
      <c r="Q714" s="1225"/>
      <c r="R714" s="1225"/>
      <c r="S714" s="1006"/>
      <c r="T714" s="1225"/>
      <c r="U714" s="1006"/>
      <c r="V714" s="1006"/>
      <c r="W714" s="1006"/>
      <c r="X714" s="1023"/>
      <c r="Y714" s="1059"/>
      <c r="Z714" s="1006"/>
      <c r="AA714" s="1006"/>
      <c r="AB714" s="1006"/>
      <c r="AC714" s="1225"/>
      <c r="AD714" s="1225"/>
      <c r="AE714" s="1225"/>
      <c r="AF714" s="1240"/>
      <c r="AG714" s="1219"/>
      <c r="AH714" s="1219"/>
      <c r="AI714" s="1219"/>
      <c r="AJ714" s="1219"/>
      <c r="AK714" s="1219"/>
      <c r="AL714" s="1219"/>
      <c r="AM714" s="1219"/>
      <c r="AN714" s="1345"/>
      <c r="AO714" s="1345"/>
      <c r="AP714" s="1345"/>
      <c r="AQ714" s="1219"/>
      <c r="AR714" s="1219"/>
      <c r="AS714" s="1219"/>
      <c r="AT714" s="1219"/>
      <c r="AU714" s="1219"/>
      <c r="AV714" s="1219"/>
      <c r="AW714" s="1219"/>
      <c r="AX714" s="1345"/>
      <c r="AY714" s="1183"/>
    </row>
    <row r="715" spans="1:51" ht="28.9" customHeight="1" x14ac:dyDescent="0.25">
      <c r="A715" s="1189"/>
      <c r="B715" s="1018"/>
      <c r="C715" s="1018"/>
      <c r="D715" s="164" t="s">
        <v>346</v>
      </c>
      <c r="E715" s="1225"/>
      <c r="F715" s="1225"/>
      <c r="G715" s="1225"/>
      <c r="H715" s="1225"/>
      <c r="I715" s="1225"/>
      <c r="J715" s="1225"/>
      <c r="K715" s="1225"/>
      <c r="L715" s="1020"/>
      <c r="M715" s="1020"/>
      <c r="N715" s="1020"/>
      <c r="O715" s="1225"/>
      <c r="P715" s="1225"/>
      <c r="Q715" s="1225"/>
      <c r="R715" s="1225"/>
      <c r="S715" s="1006"/>
      <c r="T715" s="1225"/>
      <c r="U715" s="1006"/>
      <c r="V715" s="1006"/>
      <c r="W715" s="1006"/>
      <c r="X715" s="1023"/>
      <c r="Y715" s="1059"/>
      <c r="Z715" s="1006"/>
      <c r="AA715" s="1006"/>
      <c r="AB715" s="1006"/>
      <c r="AC715" s="1225"/>
      <c r="AD715" s="1225"/>
      <c r="AE715" s="1225"/>
      <c r="AF715" s="1240"/>
      <c r="AG715" s="1219"/>
      <c r="AH715" s="1219"/>
      <c r="AI715" s="1219"/>
      <c r="AJ715" s="1219"/>
      <c r="AK715" s="1219"/>
      <c r="AL715" s="1219"/>
      <c r="AM715" s="1219"/>
      <c r="AN715" s="1345"/>
      <c r="AO715" s="1345"/>
      <c r="AP715" s="1345"/>
      <c r="AQ715" s="1219"/>
      <c r="AR715" s="1219"/>
      <c r="AS715" s="1219"/>
      <c r="AT715" s="1219"/>
      <c r="AU715" s="1219"/>
      <c r="AV715" s="1219"/>
      <c r="AW715" s="1219"/>
      <c r="AX715" s="1345"/>
      <c r="AY715" s="1183"/>
    </row>
    <row r="716" spans="1:51" ht="28.9" customHeight="1" x14ac:dyDescent="0.25">
      <c r="A716" s="1189"/>
      <c r="B716" s="1018"/>
      <c r="C716" s="1018"/>
      <c r="D716" s="165" t="s">
        <v>347</v>
      </c>
      <c r="E716" s="1225"/>
      <c r="F716" s="1225"/>
      <c r="G716" s="1225"/>
      <c r="H716" s="1225"/>
      <c r="I716" s="1225"/>
      <c r="J716" s="1225"/>
      <c r="K716" s="1225"/>
      <c r="L716" s="1020"/>
      <c r="M716" s="1020"/>
      <c r="N716" s="1020"/>
      <c r="O716" s="1225"/>
      <c r="P716" s="1225"/>
      <c r="Q716" s="1225"/>
      <c r="R716" s="1225"/>
      <c r="S716" s="1006"/>
      <c r="T716" s="1225"/>
      <c r="U716" s="1006"/>
      <c r="V716" s="1006"/>
      <c r="W716" s="1006"/>
      <c r="X716" s="1023"/>
      <c r="Y716" s="1059"/>
      <c r="Z716" s="1006"/>
      <c r="AA716" s="1006"/>
      <c r="AB716" s="1006"/>
      <c r="AC716" s="1225"/>
      <c r="AD716" s="1225"/>
      <c r="AE716" s="1225"/>
      <c r="AF716" s="1240"/>
      <c r="AG716" s="1219"/>
      <c r="AH716" s="1219"/>
      <c r="AI716" s="1219"/>
      <c r="AJ716" s="1219"/>
      <c r="AK716" s="1219"/>
      <c r="AL716" s="1219"/>
      <c r="AM716" s="1219"/>
      <c r="AN716" s="1345"/>
      <c r="AO716" s="1345"/>
      <c r="AP716" s="1345"/>
      <c r="AQ716" s="1219"/>
      <c r="AR716" s="1219"/>
      <c r="AS716" s="1219"/>
      <c r="AT716" s="1219"/>
      <c r="AU716" s="1219"/>
      <c r="AV716" s="1219"/>
      <c r="AW716" s="1219"/>
      <c r="AX716" s="1345"/>
      <c r="AY716" s="1183"/>
    </row>
    <row r="717" spans="1:51" ht="28.9" customHeight="1" x14ac:dyDescent="0.25">
      <c r="A717" s="1189"/>
      <c r="B717" s="1018"/>
      <c r="C717" s="1048"/>
      <c r="D717" s="164" t="s">
        <v>348</v>
      </c>
      <c r="E717" s="1225"/>
      <c r="F717" s="1225"/>
      <c r="G717" s="1225"/>
      <c r="H717" s="1225"/>
      <c r="I717" s="1225"/>
      <c r="J717" s="1225"/>
      <c r="K717" s="1225"/>
      <c r="L717" s="1020"/>
      <c r="M717" s="1020"/>
      <c r="N717" s="1020"/>
      <c r="O717" s="1225"/>
      <c r="P717" s="1225"/>
      <c r="Q717" s="1225"/>
      <c r="R717" s="1225"/>
      <c r="S717" s="1006"/>
      <c r="T717" s="1225"/>
      <c r="U717" s="1006"/>
      <c r="V717" s="1006"/>
      <c r="W717" s="1006"/>
      <c r="X717" s="1023"/>
      <c r="Y717" s="1059"/>
      <c r="Z717" s="1006"/>
      <c r="AA717" s="1006"/>
      <c r="AB717" s="1006"/>
      <c r="AC717" s="1225"/>
      <c r="AD717" s="1225"/>
      <c r="AE717" s="1225"/>
      <c r="AF717" s="1240"/>
      <c r="AG717" s="1221"/>
      <c r="AH717" s="1221"/>
      <c r="AI717" s="1221"/>
      <c r="AJ717" s="1221"/>
      <c r="AK717" s="1221"/>
      <c r="AL717" s="1221"/>
      <c r="AM717" s="1221"/>
      <c r="AN717" s="1346"/>
      <c r="AO717" s="1346"/>
      <c r="AP717" s="1346"/>
      <c r="AQ717" s="1221"/>
      <c r="AR717" s="1221"/>
      <c r="AS717" s="1221"/>
      <c r="AT717" s="1221"/>
      <c r="AU717" s="1221"/>
      <c r="AV717" s="1221"/>
      <c r="AW717" s="1221"/>
      <c r="AX717" s="1346"/>
      <c r="AY717" s="1183"/>
    </row>
    <row r="718" spans="1:51" ht="19.149999999999999" customHeight="1" x14ac:dyDescent="0.25">
      <c r="A718" s="1189"/>
      <c r="B718" s="1018"/>
      <c r="C718" s="1217" t="s">
        <v>512</v>
      </c>
      <c r="D718" s="161" t="s">
        <v>340</v>
      </c>
      <c r="E718" s="1225"/>
      <c r="F718" s="1225"/>
      <c r="G718" s="1225"/>
      <c r="H718" s="1225"/>
      <c r="I718" s="1225"/>
      <c r="J718" s="1225"/>
      <c r="K718" s="1225"/>
      <c r="L718" s="1225"/>
      <c r="M718" s="1225"/>
      <c r="N718" s="1225"/>
      <c r="O718" s="1225"/>
      <c r="P718" s="1225"/>
      <c r="Q718" s="1225"/>
      <c r="R718" s="1225"/>
      <c r="S718" s="1225"/>
      <c r="T718" s="1225"/>
      <c r="U718" s="1225"/>
      <c r="V718" s="1225"/>
      <c r="W718" s="1225"/>
      <c r="X718" s="1023"/>
      <c r="Y718" s="1225"/>
      <c r="Z718" s="1023"/>
      <c r="AA718" s="1023"/>
      <c r="AB718" s="1225"/>
      <c r="AC718" s="1225"/>
      <c r="AD718" s="1225"/>
      <c r="AE718" s="1225"/>
      <c r="AF718" s="1240"/>
      <c r="AG718" s="1300" t="s">
        <v>456</v>
      </c>
      <c r="AH718" s="1299" t="s">
        <v>178</v>
      </c>
      <c r="AI718" s="1299" t="s">
        <v>178</v>
      </c>
      <c r="AJ718" s="1299" t="s">
        <v>178</v>
      </c>
      <c r="AK718" s="1300" t="s">
        <v>457</v>
      </c>
      <c r="AL718" s="1299"/>
      <c r="AM718" s="1299" t="s">
        <v>691</v>
      </c>
      <c r="AN718" s="1252">
        <v>8034649</v>
      </c>
      <c r="AO718" s="1252">
        <v>3847592</v>
      </c>
      <c r="AP718" s="1252">
        <v>418057</v>
      </c>
      <c r="AQ718" s="1302" t="s">
        <v>459</v>
      </c>
      <c r="AR718" s="1302" t="s">
        <v>459</v>
      </c>
      <c r="AS718" s="1302" t="s">
        <v>459</v>
      </c>
      <c r="AT718" s="1302" t="s">
        <v>459</v>
      </c>
      <c r="AU718" s="1302" t="s">
        <v>459</v>
      </c>
      <c r="AV718" s="1302" t="s">
        <v>459</v>
      </c>
      <c r="AW718" s="1302" t="s">
        <v>459</v>
      </c>
      <c r="AX718" s="1252">
        <v>8034649</v>
      </c>
      <c r="AY718" s="1183"/>
    </row>
    <row r="719" spans="1:51" ht="19.149999999999999" customHeight="1" x14ac:dyDescent="0.25">
      <c r="A719" s="1189"/>
      <c r="B719" s="1018"/>
      <c r="C719" s="1018"/>
      <c r="D719" s="164" t="s">
        <v>343</v>
      </c>
      <c r="E719" s="1225"/>
      <c r="F719" s="1225"/>
      <c r="G719" s="1225"/>
      <c r="H719" s="1225"/>
      <c r="I719" s="1225"/>
      <c r="J719" s="1225"/>
      <c r="K719" s="1225"/>
      <c r="L719" s="1225"/>
      <c r="M719" s="1225"/>
      <c r="N719" s="1225"/>
      <c r="O719" s="1225"/>
      <c r="P719" s="1225"/>
      <c r="Q719" s="1225"/>
      <c r="R719" s="1225"/>
      <c r="S719" s="1225"/>
      <c r="T719" s="1225"/>
      <c r="U719" s="1225"/>
      <c r="V719" s="1225"/>
      <c r="W719" s="1225"/>
      <c r="X719" s="1023"/>
      <c r="Y719" s="1225"/>
      <c r="Z719" s="1023"/>
      <c r="AA719" s="1023"/>
      <c r="AB719" s="1225"/>
      <c r="AC719" s="1225"/>
      <c r="AD719" s="1225"/>
      <c r="AE719" s="1225"/>
      <c r="AF719" s="1240"/>
      <c r="AG719" s="1219"/>
      <c r="AH719" s="1219"/>
      <c r="AI719" s="1219"/>
      <c r="AJ719" s="1219"/>
      <c r="AK719" s="1219"/>
      <c r="AL719" s="1219"/>
      <c r="AM719" s="1219"/>
      <c r="AN719" s="1345"/>
      <c r="AO719" s="1345"/>
      <c r="AP719" s="1345"/>
      <c r="AQ719" s="1219"/>
      <c r="AR719" s="1219"/>
      <c r="AS719" s="1219"/>
      <c r="AT719" s="1219"/>
      <c r="AU719" s="1219"/>
      <c r="AV719" s="1219"/>
      <c r="AW719" s="1219"/>
      <c r="AX719" s="1345"/>
      <c r="AY719" s="1183"/>
    </row>
    <row r="720" spans="1:51" ht="28.9" customHeight="1" x14ac:dyDescent="0.25">
      <c r="A720" s="1189"/>
      <c r="B720" s="1018"/>
      <c r="C720" s="1018"/>
      <c r="D720" s="165" t="s">
        <v>345</v>
      </c>
      <c r="E720" s="1225"/>
      <c r="F720" s="1225"/>
      <c r="G720" s="1225"/>
      <c r="H720" s="1225"/>
      <c r="I720" s="1225"/>
      <c r="J720" s="1225"/>
      <c r="K720" s="1225"/>
      <c r="L720" s="1225"/>
      <c r="M720" s="1225"/>
      <c r="N720" s="1225"/>
      <c r="O720" s="1225"/>
      <c r="P720" s="1225"/>
      <c r="Q720" s="1225"/>
      <c r="R720" s="1225"/>
      <c r="S720" s="1225"/>
      <c r="T720" s="1225"/>
      <c r="U720" s="1225"/>
      <c r="V720" s="1225"/>
      <c r="W720" s="1225"/>
      <c r="X720" s="1023"/>
      <c r="Y720" s="1225"/>
      <c r="Z720" s="1023"/>
      <c r="AA720" s="1023"/>
      <c r="AB720" s="1225"/>
      <c r="AC720" s="1225"/>
      <c r="AD720" s="1225"/>
      <c r="AE720" s="1225"/>
      <c r="AF720" s="1240"/>
      <c r="AG720" s="1219"/>
      <c r="AH720" s="1219"/>
      <c r="AI720" s="1219"/>
      <c r="AJ720" s="1219"/>
      <c r="AK720" s="1219"/>
      <c r="AL720" s="1219"/>
      <c r="AM720" s="1219"/>
      <c r="AN720" s="1345"/>
      <c r="AO720" s="1345"/>
      <c r="AP720" s="1345"/>
      <c r="AQ720" s="1219"/>
      <c r="AR720" s="1219"/>
      <c r="AS720" s="1219"/>
      <c r="AT720" s="1219"/>
      <c r="AU720" s="1219"/>
      <c r="AV720" s="1219"/>
      <c r="AW720" s="1219"/>
      <c r="AX720" s="1345"/>
      <c r="AY720" s="1183"/>
    </row>
    <row r="721" spans="1:51" ht="28.9" customHeight="1" x14ac:dyDescent="0.25">
      <c r="A721" s="1189"/>
      <c r="B721" s="1018"/>
      <c r="C721" s="1018"/>
      <c r="D721" s="164" t="s">
        <v>346</v>
      </c>
      <c r="E721" s="1225"/>
      <c r="F721" s="1225"/>
      <c r="G721" s="1225"/>
      <c r="H721" s="1225"/>
      <c r="I721" s="1225"/>
      <c r="J721" s="1225"/>
      <c r="K721" s="1225"/>
      <c r="L721" s="1225"/>
      <c r="M721" s="1225"/>
      <c r="N721" s="1225"/>
      <c r="O721" s="1225"/>
      <c r="P721" s="1225"/>
      <c r="Q721" s="1225"/>
      <c r="R721" s="1225"/>
      <c r="S721" s="1225"/>
      <c r="T721" s="1225"/>
      <c r="U721" s="1225"/>
      <c r="V721" s="1225"/>
      <c r="W721" s="1225"/>
      <c r="X721" s="1023"/>
      <c r="Y721" s="1225"/>
      <c r="Z721" s="1023"/>
      <c r="AA721" s="1023"/>
      <c r="AB721" s="1225"/>
      <c r="AC721" s="1225"/>
      <c r="AD721" s="1225"/>
      <c r="AE721" s="1225"/>
      <c r="AF721" s="1240"/>
      <c r="AG721" s="1219"/>
      <c r="AH721" s="1219"/>
      <c r="AI721" s="1219"/>
      <c r="AJ721" s="1219"/>
      <c r="AK721" s="1219"/>
      <c r="AL721" s="1219"/>
      <c r="AM721" s="1219"/>
      <c r="AN721" s="1345"/>
      <c r="AO721" s="1345"/>
      <c r="AP721" s="1345"/>
      <c r="AQ721" s="1219"/>
      <c r="AR721" s="1219"/>
      <c r="AS721" s="1219"/>
      <c r="AT721" s="1219"/>
      <c r="AU721" s="1219"/>
      <c r="AV721" s="1219"/>
      <c r="AW721" s="1219"/>
      <c r="AX721" s="1345"/>
      <c r="AY721" s="1183"/>
    </row>
    <row r="722" spans="1:51" ht="28.9" customHeight="1" x14ac:dyDescent="0.25">
      <c r="A722" s="1189"/>
      <c r="B722" s="1018"/>
      <c r="C722" s="1018"/>
      <c r="D722" s="165" t="s">
        <v>347</v>
      </c>
      <c r="E722" s="1225"/>
      <c r="F722" s="1225"/>
      <c r="G722" s="1225"/>
      <c r="H722" s="1225"/>
      <c r="I722" s="1225"/>
      <c r="J722" s="1225"/>
      <c r="K722" s="1225"/>
      <c r="L722" s="1225"/>
      <c r="M722" s="1225"/>
      <c r="N722" s="1225"/>
      <c r="O722" s="1225"/>
      <c r="P722" s="1225"/>
      <c r="Q722" s="1225"/>
      <c r="R722" s="1225"/>
      <c r="S722" s="1225"/>
      <c r="T722" s="1225"/>
      <c r="U722" s="1225"/>
      <c r="V722" s="1225"/>
      <c r="W722" s="1225"/>
      <c r="X722" s="1023"/>
      <c r="Y722" s="1225"/>
      <c r="Z722" s="1023"/>
      <c r="AA722" s="1023"/>
      <c r="AB722" s="1225"/>
      <c r="AC722" s="1225"/>
      <c r="AD722" s="1225"/>
      <c r="AE722" s="1225"/>
      <c r="AF722" s="1240"/>
      <c r="AG722" s="1219"/>
      <c r="AH722" s="1219"/>
      <c r="AI722" s="1219"/>
      <c r="AJ722" s="1219"/>
      <c r="AK722" s="1219"/>
      <c r="AL722" s="1219"/>
      <c r="AM722" s="1219"/>
      <c r="AN722" s="1345"/>
      <c r="AO722" s="1345"/>
      <c r="AP722" s="1345"/>
      <c r="AQ722" s="1219"/>
      <c r="AR722" s="1219"/>
      <c r="AS722" s="1219"/>
      <c r="AT722" s="1219"/>
      <c r="AU722" s="1219"/>
      <c r="AV722" s="1219"/>
      <c r="AW722" s="1219"/>
      <c r="AX722" s="1345"/>
      <c r="AY722" s="1183"/>
    </row>
    <row r="723" spans="1:51" ht="28.9" customHeight="1" thickBot="1" x14ac:dyDescent="0.3">
      <c r="A723" s="1190"/>
      <c r="B723" s="1376"/>
      <c r="C723" s="1048"/>
      <c r="D723" s="164" t="s">
        <v>348</v>
      </c>
      <c r="E723" s="1225"/>
      <c r="F723" s="1225"/>
      <c r="G723" s="1225"/>
      <c r="H723" s="1225"/>
      <c r="I723" s="1225"/>
      <c r="J723" s="1225"/>
      <c r="K723" s="1225"/>
      <c r="L723" s="1225"/>
      <c r="M723" s="1225"/>
      <c r="N723" s="1225"/>
      <c r="O723" s="1225"/>
      <c r="P723" s="1225"/>
      <c r="Q723" s="1225"/>
      <c r="R723" s="1225"/>
      <c r="S723" s="1225"/>
      <c r="T723" s="1225"/>
      <c r="U723" s="1225"/>
      <c r="V723" s="1225"/>
      <c r="W723" s="1225"/>
      <c r="X723" s="1023"/>
      <c r="Y723" s="1225"/>
      <c r="Z723" s="1023"/>
      <c r="AA723" s="1023"/>
      <c r="AB723" s="1225"/>
      <c r="AC723" s="1225"/>
      <c r="AD723" s="1225"/>
      <c r="AE723" s="1225"/>
      <c r="AF723" s="1241"/>
      <c r="AG723" s="1221"/>
      <c r="AH723" s="1221"/>
      <c r="AI723" s="1221"/>
      <c r="AJ723" s="1221"/>
      <c r="AK723" s="1221"/>
      <c r="AL723" s="1221"/>
      <c r="AM723" s="1221"/>
      <c r="AN723" s="1346"/>
      <c r="AO723" s="1346"/>
      <c r="AP723" s="1346"/>
      <c r="AQ723" s="1221"/>
      <c r="AR723" s="1221"/>
      <c r="AS723" s="1221"/>
      <c r="AT723" s="1221"/>
      <c r="AU723" s="1221"/>
      <c r="AV723" s="1221"/>
      <c r="AW723" s="1221"/>
      <c r="AX723" s="1346"/>
      <c r="AY723" s="1183"/>
    </row>
    <row r="724" spans="1:51" ht="19.149999999999999" customHeight="1" x14ac:dyDescent="0.25">
      <c r="A724" s="1216">
        <v>10</v>
      </c>
      <c r="B724" s="1374" t="s">
        <v>370</v>
      </c>
      <c r="C724" s="1217" t="s">
        <v>692</v>
      </c>
      <c r="D724" s="161" t="s">
        <v>340</v>
      </c>
      <c r="E724" s="1225">
        <f>+INVERSIÓN!DN73</f>
        <v>12.5</v>
      </c>
      <c r="F724" s="1225">
        <v>12.5</v>
      </c>
      <c r="G724" s="1225">
        <v>12.5</v>
      </c>
      <c r="H724" s="1225">
        <v>12.5</v>
      </c>
      <c r="I724" s="1225">
        <v>12.5</v>
      </c>
      <c r="J724" s="1225"/>
      <c r="K724" s="1225"/>
      <c r="L724" s="1225"/>
      <c r="M724" s="1225"/>
      <c r="N724" s="1225"/>
      <c r="O724" s="1225"/>
      <c r="P724" s="1225"/>
      <c r="Q724" s="1225"/>
      <c r="R724" s="1225"/>
      <c r="S724" s="1006"/>
      <c r="T724" s="1006">
        <v>2.08</v>
      </c>
      <c r="U724" s="1006">
        <v>4.16</v>
      </c>
      <c r="V724" s="1006">
        <v>6.25</v>
      </c>
      <c r="W724" s="1006"/>
      <c r="X724" s="1006"/>
      <c r="Y724" s="1006"/>
      <c r="Z724" s="1006"/>
      <c r="AA724" s="1006"/>
      <c r="AB724" s="1006"/>
      <c r="AC724" s="1225"/>
      <c r="AD724" s="1225"/>
      <c r="AE724" s="1225"/>
      <c r="AF724" s="1366" t="s">
        <v>1458</v>
      </c>
      <c r="AG724" s="1300" t="s">
        <v>456</v>
      </c>
      <c r="AH724" s="1299" t="s">
        <v>178</v>
      </c>
      <c r="AI724" s="1299" t="s">
        <v>178</v>
      </c>
      <c r="AJ724" s="1299" t="s">
        <v>178</v>
      </c>
      <c r="AK724" s="1300" t="s">
        <v>457</v>
      </c>
      <c r="AL724" s="1299"/>
      <c r="AM724" s="1299" t="s">
        <v>691</v>
      </c>
      <c r="AN724" s="1252">
        <v>8034649</v>
      </c>
      <c r="AO724" s="1252">
        <v>3847592</v>
      </c>
      <c r="AP724" s="1252">
        <v>418057</v>
      </c>
      <c r="AQ724" s="1302" t="s">
        <v>459</v>
      </c>
      <c r="AR724" s="1302" t="s">
        <v>459</v>
      </c>
      <c r="AS724" s="1302" t="s">
        <v>459</v>
      </c>
      <c r="AT724" s="1302" t="s">
        <v>459</v>
      </c>
      <c r="AU724" s="1302" t="s">
        <v>459</v>
      </c>
      <c r="AV724" s="1302" t="s">
        <v>459</v>
      </c>
      <c r="AW724" s="1302" t="s">
        <v>459</v>
      </c>
      <c r="AX724" s="1252">
        <v>8034649</v>
      </c>
      <c r="AY724" s="1183"/>
    </row>
    <row r="725" spans="1:51" ht="19.149999999999999" customHeight="1" x14ac:dyDescent="0.25">
      <c r="A725" s="1189"/>
      <c r="B725" s="1018"/>
      <c r="C725" s="1018"/>
      <c r="D725" s="164" t="s">
        <v>343</v>
      </c>
      <c r="E725" s="1225">
        <f>+INVERSIÓN!DN74</f>
        <v>877208000</v>
      </c>
      <c r="F725" s="1225">
        <v>877208000</v>
      </c>
      <c r="G725" s="1225">
        <v>877208000</v>
      </c>
      <c r="H725" s="1225">
        <v>877208000</v>
      </c>
      <c r="I725" s="1225">
        <v>877208000</v>
      </c>
      <c r="J725" s="1225"/>
      <c r="K725" s="1225"/>
      <c r="L725" s="1225"/>
      <c r="M725" s="1225"/>
      <c r="N725" s="1225"/>
      <c r="O725" s="1225"/>
      <c r="P725" s="1225"/>
      <c r="Q725" s="1225"/>
      <c r="R725" s="1055"/>
      <c r="S725" s="1006"/>
      <c r="T725" s="1006">
        <v>43935000</v>
      </c>
      <c r="U725" s="1006">
        <v>123054760</v>
      </c>
      <c r="V725" s="1006">
        <v>356519640</v>
      </c>
      <c r="W725" s="1006"/>
      <c r="X725" s="1059"/>
      <c r="Y725" s="1006"/>
      <c r="Z725" s="1006"/>
      <c r="AA725" s="1006"/>
      <c r="AB725" s="1006"/>
      <c r="AC725" s="1225"/>
      <c r="AD725" s="1225"/>
      <c r="AE725" s="1225"/>
      <c r="AF725" s="1073"/>
      <c r="AG725" s="1219"/>
      <c r="AH725" s="1219"/>
      <c r="AI725" s="1219"/>
      <c r="AJ725" s="1219"/>
      <c r="AK725" s="1219"/>
      <c r="AL725" s="1219"/>
      <c r="AM725" s="1219"/>
      <c r="AN725" s="1345"/>
      <c r="AO725" s="1345"/>
      <c r="AP725" s="1345"/>
      <c r="AQ725" s="1219"/>
      <c r="AR725" s="1219"/>
      <c r="AS725" s="1219"/>
      <c r="AT725" s="1219"/>
      <c r="AU725" s="1219"/>
      <c r="AV725" s="1219"/>
      <c r="AW725" s="1219"/>
      <c r="AX725" s="1345"/>
      <c r="AY725" s="1183"/>
    </row>
    <row r="726" spans="1:51" ht="28.9" customHeight="1" x14ac:dyDescent="0.25">
      <c r="A726" s="1189"/>
      <c r="B726" s="1018"/>
      <c r="C726" s="1018"/>
      <c r="D726" s="165" t="s">
        <v>345</v>
      </c>
      <c r="E726" s="1225">
        <f>+INVERSIÓN!DN76</f>
        <v>0</v>
      </c>
      <c r="F726" s="1225">
        <v>0</v>
      </c>
      <c r="G726" s="1225">
        <v>0</v>
      </c>
      <c r="H726" s="1225">
        <v>0</v>
      </c>
      <c r="I726" s="1225">
        <v>0</v>
      </c>
      <c r="J726" s="1225"/>
      <c r="K726" s="1225"/>
      <c r="L726" s="1225"/>
      <c r="M726" s="1225"/>
      <c r="N726" s="1225"/>
      <c r="O726" s="1225"/>
      <c r="P726" s="1225"/>
      <c r="Q726" s="1225"/>
      <c r="R726" s="1225"/>
      <c r="S726" s="1006"/>
      <c r="T726" s="1006">
        <v>0</v>
      </c>
      <c r="U726" s="1006">
        <v>0</v>
      </c>
      <c r="V726" s="1006">
        <v>0</v>
      </c>
      <c r="W726" s="1006"/>
      <c r="X726" s="1059"/>
      <c r="Y726" s="1059"/>
      <c r="Z726" s="1006"/>
      <c r="AA726" s="1006"/>
      <c r="AB726" s="1006"/>
      <c r="AC726" s="1225"/>
      <c r="AD726" s="1225"/>
      <c r="AE726" s="1225"/>
      <c r="AF726" s="1073"/>
      <c r="AG726" s="1219"/>
      <c r="AH726" s="1219"/>
      <c r="AI726" s="1219"/>
      <c r="AJ726" s="1219"/>
      <c r="AK726" s="1219"/>
      <c r="AL726" s="1219"/>
      <c r="AM726" s="1219"/>
      <c r="AN726" s="1345"/>
      <c r="AO726" s="1345"/>
      <c r="AP726" s="1345"/>
      <c r="AQ726" s="1219"/>
      <c r="AR726" s="1219"/>
      <c r="AS726" s="1219"/>
      <c r="AT726" s="1219"/>
      <c r="AU726" s="1219"/>
      <c r="AV726" s="1219"/>
      <c r="AW726" s="1219"/>
      <c r="AX726" s="1345"/>
      <c r="AY726" s="1183"/>
    </row>
    <row r="727" spans="1:51" ht="28.9" customHeight="1" x14ac:dyDescent="0.25">
      <c r="A727" s="1189"/>
      <c r="B727" s="1018"/>
      <c r="C727" s="1018"/>
      <c r="D727" s="164" t="s">
        <v>346</v>
      </c>
      <c r="E727" s="1225">
        <f>+INVERSIÓN!DN77</f>
        <v>82647202</v>
      </c>
      <c r="F727" s="1225">
        <v>82647202</v>
      </c>
      <c r="G727" s="1225">
        <v>82647202</v>
      </c>
      <c r="H727" s="1225">
        <v>82647202</v>
      </c>
      <c r="I727" s="1225">
        <v>82647202</v>
      </c>
      <c r="J727" s="1225"/>
      <c r="K727" s="1225"/>
      <c r="L727" s="1225"/>
      <c r="M727" s="1225"/>
      <c r="N727" s="1225"/>
      <c r="O727" s="1225"/>
      <c r="P727" s="1006"/>
      <c r="Q727" s="1006"/>
      <c r="R727" s="1367"/>
      <c r="S727" s="1006"/>
      <c r="T727" s="1006">
        <v>32727321</v>
      </c>
      <c r="U727" s="1006">
        <v>70273264</v>
      </c>
      <c r="V727" s="1006">
        <v>77954845</v>
      </c>
      <c r="W727" s="1006"/>
      <c r="X727" s="1225"/>
      <c r="Y727" s="1059"/>
      <c r="Z727" s="1006"/>
      <c r="AA727" s="1006"/>
      <c r="AB727" s="1006"/>
      <c r="AC727" s="1006"/>
      <c r="AD727" s="1006"/>
      <c r="AE727" s="1225"/>
      <c r="AF727" s="1073"/>
      <c r="AG727" s="1219"/>
      <c r="AH727" s="1219"/>
      <c r="AI727" s="1219"/>
      <c r="AJ727" s="1219"/>
      <c r="AK727" s="1219"/>
      <c r="AL727" s="1219"/>
      <c r="AM727" s="1219"/>
      <c r="AN727" s="1345"/>
      <c r="AO727" s="1345"/>
      <c r="AP727" s="1345"/>
      <c r="AQ727" s="1219"/>
      <c r="AR727" s="1219"/>
      <c r="AS727" s="1219"/>
      <c r="AT727" s="1219"/>
      <c r="AU727" s="1219"/>
      <c r="AV727" s="1219"/>
      <c r="AW727" s="1219"/>
      <c r="AX727" s="1345"/>
      <c r="AY727" s="1183"/>
    </row>
    <row r="728" spans="1:51" ht="28.9" customHeight="1" x14ac:dyDescent="0.25">
      <c r="A728" s="1189"/>
      <c r="B728" s="1018"/>
      <c r="C728" s="1018"/>
      <c r="D728" s="165" t="s">
        <v>347</v>
      </c>
      <c r="E728" s="1225">
        <f>+INVERSIÓN!DN78</f>
        <v>12.5</v>
      </c>
      <c r="F728" s="1225">
        <v>12.5</v>
      </c>
      <c r="G728" s="1225">
        <v>12.5</v>
      </c>
      <c r="H728" s="1225">
        <v>12.5</v>
      </c>
      <c r="I728" s="1225">
        <v>12.5</v>
      </c>
      <c r="J728" s="1225"/>
      <c r="K728" s="1225"/>
      <c r="L728" s="1225"/>
      <c r="M728" s="1225"/>
      <c r="N728" s="1225"/>
      <c r="O728" s="1225"/>
      <c r="P728" s="1225"/>
      <c r="Q728" s="1225"/>
      <c r="R728" s="1225"/>
      <c r="S728" s="1006"/>
      <c r="T728" s="1006">
        <v>2.8</v>
      </c>
      <c r="U728" s="1006">
        <v>4.16</v>
      </c>
      <c r="V728" s="1006">
        <v>6.25</v>
      </c>
      <c r="W728" s="1006"/>
      <c r="X728" s="1225"/>
      <c r="Y728" s="1225"/>
      <c r="Z728" s="1006"/>
      <c r="AA728" s="1006"/>
      <c r="AB728" s="1006"/>
      <c r="AC728" s="1225"/>
      <c r="AD728" s="1225"/>
      <c r="AE728" s="1225"/>
      <c r="AF728" s="1073"/>
      <c r="AG728" s="1219"/>
      <c r="AH728" s="1219"/>
      <c r="AI728" s="1219"/>
      <c r="AJ728" s="1219"/>
      <c r="AK728" s="1219"/>
      <c r="AL728" s="1219"/>
      <c r="AM728" s="1219"/>
      <c r="AN728" s="1345"/>
      <c r="AO728" s="1345"/>
      <c r="AP728" s="1345"/>
      <c r="AQ728" s="1219"/>
      <c r="AR728" s="1219"/>
      <c r="AS728" s="1219"/>
      <c r="AT728" s="1219"/>
      <c r="AU728" s="1219"/>
      <c r="AV728" s="1219"/>
      <c r="AW728" s="1219"/>
      <c r="AX728" s="1345"/>
      <c r="AY728" s="1183"/>
    </row>
    <row r="729" spans="1:51" ht="28.9" customHeight="1" x14ac:dyDescent="0.25">
      <c r="A729" s="1189"/>
      <c r="B729" s="1018"/>
      <c r="C729" s="1048"/>
      <c r="D729" s="164" t="s">
        <v>348</v>
      </c>
      <c r="E729" s="1225">
        <f>+INVERSIÓN!DN79</f>
        <v>959855202</v>
      </c>
      <c r="F729" s="1059">
        <v>959855202</v>
      </c>
      <c r="G729" s="1059">
        <v>959855202</v>
      </c>
      <c r="H729" s="1225">
        <v>959855202</v>
      </c>
      <c r="I729" s="1225">
        <v>959855202</v>
      </c>
      <c r="J729" s="1225"/>
      <c r="K729" s="1225"/>
      <c r="L729" s="1225"/>
      <c r="M729" s="1225"/>
      <c r="N729" s="1225"/>
      <c r="O729" s="1225"/>
      <c r="P729" s="1225"/>
      <c r="Q729" s="1225"/>
      <c r="R729" s="1225"/>
      <c r="S729" s="1006"/>
      <c r="T729" s="1006">
        <v>76662321</v>
      </c>
      <c r="U729" s="1006">
        <v>193328024</v>
      </c>
      <c r="V729" s="1006">
        <f>+V725+V727</f>
        <v>434474485</v>
      </c>
      <c r="W729" s="1006"/>
      <c r="X729" s="1006"/>
      <c r="Y729" s="1006"/>
      <c r="Z729" s="1006"/>
      <c r="AA729" s="1006"/>
      <c r="AB729" s="1006"/>
      <c r="AC729" s="1006"/>
      <c r="AD729" s="1006"/>
      <c r="AE729" s="1006"/>
      <c r="AF729" s="1073"/>
      <c r="AG729" s="1221"/>
      <c r="AH729" s="1221"/>
      <c r="AI729" s="1221"/>
      <c r="AJ729" s="1221"/>
      <c r="AK729" s="1221"/>
      <c r="AL729" s="1221"/>
      <c r="AM729" s="1221"/>
      <c r="AN729" s="1346"/>
      <c r="AO729" s="1346"/>
      <c r="AP729" s="1346"/>
      <c r="AQ729" s="1221"/>
      <c r="AR729" s="1221"/>
      <c r="AS729" s="1221"/>
      <c r="AT729" s="1221"/>
      <c r="AU729" s="1221"/>
      <c r="AV729" s="1221"/>
      <c r="AW729" s="1221"/>
      <c r="AX729" s="1346"/>
      <c r="AY729" s="1183"/>
    </row>
    <row r="730" spans="1:51" ht="19.149999999999999" customHeight="1" x14ac:dyDescent="0.25">
      <c r="A730" s="1189"/>
      <c r="B730" s="1018"/>
      <c r="C730" s="1217" t="s">
        <v>512</v>
      </c>
      <c r="D730" s="161" t="s">
        <v>340</v>
      </c>
      <c r="E730" s="1225">
        <f t="shared" ref="E730:L730" si="165">+E724</f>
        <v>12.5</v>
      </c>
      <c r="F730" s="1225">
        <f t="shared" si="165"/>
        <v>12.5</v>
      </c>
      <c r="G730" s="1225">
        <f t="shared" si="165"/>
        <v>12.5</v>
      </c>
      <c r="H730" s="1225">
        <f t="shared" si="165"/>
        <v>12.5</v>
      </c>
      <c r="I730" s="1225">
        <f t="shared" ref="I730" si="166">+I724</f>
        <v>12.5</v>
      </c>
      <c r="J730" s="1225"/>
      <c r="K730" s="1225"/>
      <c r="L730" s="1225"/>
      <c r="M730" s="1225"/>
      <c r="N730" s="1225"/>
      <c r="O730" s="1225"/>
      <c r="P730" s="1225"/>
      <c r="Q730" s="1225"/>
      <c r="R730" s="1225"/>
      <c r="S730" s="1225"/>
      <c r="T730" s="1225">
        <f t="shared" ref="T730:V735" si="167">+T724</f>
        <v>2.08</v>
      </c>
      <c r="U730" s="1225">
        <f>+U724</f>
        <v>4.16</v>
      </c>
      <c r="V730" s="1225">
        <f>+V724</f>
        <v>6.25</v>
      </c>
      <c r="W730" s="1225"/>
      <c r="X730" s="1225">
        <v>14.2</v>
      </c>
      <c r="Y730" s="1225">
        <v>17.2</v>
      </c>
      <c r="Z730" s="1225">
        <f t="shared" ref="Z730:AE730" si="168">+Z724</f>
        <v>0</v>
      </c>
      <c r="AA730" s="1006">
        <f t="shared" si="168"/>
        <v>0</v>
      </c>
      <c r="AB730" s="1006">
        <f t="shared" si="168"/>
        <v>0</v>
      </c>
      <c r="AC730" s="1006">
        <f t="shared" si="168"/>
        <v>0</v>
      </c>
      <c r="AD730" s="1006">
        <f t="shared" si="168"/>
        <v>0</v>
      </c>
      <c r="AE730" s="1006">
        <f t="shared" si="168"/>
        <v>0</v>
      </c>
      <c r="AF730" s="1073"/>
      <c r="AG730" s="1300" t="s">
        <v>456</v>
      </c>
      <c r="AH730" s="1299" t="s">
        <v>178</v>
      </c>
      <c r="AI730" s="1299" t="s">
        <v>178</v>
      </c>
      <c r="AJ730" s="1299" t="s">
        <v>178</v>
      </c>
      <c r="AK730" s="1300" t="s">
        <v>457</v>
      </c>
      <c r="AL730" s="1299"/>
      <c r="AM730" s="1299" t="s">
        <v>691</v>
      </c>
      <c r="AN730" s="1252">
        <v>8034649</v>
      </c>
      <c r="AO730" s="1252">
        <v>3847592</v>
      </c>
      <c r="AP730" s="1252">
        <v>418057</v>
      </c>
      <c r="AQ730" s="1302" t="s">
        <v>459</v>
      </c>
      <c r="AR730" s="1302" t="s">
        <v>459</v>
      </c>
      <c r="AS730" s="1302" t="s">
        <v>459</v>
      </c>
      <c r="AT730" s="1302" t="s">
        <v>459</v>
      </c>
      <c r="AU730" s="1302" t="s">
        <v>459</v>
      </c>
      <c r="AV730" s="1302" t="s">
        <v>459</v>
      </c>
      <c r="AW730" s="1302" t="s">
        <v>459</v>
      </c>
      <c r="AX730" s="1252">
        <v>8034649</v>
      </c>
      <c r="AY730" s="1183"/>
    </row>
    <row r="731" spans="1:51" ht="19.149999999999999" customHeight="1" x14ac:dyDescent="0.25">
      <c r="A731" s="1189"/>
      <c r="B731" s="1018"/>
      <c r="C731" s="1018"/>
      <c r="D731" s="164" t="s">
        <v>343</v>
      </c>
      <c r="E731" s="1225">
        <f t="shared" ref="E731:L731" si="169">+E725</f>
        <v>877208000</v>
      </c>
      <c r="F731" s="1225">
        <f t="shared" si="169"/>
        <v>877208000</v>
      </c>
      <c r="G731" s="1225">
        <f t="shared" si="169"/>
        <v>877208000</v>
      </c>
      <c r="H731" s="1225">
        <f t="shared" si="169"/>
        <v>877208000</v>
      </c>
      <c r="I731" s="1225">
        <f t="shared" ref="I731" si="170">+I725</f>
        <v>877208000</v>
      </c>
      <c r="J731" s="1225"/>
      <c r="K731" s="1225"/>
      <c r="L731" s="1225"/>
      <c r="M731" s="1225"/>
      <c r="N731" s="1225"/>
      <c r="O731" s="1225"/>
      <c r="P731" s="1225"/>
      <c r="Q731" s="1225"/>
      <c r="R731" s="1225"/>
      <c r="S731" s="1225"/>
      <c r="T731" s="1225">
        <f t="shared" si="167"/>
        <v>43935000</v>
      </c>
      <c r="U731" s="1225">
        <f t="shared" si="167"/>
        <v>123054760</v>
      </c>
      <c r="V731" s="1225">
        <f t="shared" si="167"/>
        <v>356519640</v>
      </c>
      <c r="W731" s="1225"/>
      <c r="X731" s="1225">
        <v>650548746</v>
      </c>
      <c r="Y731" s="1225">
        <v>651865212</v>
      </c>
      <c r="Z731" s="1225">
        <f t="shared" ref="Z731:AE731" si="171">+Z725</f>
        <v>0</v>
      </c>
      <c r="AA731" s="1006">
        <f t="shared" si="171"/>
        <v>0</v>
      </c>
      <c r="AB731" s="1006">
        <f t="shared" si="171"/>
        <v>0</v>
      </c>
      <c r="AC731" s="1006">
        <f t="shared" si="171"/>
        <v>0</v>
      </c>
      <c r="AD731" s="1006">
        <f t="shared" si="171"/>
        <v>0</v>
      </c>
      <c r="AE731" s="1006">
        <f t="shared" si="171"/>
        <v>0</v>
      </c>
      <c r="AF731" s="1073"/>
      <c r="AG731" s="1219"/>
      <c r="AH731" s="1219"/>
      <c r="AI731" s="1219"/>
      <c r="AJ731" s="1219"/>
      <c r="AK731" s="1219"/>
      <c r="AL731" s="1219"/>
      <c r="AM731" s="1219"/>
      <c r="AN731" s="1345"/>
      <c r="AO731" s="1345"/>
      <c r="AP731" s="1345"/>
      <c r="AQ731" s="1219"/>
      <c r="AR731" s="1219"/>
      <c r="AS731" s="1219"/>
      <c r="AT731" s="1219"/>
      <c r="AU731" s="1219"/>
      <c r="AV731" s="1219"/>
      <c r="AW731" s="1219"/>
      <c r="AX731" s="1345"/>
      <c r="AY731" s="1183"/>
    </row>
    <row r="732" spans="1:51" ht="28.9" customHeight="1" x14ac:dyDescent="0.25">
      <c r="A732" s="1189"/>
      <c r="B732" s="1018"/>
      <c r="C732" s="1018"/>
      <c r="D732" s="165" t="s">
        <v>345</v>
      </c>
      <c r="E732" s="1225">
        <f t="shared" ref="E732:L732" si="172">+E726</f>
        <v>0</v>
      </c>
      <c r="F732" s="1225">
        <f t="shared" si="172"/>
        <v>0</v>
      </c>
      <c r="G732" s="1225">
        <f t="shared" si="172"/>
        <v>0</v>
      </c>
      <c r="H732" s="1225">
        <f t="shared" si="172"/>
        <v>0</v>
      </c>
      <c r="I732" s="1225">
        <f t="shared" ref="I732" si="173">+I726</f>
        <v>0</v>
      </c>
      <c r="J732" s="1225"/>
      <c r="K732" s="1225"/>
      <c r="L732" s="1225"/>
      <c r="M732" s="1225"/>
      <c r="N732" s="1225"/>
      <c r="O732" s="1225"/>
      <c r="P732" s="1225"/>
      <c r="Q732" s="1225"/>
      <c r="R732" s="1225"/>
      <c r="S732" s="1225"/>
      <c r="T732" s="1225">
        <f t="shared" si="167"/>
        <v>0</v>
      </c>
      <c r="U732" s="1225">
        <f t="shared" si="167"/>
        <v>0</v>
      </c>
      <c r="V732" s="1225">
        <f t="shared" si="167"/>
        <v>0</v>
      </c>
      <c r="W732" s="1225"/>
      <c r="X732" s="1225">
        <v>0</v>
      </c>
      <c r="Y732" s="1225">
        <v>0</v>
      </c>
      <c r="Z732" s="1225">
        <f t="shared" ref="Z732:AE732" si="174">+Z726</f>
        <v>0</v>
      </c>
      <c r="AA732" s="1006">
        <f t="shared" si="174"/>
        <v>0</v>
      </c>
      <c r="AB732" s="1006">
        <f t="shared" si="174"/>
        <v>0</v>
      </c>
      <c r="AC732" s="1006">
        <f t="shared" si="174"/>
        <v>0</v>
      </c>
      <c r="AD732" s="1006">
        <f t="shared" si="174"/>
        <v>0</v>
      </c>
      <c r="AE732" s="1006">
        <f t="shared" si="174"/>
        <v>0</v>
      </c>
      <c r="AF732" s="1073"/>
      <c r="AG732" s="1219"/>
      <c r="AH732" s="1219"/>
      <c r="AI732" s="1219"/>
      <c r="AJ732" s="1219"/>
      <c r="AK732" s="1219"/>
      <c r="AL732" s="1219"/>
      <c r="AM732" s="1219"/>
      <c r="AN732" s="1345"/>
      <c r="AO732" s="1345"/>
      <c r="AP732" s="1345"/>
      <c r="AQ732" s="1219"/>
      <c r="AR732" s="1219"/>
      <c r="AS732" s="1219"/>
      <c r="AT732" s="1219"/>
      <c r="AU732" s="1219"/>
      <c r="AV732" s="1219"/>
      <c r="AW732" s="1219"/>
      <c r="AX732" s="1345"/>
      <c r="AY732" s="1183"/>
    </row>
    <row r="733" spans="1:51" ht="28.9" customHeight="1" x14ac:dyDescent="0.25">
      <c r="A733" s="1189"/>
      <c r="B733" s="1018"/>
      <c r="C733" s="1018"/>
      <c r="D733" s="164" t="s">
        <v>346</v>
      </c>
      <c r="E733" s="1225">
        <f t="shared" ref="E733:L733" si="175">+E727</f>
        <v>82647202</v>
      </c>
      <c r="F733" s="1225">
        <f t="shared" si="175"/>
        <v>82647202</v>
      </c>
      <c r="G733" s="1225">
        <f t="shared" si="175"/>
        <v>82647202</v>
      </c>
      <c r="H733" s="1225">
        <f t="shared" si="175"/>
        <v>82647202</v>
      </c>
      <c r="I733" s="1225">
        <f t="shared" ref="I733" si="176">+I727</f>
        <v>82647202</v>
      </c>
      <c r="J733" s="1225"/>
      <c r="K733" s="1225"/>
      <c r="L733" s="1225"/>
      <c r="M733" s="1225"/>
      <c r="N733" s="1225"/>
      <c r="O733" s="1225"/>
      <c r="P733" s="1225"/>
      <c r="Q733" s="1225"/>
      <c r="R733" s="1225"/>
      <c r="S733" s="1225"/>
      <c r="T733" s="1225">
        <f t="shared" si="167"/>
        <v>32727321</v>
      </c>
      <c r="U733" s="1225">
        <f t="shared" si="167"/>
        <v>70273264</v>
      </c>
      <c r="V733" s="1225">
        <f t="shared" si="167"/>
        <v>77954845</v>
      </c>
      <c r="W733" s="1225"/>
      <c r="X733" s="1225">
        <v>200462840.24000001</v>
      </c>
      <c r="Y733" s="1225">
        <v>259794577.24000001</v>
      </c>
      <c r="Z733" s="1225">
        <f t="shared" ref="Z733:AE733" si="177">+Z727</f>
        <v>0</v>
      </c>
      <c r="AA733" s="1006">
        <f t="shared" si="177"/>
        <v>0</v>
      </c>
      <c r="AB733" s="1006">
        <f t="shared" si="177"/>
        <v>0</v>
      </c>
      <c r="AC733" s="1006">
        <f t="shared" si="177"/>
        <v>0</v>
      </c>
      <c r="AD733" s="1006">
        <f t="shared" si="177"/>
        <v>0</v>
      </c>
      <c r="AE733" s="1006">
        <f t="shared" si="177"/>
        <v>0</v>
      </c>
      <c r="AF733" s="1073"/>
      <c r="AG733" s="1219"/>
      <c r="AH733" s="1219"/>
      <c r="AI733" s="1219"/>
      <c r="AJ733" s="1219"/>
      <c r="AK733" s="1219"/>
      <c r="AL733" s="1219"/>
      <c r="AM733" s="1219"/>
      <c r="AN733" s="1345"/>
      <c r="AO733" s="1345"/>
      <c r="AP733" s="1345"/>
      <c r="AQ733" s="1219"/>
      <c r="AR733" s="1219"/>
      <c r="AS733" s="1219"/>
      <c r="AT733" s="1219"/>
      <c r="AU733" s="1219"/>
      <c r="AV733" s="1219"/>
      <c r="AW733" s="1219"/>
      <c r="AX733" s="1345"/>
      <c r="AY733" s="1183"/>
    </row>
    <row r="734" spans="1:51" ht="28.9" customHeight="1" x14ac:dyDescent="0.25">
      <c r="A734" s="1189"/>
      <c r="B734" s="1018"/>
      <c r="C734" s="1018"/>
      <c r="D734" s="165" t="s">
        <v>347</v>
      </c>
      <c r="E734" s="1225">
        <f t="shared" ref="E734:L734" si="178">+E728</f>
        <v>12.5</v>
      </c>
      <c r="F734" s="1225">
        <f t="shared" si="178"/>
        <v>12.5</v>
      </c>
      <c r="G734" s="1225">
        <f t="shared" si="178"/>
        <v>12.5</v>
      </c>
      <c r="H734" s="1225">
        <f t="shared" si="178"/>
        <v>12.5</v>
      </c>
      <c r="I734" s="1225">
        <f t="shared" ref="I734" si="179">+I728</f>
        <v>12.5</v>
      </c>
      <c r="J734" s="1225"/>
      <c r="K734" s="1225"/>
      <c r="L734" s="1225"/>
      <c r="M734" s="1225"/>
      <c r="N734" s="1225"/>
      <c r="O734" s="1225"/>
      <c r="P734" s="1225"/>
      <c r="Q734" s="1225"/>
      <c r="R734" s="1225"/>
      <c r="S734" s="1225"/>
      <c r="T734" s="1225">
        <f t="shared" si="167"/>
        <v>2.8</v>
      </c>
      <c r="U734" s="1225">
        <f t="shared" si="167"/>
        <v>4.16</v>
      </c>
      <c r="V734" s="1225">
        <f t="shared" si="167"/>
        <v>6.25</v>
      </c>
      <c r="W734" s="1225"/>
      <c r="X734" s="1225">
        <v>14.2</v>
      </c>
      <c r="Y734" s="1225">
        <v>17.2</v>
      </c>
      <c r="Z734" s="1225">
        <f t="shared" ref="Z734:AE734" si="180">+Z728</f>
        <v>0</v>
      </c>
      <c r="AA734" s="1006">
        <f t="shared" si="180"/>
        <v>0</v>
      </c>
      <c r="AB734" s="1006">
        <f t="shared" si="180"/>
        <v>0</v>
      </c>
      <c r="AC734" s="1006">
        <f t="shared" si="180"/>
        <v>0</v>
      </c>
      <c r="AD734" s="1006">
        <f t="shared" si="180"/>
        <v>0</v>
      </c>
      <c r="AE734" s="1006">
        <f t="shared" si="180"/>
        <v>0</v>
      </c>
      <c r="AF734" s="1073"/>
      <c r="AG734" s="1219"/>
      <c r="AH734" s="1219"/>
      <c r="AI734" s="1219"/>
      <c r="AJ734" s="1219"/>
      <c r="AK734" s="1219"/>
      <c r="AL734" s="1219"/>
      <c r="AM734" s="1219"/>
      <c r="AN734" s="1345"/>
      <c r="AO734" s="1345"/>
      <c r="AP734" s="1345"/>
      <c r="AQ734" s="1219"/>
      <c r="AR734" s="1219"/>
      <c r="AS734" s="1219"/>
      <c r="AT734" s="1219"/>
      <c r="AU734" s="1219"/>
      <c r="AV734" s="1219"/>
      <c r="AW734" s="1219"/>
      <c r="AX734" s="1345"/>
      <c r="AY734" s="1183"/>
    </row>
    <row r="735" spans="1:51" ht="28.9" customHeight="1" thickBot="1" x14ac:dyDescent="0.3">
      <c r="A735" s="1190"/>
      <c r="B735" s="1048"/>
      <c r="C735" s="1048"/>
      <c r="D735" s="164" t="s">
        <v>348</v>
      </c>
      <c r="E735" s="1225">
        <f t="shared" ref="E735:L735" si="181">+E729</f>
        <v>959855202</v>
      </c>
      <c r="F735" s="1225">
        <f t="shared" si="181"/>
        <v>959855202</v>
      </c>
      <c r="G735" s="1225">
        <f t="shared" si="181"/>
        <v>959855202</v>
      </c>
      <c r="H735" s="1225">
        <f t="shared" si="181"/>
        <v>959855202</v>
      </c>
      <c r="I735" s="1225">
        <f t="shared" ref="I735" si="182">+I729</f>
        <v>959855202</v>
      </c>
      <c r="J735" s="1225"/>
      <c r="K735" s="1225"/>
      <c r="L735" s="1225"/>
      <c r="M735" s="1225"/>
      <c r="N735" s="1225"/>
      <c r="O735" s="1225"/>
      <c r="P735" s="1225"/>
      <c r="Q735" s="1225"/>
      <c r="R735" s="1225"/>
      <c r="S735" s="1225"/>
      <c r="T735" s="1225">
        <f t="shared" si="167"/>
        <v>76662321</v>
      </c>
      <c r="U735" s="1225">
        <f t="shared" si="167"/>
        <v>193328024</v>
      </c>
      <c r="V735" s="1225">
        <f t="shared" si="167"/>
        <v>434474485</v>
      </c>
      <c r="W735" s="1225"/>
      <c r="X735" s="1225">
        <v>851011586.24000001</v>
      </c>
      <c r="Y735" s="1225">
        <v>911659789.24000001</v>
      </c>
      <c r="Z735" s="1225">
        <f t="shared" ref="Z735:AE735" si="183">+Z729</f>
        <v>0</v>
      </c>
      <c r="AA735" s="1006">
        <f t="shared" si="183"/>
        <v>0</v>
      </c>
      <c r="AB735" s="1006">
        <f t="shared" si="183"/>
        <v>0</v>
      </c>
      <c r="AC735" s="1006">
        <f t="shared" si="183"/>
        <v>0</v>
      </c>
      <c r="AD735" s="1006">
        <f t="shared" si="183"/>
        <v>0</v>
      </c>
      <c r="AE735" s="1006">
        <f t="shared" si="183"/>
        <v>0</v>
      </c>
      <c r="AF735" s="1076"/>
      <c r="AG735" s="1221"/>
      <c r="AH735" s="1221"/>
      <c r="AI735" s="1221"/>
      <c r="AJ735" s="1221"/>
      <c r="AK735" s="1221"/>
      <c r="AL735" s="1221"/>
      <c r="AM735" s="1221"/>
      <c r="AN735" s="1346"/>
      <c r="AO735" s="1346"/>
      <c r="AP735" s="1346"/>
      <c r="AQ735" s="1221"/>
      <c r="AR735" s="1221"/>
      <c r="AS735" s="1221"/>
      <c r="AT735" s="1221"/>
      <c r="AU735" s="1221"/>
      <c r="AV735" s="1221"/>
      <c r="AW735" s="1221"/>
      <c r="AX735" s="1346"/>
      <c r="AY735" s="1183"/>
    </row>
    <row r="736" spans="1:51" ht="36" customHeight="1" x14ac:dyDescent="0.25">
      <c r="A736" s="833" t="s">
        <v>693</v>
      </c>
      <c r="B736" s="834"/>
      <c r="C736" s="835"/>
      <c r="D736" s="192" t="s">
        <v>694</v>
      </c>
      <c r="E736" s="1368">
        <f>+E11+E143+E251+E407+E419+E557+E665+E677+E725</f>
        <v>5811812000</v>
      </c>
      <c r="F736" s="1368">
        <f>+F11+F143+F251+F407+F419+F557+F665+F677+F725</f>
        <v>5811812000</v>
      </c>
      <c r="G736" s="1368">
        <f>+G11+G143+G251+G407+G419+G557+G665+G677+G725</f>
        <v>5811812000</v>
      </c>
      <c r="H736" s="1368">
        <f>+H11+H143+H251+H407+H419+H557+H665+H677+H725</f>
        <v>5811812000</v>
      </c>
      <c r="I736" s="1368">
        <f>+I11+I143+I251+I407+I419+I557+I665+I677+I725</f>
        <v>5811812000</v>
      </c>
      <c r="J736" s="1368"/>
      <c r="K736" s="1268"/>
      <c r="L736" s="1369"/>
      <c r="M736" s="1368"/>
      <c r="N736" s="1368"/>
      <c r="O736" s="1368"/>
      <c r="P736" s="1368"/>
      <c r="Q736" s="1368"/>
      <c r="R736" s="1368"/>
      <c r="S736" s="1368"/>
      <c r="T736" s="1368">
        <v>382172000</v>
      </c>
      <c r="U736" s="1368">
        <f>+U11+U143+U251+U407+U419+U557+U665+U677+U725</f>
        <v>782847760</v>
      </c>
      <c r="V736" s="1368">
        <f>+V11+V143+V251+V407+V419+V557+V665+V677+V725</f>
        <v>1253188640</v>
      </c>
      <c r="W736" s="1368"/>
      <c r="X736" s="1368">
        <v>3332315746</v>
      </c>
      <c r="Y736" s="1368">
        <v>3349366212</v>
      </c>
      <c r="Z736" s="1368">
        <f>+Z11+Z143+Z251+Z407+Z419+Z557+Z665+Z677+Z725</f>
        <v>0</v>
      </c>
      <c r="AA736" s="1368">
        <f>+AA11+AA143+AA251+AA407+AA419+AA557+AA665+AA677+AA725</f>
        <v>0</v>
      </c>
      <c r="AB736" s="1368">
        <f>+AB11+AB143+AB251+AB407+AB419+AB557+AB665+AB677+AB725</f>
        <v>0</v>
      </c>
      <c r="AC736" s="1368">
        <f>+AC11+AC143+AC251+AC407+AC419+AC557+AC665+AC677+AC725</f>
        <v>0</v>
      </c>
      <c r="AD736" s="1368">
        <f>+AD11+AD143+AD251+AD407+AD419+AD557+AD665+AD677+AD725</f>
        <v>0</v>
      </c>
      <c r="AE736" s="1368"/>
      <c r="AF736" s="1269"/>
      <c r="AG736" s="1370"/>
      <c r="AH736" s="1370"/>
      <c r="AI736" s="1370"/>
      <c r="AJ736" s="1370"/>
      <c r="AK736" s="1370"/>
      <c r="AL736" s="1370"/>
      <c r="AM736" s="1370"/>
      <c r="AN736" s="1370"/>
      <c r="AO736" s="1370"/>
      <c r="AP736" s="1371"/>
      <c r="AQ736" s="1371"/>
      <c r="AR736" s="1370"/>
      <c r="AS736" s="1370"/>
      <c r="AT736" s="1370"/>
      <c r="AU736" s="1370"/>
      <c r="AV736" s="1370"/>
      <c r="AW736" s="1370"/>
      <c r="AX736" s="1371"/>
      <c r="AY736" s="1370"/>
    </row>
    <row r="737" spans="1:51" ht="36" customHeight="1" x14ac:dyDescent="0.25">
      <c r="A737" s="836"/>
      <c r="B737" s="771"/>
      <c r="C737" s="772"/>
      <c r="D737" s="192" t="s">
        <v>695</v>
      </c>
      <c r="E737" s="1368">
        <v>1034116590</v>
      </c>
      <c r="F737" s="1368">
        <v>1034116590</v>
      </c>
      <c r="G737" s="1368">
        <v>1034116590</v>
      </c>
      <c r="H737" s="1368">
        <v>1034116590</v>
      </c>
      <c r="I737" s="1368">
        <v>1034116590</v>
      </c>
      <c r="J737" s="1368"/>
      <c r="K737" s="1270"/>
      <c r="L737" s="1369"/>
      <c r="M737" s="1368"/>
      <c r="N737" s="1368"/>
      <c r="O737" s="1368"/>
      <c r="P737" s="1368"/>
      <c r="Q737" s="1368"/>
      <c r="R737" s="1368"/>
      <c r="S737" s="1368"/>
      <c r="T737" s="1368">
        <v>160245065</v>
      </c>
      <c r="U737" s="1368">
        <f>+INVERSIÓN!EQ81</f>
        <v>548322103</v>
      </c>
      <c r="V737" s="1368">
        <f>+V13+V145+V253+V409+V421+V559+V667+V679+V727</f>
        <v>548322103</v>
      </c>
      <c r="W737" s="1368"/>
      <c r="X737" s="1368">
        <v>511110462.24000001</v>
      </c>
      <c r="Y737" s="1368">
        <v>627773931.24000001</v>
      </c>
      <c r="Z737" s="1368">
        <v>628109391.24000001</v>
      </c>
      <c r="AA737" s="1368">
        <f>+AA13+AA145+AA253+AA409+AA421+AA559+AA667+AA679+AA727</f>
        <v>0</v>
      </c>
      <c r="AB737" s="1368">
        <f>+AB13+AB145+AB253+AB409+AB421+AB559+AB667+AB679+AB727</f>
        <v>0</v>
      </c>
      <c r="AC737" s="1368">
        <f>+AC12+AC144+AC252+AC408+AC420+AC558+AC666+AC678+AC726</f>
        <v>0</v>
      </c>
      <c r="AD737" s="1368">
        <v>0</v>
      </c>
      <c r="AE737" s="1368">
        <v>0</v>
      </c>
      <c r="AF737" s="1271"/>
      <c r="AG737" s="1370"/>
      <c r="AH737" s="1370"/>
      <c r="AI737" s="1370"/>
      <c r="AJ737" s="1370"/>
      <c r="AK737" s="1370"/>
      <c r="AL737" s="1370"/>
      <c r="AM737" s="1370"/>
      <c r="AN737" s="1370"/>
      <c r="AO737" s="1370"/>
      <c r="AP737" s="1371"/>
      <c r="AQ737" s="1371"/>
      <c r="AR737" s="1370"/>
      <c r="AS737" s="1370"/>
      <c r="AT737" s="1370"/>
      <c r="AU737" s="1370"/>
      <c r="AV737" s="1370"/>
      <c r="AW737" s="1370"/>
      <c r="AX737" s="1371"/>
      <c r="AY737" s="1370"/>
    </row>
    <row r="738" spans="1:51" ht="36" customHeight="1" thickBot="1" x14ac:dyDescent="0.3">
      <c r="A738" s="837"/>
      <c r="B738" s="838"/>
      <c r="C738" s="839"/>
      <c r="D738" s="193" t="s">
        <v>696</v>
      </c>
      <c r="E738" s="1368">
        <f>+E736+E737</f>
        <v>6845928590</v>
      </c>
      <c r="F738" s="1368">
        <f>+F736+F737</f>
        <v>6845928590</v>
      </c>
      <c r="G738" s="1368">
        <f>+G736+G737</f>
        <v>6845928590</v>
      </c>
      <c r="H738" s="1368">
        <f>+H736+H737</f>
        <v>6845928590</v>
      </c>
      <c r="I738" s="1368">
        <f>+I736+I737</f>
        <v>6845928590</v>
      </c>
      <c r="J738" s="1368"/>
      <c r="K738" s="1368"/>
      <c r="L738" s="1368"/>
      <c r="M738" s="1368"/>
      <c r="N738" s="1368"/>
      <c r="O738" s="1368"/>
      <c r="P738" s="1368"/>
      <c r="Q738" s="1368"/>
      <c r="R738" s="1368"/>
      <c r="S738" s="1368"/>
      <c r="T738" s="1368">
        <f>+T737+T736</f>
        <v>542417065</v>
      </c>
      <c r="U738" s="1368">
        <f>+U736+U737</f>
        <v>1331169863</v>
      </c>
      <c r="V738" s="1368">
        <f>+V736+V737</f>
        <v>1801510743</v>
      </c>
      <c r="W738" s="1368"/>
      <c r="X738" s="1368">
        <v>3843426208.2399998</v>
      </c>
      <c r="Y738" s="1368">
        <v>3977140143.2399998</v>
      </c>
      <c r="Z738" s="1368">
        <f>+Z736+Z737</f>
        <v>628109391.24000001</v>
      </c>
      <c r="AA738" s="1368">
        <f>+AA736+AA737</f>
        <v>0</v>
      </c>
      <c r="AB738" s="1368">
        <f>+AB736+AB737</f>
        <v>0</v>
      </c>
      <c r="AC738" s="1368">
        <f>+AC13+AC145+AC253+AC409+AC421+AC559+AC667+AC679+AC727</f>
        <v>0</v>
      </c>
      <c r="AD738" s="1368">
        <f>+AD13+AD145+AD253+AD409+AD421+AD559+AD667+AD679+AD727</f>
        <v>0</v>
      </c>
      <c r="AE738" s="1368">
        <v>0</v>
      </c>
      <c r="AF738" s="1370"/>
      <c r="AG738" s="1370"/>
      <c r="AH738" s="1370"/>
      <c r="AI738" s="1370"/>
      <c r="AJ738" s="1370"/>
      <c r="AK738" s="1370"/>
      <c r="AL738" s="1370"/>
      <c r="AM738" s="1370"/>
      <c r="AN738" s="1370"/>
      <c r="AO738" s="1370"/>
      <c r="AP738" s="1371"/>
      <c r="AQ738" s="1371"/>
      <c r="AR738" s="1370"/>
      <c r="AS738" s="1370"/>
      <c r="AT738" s="1370"/>
      <c r="AU738" s="1370"/>
      <c r="AV738" s="1370"/>
      <c r="AW738" s="1370"/>
      <c r="AX738" s="1371"/>
      <c r="AY738" s="1370"/>
    </row>
    <row r="739" spans="1:51" ht="15.75" customHeight="1" x14ac:dyDescent="0.25">
      <c r="A739" s="177"/>
      <c r="B739" s="177"/>
      <c r="C739" s="630"/>
      <c r="D739" s="177"/>
      <c r="E739" s="107"/>
      <c r="F739" s="107"/>
      <c r="G739" s="566"/>
      <c r="H739" s="107"/>
      <c r="I739" s="107"/>
      <c r="J739" s="107"/>
      <c r="K739" s="107"/>
      <c r="L739" s="107"/>
      <c r="M739" s="171"/>
      <c r="N739" s="107"/>
      <c r="O739" s="107"/>
      <c r="P739" s="107"/>
      <c r="Q739" s="107"/>
      <c r="R739" s="171"/>
      <c r="S739" s="566"/>
      <c r="T739" s="566"/>
      <c r="U739" s="107"/>
      <c r="V739" s="107"/>
      <c r="W739" s="1372"/>
      <c r="X739" s="1372"/>
      <c r="Y739" s="1372"/>
      <c r="Z739" s="1"/>
      <c r="AA739" s="1372"/>
      <c r="AB739" s="1372"/>
      <c r="AC739" s="1372"/>
      <c r="AD739" s="1372"/>
      <c r="AE739" s="1372"/>
      <c r="AF739" s="1372"/>
      <c r="AG739" s="177"/>
      <c r="AH739" s="177"/>
      <c r="AI739" s="177"/>
      <c r="AJ739" s="177"/>
      <c r="AK739" s="177"/>
      <c r="AL739" s="177"/>
      <c r="AM739" s="1372"/>
      <c r="AN739" s="1372"/>
      <c r="AO739" s="1372"/>
      <c r="AP739" s="1372"/>
      <c r="AQ739" s="1372"/>
      <c r="AR739" s="1372"/>
      <c r="AS739" s="1372"/>
      <c r="AT739" s="1372"/>
      <c r="AU739" s="1372"/>
      <c r="AV739" s="1372"/>
      <c r="AW739" s="1372"/>
      <c r="AX739" s="1372"/>
      <c r="AY739" s="1372"/>
    </row>
    <row r="740" spans="1:51" ht="15.75" customHeight="1" x14ac:dyDescent="0.25">
      <c r="A740" s="126"/>
      <c r="B740" s="122" t="s">
        <v>195</v>
      </c>
      <c r="C740" s="630"/>
      <c r="G740" s="567"/>
      <c r="H740" s="3"/>
      <c r="I740" s="3"/>
      <c r="J740" s="3"/>
      <c r="K740" s="3"/>
      <c r="L740" s="3"/>
      <c r="M740" s="2"/>
      <c r="N740" s="3"/>
      <c r="O740" s="3"/>
      <c r="P740" s="3"/>
      <c r="Q740" s="3"/>
      <c r="R740" s="2"/>
      <c r="S740" s="567"/>
      <c r="T740" s="566"/>
      <c r="U740" s="107"/>
      <c r="V740" s="3"/>
      <c r="Z740" s="1"/>
      <c r="AA740" s="1"/>
      <c r="AB740" s="1"/>
      <c r="AC740" s="1"/>
      <c r="AD740" s="1"/>
      <c r="AE740" s="1"/>
      <c r="AG740" s="177"/>
      <c r="AH740" s="177"/>
      <c r="AI740" s="177"/>
      <c r="AJ740" s="177"/>
      <c r="AK740" s="177"/>
      <c r="AL740" s="177"/>
    </row>
    <row r="741" spans="1:51" ht="15" customHeight="1" x14ac:dyDescent="0.25">
      <c r="A741" s="126"/>
      <c r="B741" s="631" t="s">
        <v>196</v>
      </c>
      <c r="C741" s="726" t="s">
        <v>197</v>
      </c>
      <c r="D741" s="727"/>
      <c r="E741" s="727"/>
      <c r="F741" s="727"/>
      <c r="G741" s="727"/>
      <c r="H741" s="728"/>
      <c r="I741" s="732" t="s">
        <v>198</v>
      </c>
      <c r="J741" s="727"/>
      <c r="K741" s="727"/>
      <c r="L741" s="727"/>
      <c r="M741" s="727"/>
      <c r="N741" s="727"/>
      <c r="O741" s="727"/>
      <c r="P741" s="727"/>
      <c r="Q741" s="728"/>
      <c r="R741" s="2"/>
      <c r="S741" s="567"/>
      <c r="T741" s="566"/>
      <c r="U741" s="107"/>
      <c r="V741" s="3"/>
      <c r="Z741" s="1"/>
      <c r="AA741" s="1"/>
      <c r="AB741" s="1"/>
      <c r="AC741" s="1"/>
      <c r="AD741" s="1"/>
      <c r="AE741" s="1"/>
      <c r="AG741" s="177"/>
      <c r="AH741" s="177"/>
      <c r="AI741" s="177"/>
      <c r="AJ741" s="177"/>
      <c r="AK741" s="177"/>
      <c r="AL741" s="177"/>
    </row>
    <row r="742" spans="1:51" ht="15" customHeight="1" x14ac:dyDescent="0.25">
      <c r="A742" s="126"/>
      <c r="B742" s="61">
        <v>13</v>
      </c>
      <c r="C742" s="832" t="s">
        <v>199</v>
      </c>
      <c r="D742" s="727"/>
      <c r="E742" s="727"/>
      <c r="F742" s="727"/>
      <c r="G742" s="727"/>
      <c r="H742" s="728"/>
      <c r="I742" s="862" t="s">
        <v>200</v>
      </c>
      <c r="J742" s="727"/>
      <c r="K742" s="727"/>
      <c r="L742" s="727"/>
      <c r="M742" s="727"/>
      <c r="N742" s="727"/>
      <c r="O742" s="727"/>
      <c r="P742" s="727"/>
      <c r="Q742" s="728"/>
      <c r="R742" s="2"/>
      <c r="S742" s="567"/>
      <c r="T742" s="566"/>
      <c r="U742" s="107"/>
      <c r="V742" s="3"/>
      <c r="Z742" s="1"/>
      <c r="AA742" s="1"/>
      <c r="AB742" s="1"/>
      <c r="AC742" s="1"/>
      <c r="AD742" s="1"/>
      <c r="AE742" s="1"/>
      <c r="AG742" s="177"/>
      <c r="AH742" s="177"/>
      <c r="AI742" s="177"/>
      <c r="AJ742" s="177"/>
      <c r="AK742" s="177"/>
      <c r="AL742" s="177"/>
    </row>
    <row r="743" spans="1:51" ht="15" customHeight="1" x14ac:dyDescent="0.25">
      <c r="A743" s="126"/>
      <c r="B743" s="61">
        <v>14</v>
      </c>
      <c r="C743" s="832" t="s">
        <v>697</v>
      </c>
      <c r="D743" s="727"/>
      <c r="E743" s="727"/>
      <c r="F743" s="727"/>
      <c r="G743" s="727"/>
      <c r="H743" s="728"/>
      <c r="I743" s="862" t="s">
        <v>202</v>
      </c>
      <c r="J743" s="727"/>
      <c r="K743" s="727"/>
      <c r="L743" s="727"/>
      <c r="M743" s="727"/>
      <c r="N743" s="727"/>
      <c r="O743" s="727"/>
      <c r="P743" s="727"/>
      <c r="Q743" s="728"/>
      <c r="R743" s="2"/>
      <c r="S743" s="567"/>
      <c r="T743" s="566"/>
      <c r="U743" s="107"/>
      <c r="V743" s="3"/>
      <c r="Z743" s="1"/>
      <c r="AA743" s="1"/>
      <c r="AB743" s="1"/>
      <c r="AC743" s="1"/>
      <c r="AD743" s="1"/>
      <c r="AE743" s="1"/>
      <c r="AG743" s="177"/>
      <c r="AH743" s="177"/>
      <c r="AI743" s="177"/>
      <c r="AJ743" s="177"/>
      <c r="AK743" s="177"/>
      <c r="AL743" s="177"/>
    </row>
    <row r="744" spans="1:51" ht="15.75" customHeight="1" x14ac:dyDescent="0.25">
      <c r="A744" s="177"/>
      <c r="B744" s="177"/>
      <c r="C744" s="630"/>
      <c r="D744" s="177"/>
      <c r="E744" s="177"/>
      <c r="F744" s="177"/>
      <c r="G744" s="568"/>
      <c r="H744" s="177"/>
      <c r="I744" s="177"/>
      <c r="J744" s="177"/>
      <c r="K744" s="177"/>
      <c r="L744" s="177"/>
      <c r="M744" s="177"/>
      <c r="N744" s="177"/>
      <c r="O744" s="177"/>
      <c r="P744" s="177"/>
      <c r="Q744" s="177"/>
      <c r="R744" s="1"/>
      <c r="S744" s="568"/>
      <c r="T744" s="566"/>
      <c r="U744" s="107"/>
      <c r="V744" s="177"/>
      <c r="Z744" s="1"/>
      <c r="AA744" s="1"/>
      <c r="AB744" s="1"/>
      <c r="AC744" s="1"/>
      <c r="AD744" s="1"/>
      <c r="AE744" s="1"/>
      <c r="AG744" s="177"/>
      <c r="AH744" s="177"/>
      <c r="AI744" s="177"/>
      <c r="AJ744" s="177"/>
      <c r="AK744" s="177"/>
      <c r="AL744" s="177"/>
    </row>
    <row r="745" spans="1:51" ht="15.75" customHeight="1" x14ac:dyDescent="0.25">
      <c r="A745" s="177"/>
      <c r="B745" s="177"/>
      <c r="C745" s="630"/>
      <c r="D745" s="177"/>
      <c r="E745" s="177"/>
      <c r="F745" s="177"/>
      <c r="G745" s="568"/>
      <c r="H745" s="177"/>
      <c r="I745" s="177"/>
      <c r="J745" s="177"/>
      <c r="K745" s="177"/>
      <c r="L745" s="177"/>
      <c r="M745" s="177"/>
      <c r="N745" s="177"/>
      <c r="O745" s="177"/>
      <c r="P745" s="177"/>
      <c r="Q745" s="177"/>
      <c r="R745" s="1"/>
      <c r="S745" s="568"/>
      <c r="T745" s="568"/>
      <c r="U745" s="177"/>
      <c r="V745" s="177"/>
      <c r="Z745" s="1"/>
      <c r="AG745" s="177"/>
      <c r="AH745" s="177"/>
      <c r="AI745" s="177"/>
      <c r="AJ745" s="177"/>
      <c r="AK745" s="177"/>
      <c r="AL745" s="177"/>
    </row>
    <row r="746" spans="1:51" ht="15.75" customHeight="1" x14ac:dyDescent="0.25">
      <c r="A746" s="177"/>
      <c r="B746" s="177"/>
      <c r="C746" s="630"/>
      <c r="D746" s="177"/>
      <c r="E746" s="107"/>
      <c r="F746" s="107"/>
      <c r="G746" s="566"/>
      <c r="H746" s="107"/>
      <c r="I746" s="107"/>
      <c r="J746" s="107"/>
      <c r="K746" s="107"/>
      <c r="L746" s="107"/>
      <c r="M746" s="107"/>
      <c r="N746" s="107"/>
      <c r="O746" s="107"/>
      <c r="P746" s="107"/>
      <c r="Q746" s="107"/>
      <c r="R746" s="171"/>
      <c r="S746" s="566"/>
      <c r="T746" s="566"/>
      <c r="U746" s="107"/>
      <c r="V746" s="107"/>
      <c r="Z746" s="1"/>
      <c r="AG746" s="177"/>
      <c r="AH746" s="177"/>
      <c r="AI746" s="177"/>
      <c r="AJ746" s="177"/>
      <c r="AK746" s="177"/>
      <c r="AL746" s="177"/>
    </row>
    <row r="747" spans="1:51" ht="15.75" customHeight="1" x14ac:dyDescent="0.25">
      <c r="A747" s="177"/>
      <c r="B747" s="177"/>
      <c r="C747" s="630"/>
      <c r="D747" s="177"/>
      <c r="E747" s="194"/>
      <c r="F747" s="194"/>
      <c r="G747" s="627"/>
      <c r="H747" s="194"/>
      <c r="I747" s="194"/>
      <c r="J747" s="194"/>
      <c r="K747" s="194"/>
      <c r="L747" s="194"/>
      <c r="M747" s="194"/>
      <c r="N747" s="194"/>
      <c r="O747" s="194"/>
      <c r="P747" s="194"/>
      <c r="Q747" s="194"/>
      <c r="R747" s="195"/>
      <c r="S747" s="568"/>
      <c r="T747" s="568"/>
      <c r="U747" s="177"/>
      <c r="V747" s="177"/>
      <c r="Z747" s="1"/>
      <c r="AG747" s="177"/>
      <c r="AH747" s="177"/>
      <c r="AI747" s="177"/>
      <c r="AJ747" s="177"/>
      <c r="AK747" s="177"/>
      <c r="AL747" s="177"/>
    </row>
    <row r="748" spans="1:51" ht="15.75" customHeight="1" x14ac:dyDescent="0.25">
      <c r="A748" s="177"/>
      <c r="B748" s="177"/>
      <c r="C748" s="630"/>
      <c r="D748" s="177"/>
      <c r="E748" s="177"/>
      <c r="F748" s="177"/>
      <c r="G748" s="568"/>
      <c r="H748" s="177"/>
      <c r="I748" s="177"/>
      <c r="J748" s="177"/>
      <c r="K748" s="177"/>
      <c r="L748" s="177"/>
      <c r="M748" s="1"/>
      <c r="N748" s="177"/>
      <c r="O748" s="177"/>
      <c r="P748" s="177"/>
      <c r="Q748" s="177"/>
      <c r="R748" s="1"/>
      <c r="S748" s="568"/>
      <c r="T748" s="568"/>
      <c r="U748" s="177"/>
      <c r="V748" s="177"/>
      <c r="Z748" s="1"/>
      <c r="AG748" s="177"/>
      <c r="AH748" s="177"/>
      <c r="AI748" s="177"/>
      <c r="AJ748" s="177"/>
      <c r="AK748" s="177"/>
      <c r="AL748" s="177"/>
    </row>
    <row r="749" spans="1:51" ht="15.75" customHeight="1" x14ac:dyDescent="0.25">
      <c r="A749" s="177"/>
      <c r="B749" s="177"/>
      <c r="C749" s="630"/>
      <c r="D749" s="177"/>
      <c r="E749" s="107"/>
      <c r="F749" s="107"/>
      <c r="G749" s="566"/>
      <c r="H749" s="107"/>
      <c r="I749" s="107"/>
      <c r="J749" s="107"/>
      <c r="K749" s="177"/>
      <c r="L749" s="107"/>
      <c r="M749" s="171"/>
      <c r="N749" s="107"/>
      <c r="O749" s="107"/>
      <c r="P749" s="107"/>
      <c r="Q749" s="107"/>
      <c r="R749" s="171"/>
      <c r="S749" s="566"/>
      <c r="T749" s="566"/>
      <c r="U749" s="107"/>
      <c r="V749" s="107"/>
      <c r="Z749" s="1"/>
      <c r="AG749" s="177"/>
      <c r="AH749" s="177"/>
      <c r="AI749" s="177"/>
      <c r="AJ749" s="177"/>
      <c r="AK749" s="177"/>
      <c r="AL749" s="177"/>
    </row>
    <row r="750" spans="1:51" ht="15.75" customHeight="1" x14ac:dyDescent="0.25">
      <c r="A750" s="177"/>
      <c r="B750" s="177"/>
      <c r="C750" s="630"/>
      <c r="D750" s="177"/>
      <c r="E750" s="177"/>
      <c r="F750" s="177"/>
      <c r="G750" s="568"/>
      <c r="H750" s="177"/>
      <c r="I750" s="177"/>
      <c r="J750" s="177"/>
      <c r="K750" s="177"/>
      <c r="L750" s="177"/>
      <c r="M750" s="1"/>
      <c r="N750" s="177"/>
      <c r="O750" s="177"/>
      <c r="P750" s="177"/>
      <c r="Q750" s="177"/>
      <c r="R750" s="1"/>
      <c r="S750" s="568"/>
      <c r="T750" s="568"/>
      <c r="U750" s="177"/>
      <c r="V750" s="177"/>
      <c r="Z750" s="1"/>
      <c r="AG750" s="177"/>
      <c r="AH750" s="177"/>
      <c r="AI750" s="177"/>
      <c r="AJ750" s="177"/>
      <c r="AK750" s="177"/>
      <c r="AL750" s="177"/>
    </row>
    <row r="751" spans="1:51" ht="15.75" customHeight="1" x14ac:dyDescent="0.25">
      <c r="A751" s="177"/>
      <c r="B751" s="177"/>
      <c r="C751" s="630"/>
      <c r="D751" s="177"/>
      <c r="E751" s="177"/>
      <c r="F751" s="177"/>
      <c r="G751" s="568"/>
      <c r="H751" s="177"/>
      <c r="I751" s="177"/>
      <c r="J751" s="177"/>
      <c r="K751" s="177"/>
      <c r="L751" s="177"/>
      <c r="M751" s="1"/>
      <c r="N751" s="177"/>
      <c r="O751" s="177"/>
      <c r="P751" s="177"/>
      <c r="Q751" s="177"/>
      <c r="R751" s="1"/>
      <c r="S751" s="568"/>
      <c r="T751" s="568"/>
      <c r="U751" s="177"/>
      <c r="V751" s="177"/>
      <c r="Z751" s="1"/>
      <c r="AG751" s="177"/>
      <c r="AH751" s="177"/>
      <c r="AI751" s="177"/>
      <c r="AJ751" s="177"/>
      <c r="AK751" s="177"/>
      <c r="AL751" s="177"/>
    </row>
    <row r="752" spans="1:51" ht="15.75" customHeight="1" x14ac:dyDescent="0.25">
      <c r="A752" s="177"/>
      <c r="B752" s="177"/>
      <c r="C752" s="630"/>
      <c r="D752" s="177"/>
      <c r="E752" s="177"/>
      <c r="F752" s="177"/>
      <c r="G752" s="568"/>
      <c r="H752" s="177"/>
      <c r="I752" s="177"/>
      <c r="J752" s="177"/>
      <c r="K752" s="177"/>
      <c r="L752" s="177"/>
      <c r="M752" s="1"/>
      <c r="N752" s="177"/>
      <c r="O752" s="177"/>
      <c r="P752" s="177"/>
      <c r="Q752" s="177"/>
      <c r="R752" s="1"/>
      <c r="S752" s="568"/>
      <c r="T752" s="568"/>
      <c r="U752" s="177"/>
      <c r="V752" s="177"/>
      <c r="Z752" s="1"/>
      <c r="AG752" s="177"/>
      <c r="AH752" s="177"/>
      <c r="AI752" s="177"/>
      <c r="AJ752" s="177"/>
      <c r="AK752" s="177"/>
      <c r="AL752" s="177"/>
    </row>
    <row r="753" spans="1:38" ht="15.75" customHeight="1" x14ac:dyDescent="0.25">
      <c r="A753" s="177"/>
      <c r="B753" s="177"/>
      <c r="C753" s="630"/>
      <c r="D753" s="177"/>
      <c r="E753" s="177"/>
      <c r="F753" s="177"/>
      <c r="G753" s="568"/>
      <c r="H753" s="177"/>
      <c r="I753" s="177"/>
      <c r="J753" s="177"/>
      <c r="K753" s="177"/>
      <c r="L753" s="177"/>
      <c r="M753" s="1"/>
      <c r="N753" s="177"/>
      <c r="O753" s="177"/>
      <c r="P753" s="177"/>
      <c r="Q753" s="177"/>
      <c r="R753" s="1"/>
      <c r="S753" s="568"/>
      <c r="T753" s="568"/>
      <c r="U753" s="177"/>
      <c r="V753" s="177"/>
      <c r="Z753" s="1"/>
      <c r="AG753" s="177"/>
      <c r="AH753" s="177"/>
      <c r="AI753" s="177"/>
      <c r="AJ753" s="177"/>
      <c r="AK753" s="177"/>
      <c r="AL753" s="177"/>
    </row>
    <row r="754" spans="1:38" ht="15.75" customHeight="1" x14ac:dyDescent="0.25">
      <c r="A754" s="177"/>
      <c r="B754" s="177"/>
      <c r="C754" s="630"/>
      <c r="D754" s="177"/>
      <c r="E754" s="177"/>
      <c r="F754" s="177"/>
      <c r="G754" s="568"/>
      <c r="H754" s="177"/>
      <c r="I754" s="177"/>
      <c r="J754" s="177"/>
      <c r="K754" s="177"/>
      <c r="L754" s="177"/>
      <c r="M754" s="1"/>
      <c r="N754" s="177"/>
      <c r="O754" s="177"/>
      <c r="P754" s="177"/>
      <c r="Q754" s="177"/>
      <c r="R754" s="1"/>
      <c r="S754" s="568"/>
      <c r="T754" s="568"/>
      <c r="U754" s="177"/>
      <c r="V754" s="177"/>
      <c r="Z754" s="1"/>
      <c r="AG754" s="177"/>
      <c r="AH754" s="177"/>
      <c r="AI754" s="177"/>
      <c r="AJ754" s="177"/>
      <c r="AK754" s="177"/>
      <c r="AL754" s="177"/>
    </row>
    <row r="755" spans="1:38" ht="15.75" customHeight="1" x14ac:dyDescent="0.25">
      <c r="A755" s="177"/>
      <c r="B755" s="177"/>
      <c r="C755" s="630"/>
      <c r="D755" s="177"/>
      <c r="E755" s="177"/>
      <c r="F755" s="177"/>
      <c r="G755" s="568"/>
      <c r="H755" s="177"/>
      <c r="I755" s="177"/>
      <c r="J755" s="177"/>
      <c r="K755" s="177"/>
      <c r="L755" s="177"/>
      <c r="M755" s="1"/>
      <c r="N755" s="177"/>
      <c r="O755" s="177"/>
      <c r="P755" s="177"/>
      <c r="Q755" s="177"/>
      <c r="R755" s="1"/>
      <c r="S755" s="568"/>
      <c r="T755" s="568"/>
      <c r="U755" s="177"/>
      <c r="V755" s="177"/>
      <c r="Z755" s="1"/>
      <c r="AG755" s="177"/>
      <c r="AH755" s="177"/>
      <c r="AI755" s="177"/>
      <c r="AJ755" s="177"/>
      <c r="AK755" s="177"/>
      <c r="AL755" s="177"/>
    </row>
    <row r="756" spans="1:38" ht="15.75" customHeight="1" x14ac:dyDescent="0.25">
      <c r="A756" s="177"/>
      <c r="B756" s="177"/>
      <c r="C756" s="630"/>
      <c r="D756" s="177"/>
      <c r="E756" s="177"/>
      <c r="F756" s="177"/>
      <c r="G756" s="568"/>
      <c r="H756" s="177"/>
      <c r="I756" s="177"/>
      <c r="J756" s="177"/>
      <c r="K756" s="177"/>
      <c r="L756" s="177"/>
      <c r="M756" s="1"/>
      <c r="N756" s="177"/>
      <c r="O756" s="177"/>
      <c r="P756" s="177"/>
      <c r="Q756" s="177"/>
      <c r="R756" s="1"/>
      <c r="S756" s="568"/>
      <c r="T756" s="568"/>
      <c r="U756" s="177"/>
      <c r="V756" s="177"/>
      <c r="Z756" s="1"/>
      <c r="AG756" s="177"/>
      <c r="AH756" s="177"/>
      <c r="AI756" s="177"/>
      <c r="AJ756" s="177"/>
      <c r="AK756" s="177"/>
      <c r="AL756" s="177"/>
    </row>
    <row r="757" spans="1:38" ht="15.75" customHeight="1" x14ac:dyDescent="0.25">
      <c r="C757" s="630"/>
      <c r="K757" s="177"/>
      <c r="M757" s="1"/>
      <c r="R757" s="1"/>
      <c r="S757" s="568"/>
      <c r="T757" s="568"/>
      <c r="U757" s="177"/>
      <c r="V757" s="177"/>
      <c r="Z757" s="1"/>
      <c r="AG757" s="177"/>
      <c r="AH757" s="177"/>
      <c r="AI757" s="177"/>
      <c r="AJ757" s="177"/>
      <c r="AK757" s="177"/>
      <c r="AL757" s="177"/>
    </row>
    <row r="758" spans="1:38" ht="15.75" customHeight="1" x14ac:dyDescent="0.25">
      <c r="C758" s="630"/>
      <c r="K758" s="177"/>
      <c r="M758" s="1"/>
      <c r="R758" s="1"/>
      <c r="S758" s="568"/>
      <c r="T758" s="568"/>
      <c r="U758" s="177"/>
      <c r="V758" s="177"/>
      <c r="Z758" s="1"/>
      <c r="AG758" s="177"/>
      <c r="AH758" s="177"/>
      <c r="AI758" s="177"/>
      <c r="AJ758" s="177"/>
      <c r="AK758" s="177"/>
      <c r="AL758" s="177"/>
    </row>
    <row r="759" spans="1:38" ht="15.75" customHeight="1" x14ac:dyDescent="0.25">
      <c r="C759" s="630"/>
      <c r="K759" s="177"/>
      <c r="M759" s="1"/>
      <c r="R759" s="1"/>
      <c r="S759" s="568"/>
      <c r="T759" s="568"/>
      <c r="U759" s="177"/>
      <c r="V759" s="177"/>
      <c r="Z759" s="1"/>
      <c r="AG759" s="177"/>
      <c r="AH759" s="177"/>
      <c r="AI759" s="177"/>
      <c r="AJ759" s="177"/>
      <c r="AK759" s="177"/>
      <c r="AL759" s="177"/>
    </row>
    <row r="760" spans="1:38" ht="15.75" customHeight="1" x14ac:dyDescent="0.25">
      <c r="C760" s="630"/>
      <c r="K760" s="177"/>
      <c r="M760" s="1"/>
      <c r="R760" s="1"/>
      <c r="S760" s="568"/>
      <c r="T760" s="568"/>
      <c r="U760" s="177"/>
      <c r="V760" s="177"/>
      <c r="Z760" s="1"/>
      <c r="AG760" s="177"/>
      <c r="AH760" s="177"/>
      <c r="AI760" s="177"/>
      <c r="AJ760" s="177"/>
      <c r="AK760" s="177"/>
      <c r="AL760" s="177"/>
    </row>
    <row r="761" spans="1:38" ht="15.75" customHeight="1" x14ac:dyDescent="0.25">
      <c r="C761" s="630"/>
      <c r="K761" s="177"/>
      <c r="M761" s="1"/>
      <c r="R761" s="1"/>
      <c r="S761" s="568"/>
      <c r="T761" s="568"/>
      <c r="U761" s="177"/>
      <c r="V761" s="177"/>
      <c r="Z761" s="1"/>
      <c r="AG761" s="177"/>
      <c r="AH761" s="177"/>
      <c r="AI761" s="177"/>
      <c r="AJ761" s="177"/>
      <c r="AK761" s="177"/>
      <c r="AL761" s="177"/>
    </row>
    <row r="762" spans="1:38" ht="15.75" customHeight="1" x14ac:dyDescent="0.25">
      <c r="C762" s="630"/>
      <c r="K762" s="177"/>
      <c r="M762" s="1"/>
      <c r="R762" s="1"/>
      <c r="S762" s="568"/>
      <c r="T762" s="568"/>
      <c r="U762" s="177"/>
      <c r="V762" s="177"/>
      <c r="Z762" s="1"/>
      <c r="AG762" s="177"/>
      <c r="AH762" s="177"/>
      <c r="AI762" s="177"/>
      <c r="AJ762" s="177"/>
      <c r="AK762" s="177"/>
      <c r="AL762" s="177"/>
    </row>
    <row r="763" spans="1:38" ht="15.75" customHeight="1" x14ac:dyDescent="0.25">
      <c r="C763" s="630"/>
      <c r="K763" s="177"/>
      <c r="M763" s="1"/>
      <c r="R763" s="1"/>
      <c r="S763" s="568"/>
      <c r="T763" s="568"/>
      <c r="U763" s="177"/>
      <c r="V763" s="177"/>
      <c r="Z763" s="1"/>
      <c r="AG763" s="177"/>
      <c r="AH763" s="177"/>
      <c r="AI763" s="177"/>
      <c r="AJ763" s="177"/>
      <c r="AK763" s="177"/>
      <c r="AL763" s="177"/>
    </row>
    <row r="764" spans="1:38" ht="15.75" customHeight="1" x14ac:dyDescent="0.25">
      <c r="C764" s="630"/>
      <c r="K764" s="177"/>
      <c r="M764" s="1"/>
      <c r="R764" s="1"/>
      <c r="S764" s="568"/>
      <c r="T764" s="568"/>
      <c r="U764" s="177"/>
      <c r="V764" s="177"/>
      <c r="Z764" s="1"/>
      <c r="AG764" s="177"/>
      <c r="AH764" s="177"/>
      <c r="AI764" s="177"/>
      <c r="AJ764" s="177"/>
      <c r="AK764" s="177"/>
      <c r="AL764" s="177"/>
    </row>
    <row r="765" spans="1:38" ht="15.75" customHeight="1" x14ac:dyDescent="0.25">
      <c r="C765" s="630"/>
      <c r="K765" s="177"/>
      <c r="M765" s="1"/>
      <c r="R765" s="1"/>
      <c r="S765" s="568"/>
      <c r="T765" s="568"/>
      <c r="U765" s="177"/>
      <c r="V765" s="177"/>
      <c r="Z765" s="1"/>
      <c r="AG765" s="177"/>
      <c r="AH765" s="177"/>
      <c r="AI765" s="177"/>
      <c r="AJ765" s="177"/>
      <c r="AK765" s="177"/>
      <c r="AL765" s="177"/>
    </row>
    <row r="766" spans="1:38" ht="15.75" customHeight="1" x14ac:dyDescent="0.25">
      <c r="C766" s="630"/>
      <c r="K766" s="177"/>
      <c r="M766" s="1"/>
      <c r="R766" s="1"/>
      <c r="S766" s="568"/>
      <c r="T766" s="568"/>
      <c r="U766" s="177"/>
      <c r="V766" s="177"/>
      <c r="Z766" s="1"/>
      <c r="AG766" s="177"/>
      <c r="AH766" s="177"/>
      <c r="AI766" s="177"/>
      <c r="AJ766" s="177"/>
      <c r="AK766" s="177"/>
      <c r="AL766" s="177"/>
    </row>
    <row r="767" spans="1:38" ht="15.75" customHeight="1" x14ac:dyDescent="0.25">
      <c r="C767" s="630"/>
      <c r="K767" s="177"/>
      <c r="M767" s="1"/>
      <c r="R767" s="1"/>
      <c r="S767" s="568"/>
      <c r="T767" s="568"/>
      <c r="U767" s="177"/>
      <c r="V767" s="177"/>
      <c r="Z767" s="1"/>
      <c r="AG767" s="177"/>
      <c r="AH767" s="177"/>
      <c r="AI767" s="177"/>
      <c r="AJ767" s="177"/>
      <c r="AK767" s="177"/>
      <c r="AL767" s="177"/>
    </row>
    <row r="768" spans="1:38" ht="15.75" customHeight="1" x14ac:dyDescent="0.25">
      <c r="C768" s="630"/>
      <c r="K768" s="177"/>
      <c r="M768" s="1"/>
      <c r="R768" s="1"/>
      <c r="S768" s="568"/>
      <c r="T768" s="568"/>
      <c r="U768" s="177"/>
      <c r="V768" s="177"/>
      <c r="Z768" s="1"/>
      <c r="AG768" s="177"/>
      <c r="AH768" s="177"/>
      <c r="AI768" s="177"/>
      <c r="AJ768" s="177"/>
      <c r="AK768" s="177"/>
      <c r="AL768" s="177"/>
    </row>
    <row r="769" spans="3:38" ht="15.75" customHeight="1" x14ac:dyDescent="0.25">
      <c r="C769" s="630"/>
      <c r="K769" s="177"/>
      <c r="M769" s="1"/>
      <c r="R769" s="1"/>
      <c r="S769" s="568"/>
      <c r="T769" s="568"/>
      <c r="U769" s="177"/>
      <c r="V769" s="177"/>
      <c r="Z769" s="1"/>
      <c r="AG769" s="177"/>
      <c r="AH769" s="177"/>
      <c r="AI769" s="177"/>
      <c r="AJ769" s="177"/>
      <c r="AK769" s="177"/>
      <c r="AL769" s="177"/>
    </row>
    <row r="770" spans="3:38" ht="15.75" customHeight="1" x14ac:dyDescent="0.25">
      <c r="C770" s="630"/>
      <c r="K770" s="177"/>
      <c r="M770" s="1"/>
      <c r="R770" s="1"/>
      <c r="S770" s="568"/>
      <c r="T770" s="568"/>
      <c r="U770" s="177"/>
      <c r="V770" s="177"/>
      <c r="Z770" s="1"/>
      <c r="AG770" s="177"/>
      <c r="AH770" s="177"/>
      <c r="AI770" s="177"/>
      <c r="AJ770" s="177"/>
      <c r="AK770" s="177"/>
      <c r="AL770" s="177"/>
    </row>
    <row r="771" spans="3:38" ht="15.75" customHeight="1" x14ac:dyDescent="0.25">
      <c r="C771" s="630"/>
      <c r="K771" s="177"/>
      <c r="M771" s="1"/>
      <c r="R771" s="1"/>
      <c r="S771" s="568"/>
      <c r="T771" s="568"/>
      <c r="U771" s="177"/>
      <c r="V771" s="177"/>
      <c r="Z771" s="1"/>
      <c r="AG771" s="177"/>
      <c r="AH771" s="177"/>
      <c r="AI771" s="177"/>
      <c r="AJ771" s="177"/>
      <c r="AK771" s="177"/>
      <c r="AL771" s="177"/>
    </row>
    <row r="772" spans="3:38" ht="15.75" customHeight="1" x14ac:dyDescent="0.25">
      <c r="C772" s="630"/>
      <c r="K772" s="177"/>
      <c r="M772" s="1"/>
      <c r="R772" s="1"/>
      <c r="S772" s="568"/>
      <c r="T772" s="568"/>
      <c r="U772" s="177"/>
      <c r="V772" s="177"/>
      <c r="Z772" s="1"/>
      <c r="AG772" s="177"/>
      <c r="AH772" s="177"/>
      <c r="AI772" s="177"/>
      <c r="AJ772" s="177"/>
      <c r="AK772" s="177"/>
      <c r="AL772" s="177"/>
    </row>
    <row r="773" spans="3:38" ht="15.75" customHeight="1" x14ac:dyDescent="0.25">
      <c r="C773" s="630"/>
      <c r="K773" s="177"/>
      <c r="M773" s="1"/>
      <c r="R773" s="1"/>
      <c r="S773" s="568"/>
      <c r="T773" s="568"/>
      <c r="U773" s="177"/>
      <c r="V773" s="177"/>
      <c r="Z773" s="1"/>
      <c r="AG773" s="177"/>
      <c r="AH773" s="177"/>
      <c r="AI773" s="177"/>
      <c r="AJ773" s="177"/>
      <c r="AK773" s="177"/>
      <c r="AL773" s="177"/>
    </row>
    <row r="774" spans="3:38" ht="15.75" customHeight="1" x14ac:dyDescent="0.25">
      <c r="C774" s="630"/>
      <c r="K774" s="177"/>
      <c r="M774" s="1"/>
      <c r="R774" s="1"/>
      <c r="S774" s="568"/>
      <c r="T774" s="568"/>
      <c r="U774" s="177"/>
      <c r="V774" s="177"/>
      <c r="Z774" s="1"/>
      <c r="AG774" s="177"/>
      <c r="AH774" s="177"/>
      <c r="AI774" s="177"/>
      <c r="AJ774" s="177"/>
      <c r="AK774" s="177"/>
      <c r="AL774" s="177"/>
    </row>
    <row r="775" spans="3:38" ht="15.75" customHeight="1" x14ac:dyDescent="0.25">
      <c r="C775" s="630"/>
      <c r="K775" s="177"/>
      <c r="M775" s="1"/>
      <c r="R775" s="1"/>
      <c r="S775" s="568"/>
      <c r="T775" s="568"/>
      <c r="U775" s="177"/>
      <c r="V775" s="177"/>
      <c r="Z775" s="1"/>
      <c r="AG775" s="177"/>
      <c r="AH775" s="177"/>
      <c r="AI775" s="177"/>
      <c r="AJ775" s="177"/>
      <c r="AK775" s="177"/>
      <c r="AL775" s="177"/>
    </row>
    <row r="776" spans="3:38" ht="15.75" customHeight="1" x14ac:dyDescent="0.25">
      <c r="C776" s="630"/>
      <c r="K776" s="177"/>
      <c r="M776" s="1"/>
      <c r="R776" s="1"/>
      <c r="S776" s="568"/>
      <c r="T776" s="568"/>
      <c r="U776" s="177"/>
      <c r="V776" s="177"/>
      <c r="Z776" s="1"/>
      <c r="AG776" s="177"/>
      <c r="AH776" s="177"/>
      <c r="AI776" s="177"/>
      <c r="AJ776" s="177"/>
      <c r="AK776" s="177"/>
      <c r="AL776" s="177"/>
    </row>
    <row r="777" spans="3:38" ht="15.75" customHeight="1" x14ac:dyDescent="0.25">
      <c r="C777" s="630"/>
      <c r="K777" s="177"/>
      <c r="M777" s="1"/>
      <c r="R777" s="1"/>
      <c r="S777" s="568"/>
      <c r="T777" s="568"/>
      <c r="U777" s="177"/>
      <c r="V777" s="177"/>
      <c r="Z777" s="1"/>
      <c r="AG777" s="177"/>
      <c r="AH777" s="177"/>
      <c r="AI777" s="177"/>
      <c r="AJ777" s="177"/>
      <c r="AK777" s="177"/>
      <c r="AL777" s="177"/>
    </row>
    <row r="778" spans="3:38" ht="15.75" customHeight="1" x14ac:dyDescent="0.25">
      <c r="C778" s="630"/>
      <c r="K778" s="177"/>
      <c r="M778" s="1"/>
      <c r="R778" s="1"/>
      <c r="S778" s="568"/>
      <c r="T778" s="568"/>
      <c r="U778" s="177"/>
      <c r="V778" s="177"/>
      <c r="Z778" s="1"/>
      <c r="AG778" s="177"/>
      <c r="AH778" s="177"/>
      <c r="AI778" s="177"/>
      <c r="AJ778" s="177"/>
      <c r="AK778" s="177"/>
      <c r="AL778" s="177"/>
    </row>
    <row r="779" spans="3:38" ht="15.75" customHeight="1" x14ac:dyDescent="0.25">
      <c r="C779" s="630"/>
      <c r="K779" s="177"/>
      <c r="M779" s="1"/>
      <c r="R779" s="1"/>
      <c r="S779" s="568"/>
      <c r="T779" s="568"/>
      <c r="U779" s="177"/>
      <c r="V779" s="177"/>
      <c r="Z779" s="1"/>
      <c r="AG779" s="177"/>
      <c r="AH779" s="177"/>
      <c r="AI779" s="177"/>
      <c r="AJ779" s="177"/>
      <c r="AK779" s="177"/>
      <c r="AL779" s="177"/>
    </row>
    <row r="780" spans="3:38" ht="15.75" customHeight="1" x14ac:dyDescent="0.25">
      <c r="C780" s="630"/>
      <c r="K780" s="177"/>
      <c r="M780" s="1"/>
      <c r="R780" s="1"/>
      <c r="S780" s="568"/>
      <c r="T780" s="568"/>
      <c r="U780" s="177"/>
      <c r="V780" s="177"/>
      <c r="Z780" s="1"/>
      <c r="AG780" s="177"/>
      <c r="AH780" s="177"/>
      <c r="AI780" s="177"/>
      <c r="AJ780" s="177"/>
      <c r="AK780" s="177"/>
      <c r="AL780" s="177"/>
    </row>
    <row r="781" spans="3:38" ht="15.75" customHeight="1" x14ac:dyDescent="0.25">
      <c r="C781" s="630"/>
      <c r="K781" s="177"/>
      <c r="M781" s="1"/>
      <c r="R781" s="1"/>
      <c r="S781" s="568"/>
      <c r="T781" s="568"/>
      <c r="U781" s="177"/>
      <c r="V781" s="177"/>
      <c r="Z781" s="1"/>
      <c r="AG781" s="177"/>
      <c r="AH781" s="177"/>
      <c r="AI781" s="177"/>
      <c r="AJ781" s="177"/>
      <c r="AK781" s="177"/>
      <c r="AL781" s="177"/>
    </row>
    <row r="782" spans="3:38" ht="15.75" customHeight="1" x14ac:dyDescent="0.25">
      <c r="C782" s="630"/>
      <c r="K782" s="177"/>
      <c r="M782" s="1"/>
      <c r="R782" s="1"/>
      <c r="S782" s="568"/>
      <c r="T782" s="568"/>
      <c r="U782" s="177"/>
      <c r="V782" s="177"/>
      <c r="Z782" s="1"/>
      <c r="AG782" s="177"/>
      <c r="AH782" s="177"/>
      <c r="AI782" s="177"/>
      <c r="AJ782" s="177"/>
      <c r="AK782" s="177"/>
      <c r="AL782" s="177"/>
    </row>
    <row r="783" spans="3:38" ht="15.75" customHeight="1" x14ac:dyDescent="0.25">
      <c r="C783" s="630"/>
      <c r="K783" s="177"/>
      <c r="M783" s="1"/>
      <c r="R783" s="1"/>
      <c r="S783" s="568"/>
      <c r="T783" s="568"/>
      <c r="U783" s="177"/>
      <c r="V783" s="177"/>
      <c r="Z783" s="1"/>
      <c r="AG783" s="177"/>
      <c r="AH783" s="177"/>
      <c r="AI783" s="177"/>
      <c r="AJ783" s="177"/>
      <c r="AK783" s="177"/>
      <c r="AL783" s="177"/>
    </row>
    <row r="784" spans="3:38" ht="15.75" customHeight="1" x14ac:dyDescent="0.25">
      <c r="C784" s="630"/>
      <c r="K784" s="177"/>
      <c r="M784" s="1"/>
      <c r="R784" s="1"/>
      <c r="S784" s="568"/>
      <c r="T784" s="568"/>
      <c r="U784" s="177"/>
      <c r="V784" s="177"/>
      <c r="Z784" s="1"/>
      <c r="AG784" s="177"/>
      <c r="AH784" s="177"/>
      <c r="AI784" s="177"/>
      <c r="AJ784" s="177"/>
      <c r="AK784" s="177"/>
      <c r="AL784" s="177"/>
    </row>
    <row r="785" spans="3:38" ht="15.75" customHeight="1" x14ac:dyDescent="0.25">
      <c r="C785" s="630"/>
      <c r="K785" s="177"/>
      <c r="M785" s="1"/>
      <c r="R785" s="1"/>
      <c r="S785" s="568"/>
      <c r="T785" s="568"/>
      <c r="U785" s="177"/>
      <c r="V785" s="177"/>
      <c r="Z785" s="1"/>
      <c r="AG785" s="177"/>
      <c r="AH785" s="177"/>
      <c r="AI785" s="177"/>
      <c r="AJ785" s="177"/>
      <c r="AK785" s="177"/>
      <c r="AL785" s="177"/>
    </row>
    <row r="786" spans="3:38" ht="15.75" customHeight="1" x14ac:dyDescent="0.25">
      <c r="C786" s="630"/>
      <c r="K786" s="177"/>
      <c r="M786" s="1"/>
      <c r="R786" s="1"/>
      <c r="S786" s="568"/>
      <c r="T786" s="568"/>
      <c r="U786" s="177"/>
      <c r="V786" s="177"/>
      <c r="Z786" s="1"/>
      <c r="AG786" s="177"/>
      <c r="AH786" s="177"/>
      <c r="AI786" s="177"/>
      <c r="AJ786" s="177"/>
      <c r="AK786" s="177"/>
      <c r="AL786" s="177"/>
    </row>
    <row r="787" spans="3:38" ht="15.75" customHeight="1" x14ac:dyDescent="0.25">
      <c r="C787" s="630"/>
      <c r="K787" s="177"/>
      <c r="M787" s="1"/>
      <c r="R787" s="1"/>
      <c r="S787" s="568"/>
      <c r="T787" s="568"/>
      <c r="U787" s="177"/>
      <c r="V787" s="177"/>
      <c r="Z787" s="1"/>
      <c r="AG787" s="177"/>
      <c r="AH787" s="177"/>
      <c r="AI787" s="177"/>
      <c r="AJ787" s="177"/>
      <c r="AK787" s="177"/>
      <c r="AL787" s="177"/>
    </row>
    <row r="788" spans="3:38" ht="15.75" customHeight="1" x14ac:dyDescent="0.25">
      <c r="C788" s="630"/>
      <c r="K788" s="177"/>
      <c r="M788" s="1"/>
      <c r="R788" s="1"/>
      <c r="S788" s="568"/>
      <c r="T788" s="568"/>
      <c r="U788" s="177"/>
      <c r="V788" s="177"/>
      <c r="Z788" s="1"/>
      <c r="AG788" s="177"/>
      <c r="AH788" s="177"/>
      <c r="AI788" s="177"/>
      <c r="AJ788" s="177"/>
      <c r="AK788" s="177"/>
      <c r="AL788" s="177"/>
    </row>
    <row r="789" spans="3:38" ht="15.75" customHeight="1" x14ac:dyDescent="0.25">
      <c r="C789" s="630"/>
      <c r="K789" s="177"/>
      <c r="M789" s="1"/>
      <c r="R789" s="1"/>
      <c r="S789" s="568"/>
      <c r="T789" s="568"/>
      <c r="U789" s="177"/>
      <c r="V789" s="177"/>
      <c r="Z789" s="1"/>
      <c r="AG789" s="177"/>
      <c r="AH789" s="177"/>
      <c r="AI789" s="177"/>
      <c r="AJ789" s="177"/>
      <c r="AK789" s="177"/>
      <c r="AL789" s="177"/>
    </row>
    <row r="790" spans="3:38" ht="15.75" customHeight="1" x14ac:dyDescent="0.25">
      <c r="C790" s="630"/>
      <c r="K790" s="177"/>
      <c r="M790" s="1"/>
      <c r="R790" s="1"/>
      <c r="S790" s="568"/>
      <c r="T790" s="568"/>
      <c r="U790" s="177"/>
      <c r="V790" s="177"/>
      <c r="Z790" s="1"/>
      <c r="AG790" s="177"/>
      <c r="AH790" s="177"/>
      <c r="AI790" s="177"/>
      <c r="AJ790" s="177"/>
      <c r="AK790" s="177"/>
      <c r="AL790" s="177"/>
    </row>
    <row r="791" spans="3:38" ht="15.75" customHeight="1" x14ac:dyDescent="0.25">
      <c r="C791" s="630"/>
      <c r="K791" s="177"/>
      <c r="M791" s="1"/>
      <c r="R791" s="1"/>
      <c r="S791" s="568"/>
      <c r="T791" s="568"/>
      <c r="U791" s="177"/>
      <c r="V791" s="177"/>
      <c r="Z791" s="1"/>
      <c r="AG791" s="177"/>
      <c r="AH791" s="177"/>
      <c r="AI791" s="177"/>
      <c r="AJ791" s="177"/>
      <c r="AK791" s="177"/>
      <c r="AL791" s="177"/>
    </row>
    <row r="792" spans="3:38" ht="15.75" customHeight="1" x14ac:dyDescent="0.25">
      <c r="C792" s="630"/>
      <c r="K792" s="177"/>
      <c r="M792" s="1"/>
      <c r="R792" s="1"/>
      <c r="S792" s="568"/>
      <c r="T792" s="568"/>
      <c r="U792" s="177"/>
      <c r="V792" s="177"/>
      <c r="Z792" s="1"/>
      <c r="AG792" s="177"/>
      <c r="AH792" s="177"/>
      <c r="AI792" s="177"/>
      <c r="AJ792" s="177"/>
      <c r="AK792" s="177"/>
      <c r="AL792" s="177"/>
    </row>
    <row r="793" spans="3:38" ht="15.75" customHeight="1" x14ac:dyDescent="0.25">
      <c r="C793" s="630"/>
      <c r="K793" s="177"/>
      <c r="M793" s="1"/>
      <c r="R793" s="1"/>
      <c r="S793" s="568"/>
      <c r="T793" s="568"/>
      <c r="U793" s="177"/>
      <c r="V793" s="177"/>
      <c r="Z793" s="1"/>
      <c r="AG793" s="177"/>
      <c r="AH793" s="177"/>
      <c r="AI793" s="177"/>
      <c r="AJ793" s="177"/>
      <c r="AK793" s="177"/>
      <c r="AL793" s="177"/>
    </row>
    <row r="794" spans="3:38" ht="15.75" customHeight="1" x14ac:dyDescent="0.25">
      <c r="C794" s="630"/>
      <c r="K794" s="177"/>
      <c r="M794" s="1"/>
      <c r="R794" s="1"/>
      <c r="S794" s="568"/>
      <c r="T794" s="568"/>
      <c r="U794" s="177"/>
      <c r="V794" s="177"/>
      <c r="Z794" s="1"/>
      <c r="AG794" s="177"/>
      <c r="AH794" s="177"/>
      <c r="AI794" s="177"/>
      <c r="AJ794" s="177"/>
      <c r="AK794" s="177"/>
      <c r="AL794" s="177"/>
    </row>
    <row r="795" spans="3:38" ht="15.75" customHeight="1" x14ac:dyDescent="0.25">
      <c r="C795" s="630"/>
      <c r="K795" s="177"/>
      <c r="M795" s="1"/>
      <c r="R795" s="1"/>
      <c r="S795" s="568"/>
      <c r="T795" s="568"/>
      <c r="U795" s="177"/>
      <c r="V795" s="177"/>
      <c r="Z795" s="1"/>
      <c r="AG795" s="177"/>
      <c r="AH795" s="177"/>
      <c r="AI795" s="177"/>
      <c r="AJ795" s="177"/>
      <c r="AK795" s="177"/>
      <c r="AL795" s="177"/>
    </row>
    <row r="796" spans="3:38" ht="15.75" customHeight="1" x14ac:dyDescent="0.25">
      <c r="C796" s="630"/>
      <c r="K796" s="177"/>
      <c r="M796" s="1"/>
      <c r="R796" s="1"/>
      <c r="S796" s="568"/>
      <c r="T796" s="568"/>
      <c r="U796" s="177"/>
      <c r="V796" s="177"/>
      <c r="Z796" s="1"/>
      <c r="AG796" s="177"/>
      <c r="AH796" s="177"/>
      <c r="AI796" s="177"/>
      <c r="AJ796" s="177"/>
      <c r="AK796" s="177"/>
      <c r="AL796" s="177"/>
    </row>
    <row r="797" spans="3:38" ht="15.75" customHeight="1" x14ac:dyDescent="0.25">
      <c r="C797" s="630"/>
      <c r="K797" s="177"/>
      <c r="M797" s="1"/>
      <c r="R797" s="1"/>
      <c r="S797" s="568"/>
      <c r="T797" s="568"/>
      <c r="U797" s="177"/>
      <c r="V797" s="177"/>
      <c r="Z797" s="1"/>
      <c r="AG797" s="177"/>
      <c r="AH797" s="177"/>
      <c r="AI797" s="177"/>
      <c r="AJ797" s="177"/>
      <c r="AK797" s="177"/>
      <c r="AL797" s="177"/>
    </row>
    <row r="798" spans="3:38" ht="15.75" customHeight="1" x14ac:dyDescent="0.25">
      <c r="C798" s="630"/>
      <c r="K798" s="177"/>
      <c r="M798" s="1"/>
      <c r="R798" s="1"/>
      <c r="S798" s="568"/>
      <c r="T798" s="568"/>
      <c r="U798" s="177"/>
      <c r="V798" s="177"/>
      <c r="Z798" s="1"/>
      <c r="AG798" s="177"/>
      <c r="AH798" s="177"/>
      <c r="AI798" s="177"/>
      <c r="AJ798" s="177"/>
      <c r="AK798" s="177"/>
      <c r="AL798" s="177"/>
    </row>
    <row r="799" spans="3:38" ht="15.75" customHeight="1" x14ac:dyDescent="0.25">
      <c r="C799" s="630"/>
      <c r="K799" s="177"/>
      <c r="M799" s="1"/>
      <c r="R799" s="1"/>
      <c r="S799" s="568"/>
      <c r="T799" s="568"/>
      <c r="U799" s="177"/>
      <c r="V799" s="177"/>
      <c r="Z799" s="1"/>
      <c r="AG799" s="177"/>
      <c r="AH799" s="177"/>
      <c r="AI799" s="177"/>
      <c r="AJ799" s="177"/>
      <c r="AK799" s="177"/>
      <c r="AL799" s="177"/>
    </row>
    <row r="800" spans="3:38" ht="15.75" customHeight="1" x14ac:dyDescent="0.25">
      <c r="C800" s="630"/>
      <c r="K800" s="177"/>
      <c r="M800" s="1"/>
      <c r="R800" s="1"/>
      <c r="S800" s="568"/>
      <c r="T800" s="568"/>
      <c r="U800" s="177"/>
      <c r="V800" s="177"/>
      <c r="Z800" s="1"/>
      <c r="AG800" s="177"/>
      <c r="AH800" s="177"/>
      <c r="AI800" s="177"/>
      <c r="AJ800" s="177"/>
      <c r="AK800" s="177"/>
      <c r="AL800" s="177"/>
    </row>
    <row r="801" spans="3:38" ht="15.75" customHeight="1" x14ac:dyDescent="0.25">
      <c r="C801" s="630"/>
      <c r="K801" s="177"/>
      <c r="M801" s="1"/>
      <c r="R801" s="1"/>
      <c r="S801" s="568"/>
      <c r="T801" s="568"/>
      <c r="U801" s="177"/>
      <c r="V801" s="177"/>
      <c r="Z801" s="1"/>
      <c r="AG801" s="177"/>
      <c r="AH801" s="177"/>
      <c r="AI801" s="177"/>
      <c r="AJ801" s="177"/>
      <c r="AK801" s="177"/>
      <c r="AL801" s="177"/>
    </row>
    <row r="802" spans="3:38" ht="15.75" customHeight="1" x14ac:dyDescent="0.25">
      <c r="C802" s="630"/>
      <c r="K802" s="177"/>
      <c r="M802" s="1"/>
      <c r="R802" s="1"/>
      <c r="S802" s="568"/>
      <c r="T802" s="568"/>
      <c r="U802" s="177"/>
      <c r="V802" s="177"/>
      <c r="Z802" s="1"/>
      <c r="AG802" s="177"/>
      <c r="AH802" s="177"/>
      <c r="AI802" s="177"/>
      <c r="AJ802" s="177"/>
      <c r="AK802" s="177"/>
      <c r="AL802" s="177"/>
    </row>
    <row r="803" spans="3:38" ht="15.75" customHeight="1" x14ac:dyDescent="0.25">
      <c r="C803" s="630"/>
      <c r="K803" s="177"/>
      <c r="M803" s="1"/>
      <c r="R803" s="1"/>
      <c r="S803" s="568"/>
      <c r="T803" s="568"/>
      <c r="U803" s="177"/>
      <c r="V803" s="177"/>
      <c r="Z803" s="1"/>
      <c r="AG803" s="177"/>
      <c r="AH803" s="177"/>
      <c r="AI803" s="177"/>
      <c r="AJ803" s="177"/>
      <c r="AK803" s="177"/>
      <c r="AL803" s="177"/>
    </row>
    <row r="804" spans="3:38" ht="15.75" customHeight="1" x14ac:dyDescent="0.25">
      <c r="C804" s="630"/>
      <c r="K804" s="177"/>
      <c r="M804" s="1"/>
      <c r="R804" s="1"/>
      <c r="S804" s="568"/>
      <c r="T804" s="568"/>
      <c r="U804" s="177"/>
      <c r="V804" s="177"/>
      <c r="Z804" s="1"/>
      <c r="AG804" s="177"/>
      <c r="AH804" s="177"/>
      <c r="AI804" s="177"/>
      <c r="AJ804" s="177"/>
      <c r="AK804" s="177"/>
      <c r="AL804" s="177"/>
    </row>
    <row r="805" spans="3:38" ht="15.75" customHeight="1" x14ac:dyDescent="0.25">
      <c r="C805" s="630"/>
      <c r="K805" s="177"/>
      <c r="M805" s="1"/>
      <c r="R805" s="1"/>
      <c r="S805" s="568"/>
      <c r="T805" s="568"/>
      <c r="U805" s="177"/>
      <c r="V805" s="177"/>
      <c r="Z805" s="1"/>
      <c r="AG805" s="177"/>
      <c r="AH805" s="177"/>
      <c r="AI805" s="177"/>
      <c r="AJ805" s="177"/>
      <c r="AK805" s="177"/>
      <c r="AL805" s="177"/>
    </row>
    <row r="806" spans="3:38" ht="15.75" customHeight="1" x14ac:dyDescent="0.25">
      <c r="C806" s="630"/>
      <c r="K806" s="177"/>
      <c r="M806" s="1"/>
      <c r="R806" s="1"/>
      <c r="S806" s="568"/>
      <c r="T806" s="568"/>
      <c r="U806" s="177"/>
      <c r="V806" s="177"/>
      <c r="Z806" s="1"/>
      <c r="AG806" s="177"/>
      <c r="AH806" s="177"/>
      <c r="AI806" s="177"/>
      <c r="AJ806" s="177"/>
      <c r="AK806" s="177"/>
      <c r="AL806" s="177"/>
    </row>
    <row r="807" spans="3:38" ht="15.75" customHeight="1" x14ac:dyDescent="0.25">
      <c r="C807" s="630"/>
      <c r="K807" s="177"/>
      <c r="M807" s="1"/>
      <c r="R807" s="1"/>
      <c r="S807" s="568"/>
      <c r="T807" s="568"/>
      <c r="U807" s="177"/>
      <c r="V807" s="177"/>
      <c r="Z807" s="1"/>
      <c r="AG807" s="177"/>
      <c r="AH807" s="177"/>
      <c r="AI807" s="177"/>
      <c r="AJ807" s="177"/>
      <c r="AK807" s="177"/>
      <c r="AL807" s="177"/>
    </row>
    <row r="808" spans="3:38" ht="15.75" customHeight="1" x14ac:dyDescent="0.25">
      <c r="C808" s="630"/>
      <c r="K808" s="177"/>
      <c r="M808" s="1"/>
      <c r="R808" s="1"/>
      <c r="S808" s="568"/>
      <c r="T808" s="568"/>
      <c r="U808" s="177"/>
      <c r="V808" s="177"/>
      <c r="Z808" s="1"/>
      <c r="AG808" s="177"/>
      <c r="AH808" s="177"/>
      <c r="AI808" s="177"/>
      <c r="AJ808" s="177"/>
      <c r="AK808" s="177"/>
      <c r="AL808" s="177"/>
    </row>
    <row r="809" spans="3:38" ht="15.75" customHeight="1" x14ac:dyDescent="0.25">
      <c r="C809" s="630"/>
      <c r="K809" s="177"/>
      <c r="M809" s="1"/>
      <c r="R809" s="1"/>
      <c r="S809" s="568"/>
      <c r="T809" s="568"/>
      <c r="U809" s="177"/>
      <c r="V809" s="177"/>
      <c r="Z809" s="1"/>
      <c r="AG809" s="177"/>
      <c r="AH809" s="177"/>
      <c r="AI809" s="177"/>
      <c r="AJ809" s="177"/>
      <c r="AK809" s="177"/>
      <c r="AL809" s="177"/>
    </row>
    <row r="810" spans="3:38" ht="15.75" customHeight="1" x14ac:dyDescent="0.25">
      <c r="C810" s="630"/>
      <c r="K810" s="177"/>
      <c r="M810" s="1"/>
      <c r="R810" s="1"/>
      <c r="S810" s="568"/>
      <c r="T810" s="568"/>
      <c r="U810" s="177"/>
      <c r="V810" s="177"/>
      <c r="Z810" s="1"/>
      <c r="AG810" s="177"/>
      <c r="AH810" s="177"/>
      <c r="AI810" s="177"/>
      <c r="AJ810" s="177"/>
      <c r="AK810" s="177"/>
      <c r="AL810" s="177"/>
    </row>
    <row r="811" spans="3:38" ht="15.75" customHeight="1" x14ac:dyDescent="0.25">
      <c r="C811" s="630"/>
      <c r="K811" s="177"/>
      <c r="M811" s="1"/>
      <c r="R811" s="1"/>
      <c r="S811" s="568"/>
      <c r="T811" s="568"/>
      <c r="U811" s="177"/>
      <c r="V811" s="177"/>
      <c r="Z811" s="1"/>
      <c r="AG811" s="177"/>
      <c r="AH811" s="177"/>
      <c r="AI811" s="177"/>
      <c r="AJ811" s="177"/>
      <c r="AK811" s="177"/>
      <c r="AL811" s="177"/>
    </row>
    <row r="812" spans="3:38" ht="15.75" customHeight="1" x14ac:dyDescent="0.25">
      <c r="C812" s="630"/>
      <c r="K812" s="177"/>
      <c r="M812" s="1"/>
      <c r="R812" s="1"/>
      <c r="S812" s="568"/>
      <c r="T812" s="568"/>
      <c r="U812" s="177"/>
      <c r="V812" s="177"/>
      <c r="Z812" s="1"/>
      <c r="AG812" s="177"/>
      <c r="AH812" s="177"/>
      <c r="AI812" s="177"/>
      <c r="AJ812" s="177"/>
      <c r="AK812" s="177"/>
      <c r="AL812" s="177"/>
    </row>
    <row r="813" spans="3:38" ht="15.75" customHeight="1" x14ac:dyDescent="0.25">
      <c r="C813" s="630"/>
      <c r="K813" s="177"/>
      <c r="M813" s="1"/>
      <c r="R813" s="1"/>
      <c r="S813" s="568"/>
      <c r="T813" s="568"/>
      <c r="U813" s="177"/>
      <c r="V813" s="177"/>
      <c r="Z813" s="1"/>
      <c r="AG813" s="177"/>
      <c r="AH813" s="177"/>
      <c r="AI813" s="177"/>
      <c r="AJ813" s="177"/>
      <c r="AK813" s="177"/>
      <c r="AL813" s="177"/>
    </row>
    <row r="814" spans="3:38" ht="15.75" customHeight="1" x14ac:dyDescent="0.25">
      <c r="C814" s="630"/>
      <c r="K814" s="177"/>
      <c r="M814" s="1"/>
      <c r="R814" s="1"/>
      <c r="S814" s="568"/>
      <c r="T814" s="568"/>
      <c r="U814" s="177"/>
      <c r="V814" s="177"/>
      <c r="Z814" s="1"/>
      <c r="AG814" s="177"/>
      <c r="AH814" s="177"/>
      <c r="AI814" s="177"/>
      <c r="AJ814" s="177"/>
      <c r="AK814" s="177"/>
      <c r="AL814" s="177"/>
    </row>
    <row r="815" spans="3:38" ht="15.75" customHeight="1" x14ac:dyDescent="0.25">
      <c r="C815" s="630"/>
      <c r="K815" s="177"/>
      <c r="M815" s="1"/>
      <c r="R815" s="1"/>
      <c r="S815" s="568"/>
      <c r="T815" s="568"/>
      <c r="U815" s="177"/>
      <c r="V815" s="177"/>
      <c r="Z815" s="1"/>
      <c r="AG815" s="177"/>
      <c r="AH815" s="177"/>
      <c r="AI815" s="177"/>
      <c r="AJ815" s="177"/>
      <c r="AK815" s="177"/>
      <c r="AL815" s="177"/>
    </row>
    <row r="816" spans="3:38" ht="15.75" customHeight="1" x14ac:dyDescent="0.25">
      <c r="C816" s="630"/>
      <c r="K816" s="177"/>
      <c r="M816" s="1"/>
      <c r="R816" s="1"/>
      <c r="S816" s="568"/>
      <c r="T816" s="568"/>
      <c r="U816" s="177"/>
      <c r="V816" s="177"/>
      <c r="Z816" s="1"/>
      <c r="AG816" s="177"/>
      <c r="AH816" s="177"/>
      <c r="AI816" s="177"/>
      <c r="AJ816" s="177"/>
      <c r="AK816" s="177"/>
      <c r="AL816" s="177"/>
    </row>
    <row r="817" spans="3:38" ht="15.75" customHeight="1" x14ac:dyDescent="0.25">
      <c r="C817" s="630"/>
      <c r="K817" s="177"/>
      <c r="M817" s="1"/>
      <c r="R817" s="1"/>
      <c r="S817" s="568"/>
      <c r="T817" s="568"/>
      <c r="U817" s="177"/>
      <c r="V817" s="177"/>
      <c r="Z817" s="1"/>
      <c r="AG817" s="177"/>
      <c r="AH817" s="177"/>
      <c r="AI817" s="177"/>
      <c r="AJ817" s="177"/>
      <c r="AK817" s="177"/>
      <c r="AL817" s="177"/>
    </row>
    <row r="818" spans="3:38" ht="15.75" customHeight="1" x14ac:dyDescent="0.25">
      <c r="C818" s="630"/>
      <c r="K818" s="177"/>
      <c r="M818" s="1"/>
      <c r="R818" s="1"/>
      <c r="S818" s="568"/>
      <c r="T818" s="568"/>
      <c r="U818" s="177"/>
      <c r="V818" s="177"/>
      <c r="Z818" s="1"/>
      <c r="AG818" s="177"/>
      <c r="AH818" s="177"/>
      <c r="AI818" s="177"/>
      <c r="AJ818" s="177"/>
      <c r="AK818" s="177"/>
      <c r="AL818" s="177"/>
    </row>
    <row r="819" spans="3:38" ht="15.75" customHeight="1" x14ac:dyDescent="0.25">
      <c r="C819" s="630"/>
      <c r="K819" s="177"/>
      <c r="M819" s="1"/>
      <c r="R819" s="1"/>
      <c r="S819" s="568"/>
      <c r="T819" s="568"/>
      <c r="U819" s="177"/>
      <c r="V819" s="177"/>
      <c r="Z819" s="1"/>
      <c r="AG819" s="177"/>
      <c r="AH819" s="177"/>
      <c r="AI819" s="177"/>
      <c r="AJ819" s="177"/>
      <c r="AK819" s="177"/>
      <c r="AL819" s="177"/>
    </row>
    <row r="820" spans="3:38" ht="15.75" customHeight="1" x14ac:dyDescent="0.25">
      <c r="C820" s="630"/>
      <c r="K820" s="177"/>
      <c r="M820" s="1"/>
      <c r="R820" s="1"/>
      <c r="S820" s="568"/>
      <c r="T820" s="568"/>
      <c r="U820" s="177"/>
      <c r="V820" s="177"/>
      <c r="Z820" s="1"/>
      <c r="AG820" s="177"/>
      <c r="AH820" s="177"/>
      <c r="AI820" s="177"/>
      <c r="AJ820" s="177"/>
      <c r="AK820" s="177"/>
      <c r="AL820" s="177"/>
    </row>
    <row r="821" spans="3:38" ht="15.75" customHeight="1" x14ac:dyDescent="0.25">
      <c r="C821" s="630"/>
      <c r="K821" s="177"/>
      <c r="M821" s="1"/>
      <c r="R821" s="1"/>
      <c r="S821" s="568"/>
      <c r="T821" s="568"/>
      <c r="U821" s="177"/>
      <c r="V821" s="177"/>
      <c r="Z821" s="1"/>
      <c r="AG821" s="177"/>
      <c r="AH821" s="177"/>
      <c r="AI821" s="177"/>
      <c r="AJ821" s="177"/>
      <c r="AK821" s="177"/>
      <c r="AL821" s="177"/>
    </row>
    <row r="822" spans="3:38" ht="15.75" customHeight="1" x14ac:dyDescent="0.25">
      <c r="C822" s="630"/>
      <c r="K822" s="177"/>
      <c r="M822" s="1"/>
      <c r="R822" s="1"/>
      <c r="S822" s="568"/>
      <c r="T822" s="568"/>
      <c r="U822" s="177"/>
      <c r="V822" s="177"/>
      <c r="Z822" s="1"/>
      <c r="AG822" s="177"/>
      <c r="AH822" s="177"/>
      <c r="AI822" s="177"/>
      <c r="AJ822" s="177"/>
      <c r="AK822" s="177"/>
      <c r="AL822" s="177"/>
    </row>
    <row r="823" spans="3:38" ht="15.75" customHeight="1" x14ac:dyDescent="0.25">
      <c r="C823" s="630"/>
      <c r="K823" s="177"/>
      <c r="M823" s="1"/>
      <c r="R823" s="1"/>
      <c r="S823" s="568"/>
      <c r="T823" s="568"/>
      <c r="U823" s="177"/>
      <c r="V823" s="177"/>
      <c r="Z823" s="1"/>
      <c r="AG823" s="177"/>
      <c r="AH823" s="177"/>
      <c r="AI823" s="177"/>
      <c r="AJ823" s="177"/>
      <c r="AK823" s="177"/>
      <c r="AL823" s="177"/>
    </row>
    <row r="824" spans="3:38" ht="15.75" customHeight="1" x14ac:dyDescent="0.25">
      <c r="C824" s="630"/>
      <c r="K824" s="177"/>
      <c r="M824" s="1"/>
      <c r="R824" s="1"/>
      <c r="S824" s="568"/>
      <c r="T824" s="568"/>
      <c r="U824" s="177"/>
      <c r="V824" s="177"/>
      <c r="Z824" s="1"/>
      <c r="AG824" s="177"/>
      <c r="AH824" s="177"/>
      <c r="AI824" s="177"/>
      <c r="AJ824" s="177"/>
      <c r="AK824" s="177"/>
      <c r="AL824" s="177"/>
    </row>
    <row r="825" spans="3:38" ht="15.75" customHeight="1" x14ac:dyDescent="0.25">
      <c r="C825" s="630"/>
      <c r="K825" s="177"/>
      <c r="M825" s="1"/>
      <c r="R825" s="1"/>
      <c r="S825" s="568"/>
      <c r="T825" s="568"/>
      <c r="U825" s="177"/>
      <c r="V825" s="177"/>
      <c r="Z825" s="1"/>
      <c r="AG825" s="177"/>
      <c r="AH825" s="177"/>
      <c r="AI825" s="177"/>
      <c r="AJ825" s="177"/>
      <c r="AK825" s="177"/>
      <c r="AL825" s="177"/>
    </row>
    <row r="826" spans="3:38" ht="15.75" customHeight="1" x14ac:dyDescent="0.25">
      <c r="C826" s="630"/>
      <c r="K826" s="177"/>
      <c r="M826" s="1"/>
      <c r="R826" s="1"/>
      <c r="S826" s="568"/>
      <c r="T826" s="568"/>
      <c r="U826" s="177"/>
      <c r="V826" s="177"/>
      <c r="Z826" s="1"/>
      <c r="AG826" s="177"/>
      <c r="AH826" s="177"/>
      <c r="AI826" s="177"/>
      <c r="AJ826" s="177"/>
      <c r="AK826" s="177"/>
      <c r="AL826" s="177"/>
    </row>
    <row r="827" spans="3:38" ht="15.75" customHeight="1" x14ac:dyDescent="0.25">
      <c r="C827" s="630"/>
      <c r="K827" s="177"/>
      <c r="M827" s="1"/>
      <c r="R827" s="1"/>
      <c r="S827" s="568"/>
      <c r="T827" s="568"/>
      <c r="U827" s="177"/>
      <c r="V827" s="177"/>
      <c r="Z827" s="1"/>
      <c r="AG827" s="177"/>
      <c r="AH827" s="177"/>
      <c r="AI827" s="177"/>
      <c r="AJ827" s="177"/>
      <c r="AK827" s="177"/>
      <c r="AL827" s="177"/>
    </row>
    <row r="828" spans="3:38" ht="15.75" customHeight="1" x14ac:dyDescent="0.25">
      <c r="C828" s="630"/>
      <c r="K828" s="177"/>
      <c r="M828" s="1"/>
      <c r="R828" s="1"/>
      <c r="S828" s="568"/>
      <c r="T828" s="568"/>
      <c r="U828" s="177"/>
      <c r="V828" s="177"/>
      <c r="Z828" s="1"/>
      <c r="AG828" s="177"/>
      <c r="AH828" s="177"/>
      <c r="AI828" s="177"/>
      <c r="AJ828" s="177"/>
      <c r="AK828" s="177"/>
      <c r="AL828" s="177"/>
    </row>
    <row r="829" spans="3:38" ht="15.75" customHeight="1" x14ac:dyDescent="0.25">
      <c r="C829" s="630"/>
      <c r="K829" s="177"/>
      <c r="M829" s="1"/>
      <c r="R829" s="1"/>
      <c r="S829" s="568"/>
      <c r="T829" s="568"/>
      <c r="U829" s="177"/>
      <c r="V829" s="177"/>
      <c r="Z829" s="1"/>
      <c r="AG829" s="177"/>
      <c r="AH829" s="177"/>
      <c r="AI829" s="177"/>
      <c r="AJ829" s="177"/>
      <c r="AK829" s="177"/>
      <c r="AL829" s="177"/>
    </row>
    <row r="830" spans="3:38" ht="15.75" customHeight="1" x14ac:dyDescent="0.25">
      <c r="C830" s="630"/>
      <c r="K830" s="177"/>
      <c r="M830" s="1"/>
      <c r="R830" s="1"/>
      <c r="S830" s="568"/>
      <c r="T830" s="568"/>
      <c r="U830" s="177"/>
      <c r="V830" s="177"/>
      <c r="Z830" s="1"/>
      <c r="AG830" s="177"/>
      <c r="AH830" s="177"/>
      <c r="AI830" s="177"/>
      <c r="AJ830" s="177"/>
      <c r="AK830" s="177"/>
      <c r="AL830" s="177"/>
    </row>
    <row r="831" spans="3:38" ht="15.75" customHeight="1" x14ac:dyDescent="0.25">
      <c r="C831" s="630"/>
      <c r="K831" s="177"/>
      <c r="M831" s="1"/>
      <c r="R831" s="1"/>
      <c r="S831" s="568"/>
      <c r="T831" s="568"/>
      <c r="U831" s="177"/>
      <c r="V831" s="177"/>
      <c r="Z831" s="1"/>
      <c r="AG831" s="177"/>
      <c r="AH831" s="177"/>
      <c r="AI831" s="177"/>
      <c r="AJ831" s="177"/>
      <c r="AK831" s="177"/>
      <c r="AL831" s="177"/>
    </row>
    <row r="832" spans="3:38" ht="15.75" customHeight="1" x14ac:dyDescent="0.25">
      <c r="C832" s="630"/>
      <c r="K832" s="177"/>
      <c r="M832" s="1"/>
      <c r="R832" s="1"/>
      <c r="S832" s="568"/>
      <c r="T832" s="568"/>
      <c r="U832" s="177"/>
      <c r="V832" s="177"/>
      <c r="Z832" s="1"/>
      <c r="AG832" s="177"/>
      <c r="AH832" s="177"/>
      <c r="AI832" s="177"/>
      <c r="AJ832" s="177"/>
      <c r="AK832" s="177"/>
      <c r="AL832" s="177"/>
    </row>
    <row r="833" spans="3:38" ht="15.75" customHeight="1" x14ac:dyDescent="0.25">
      <c r="C833" s="630"/>
      <c r="K833" s="177"/>
      <c r="M833" s="1"/>
      <c r="R833" s="1"/>
      <c r="S833" s="568"/>
      <c r="T833" s="568"/>
      <c r="U833" s="177"/>
      <c r="V833" s="177"/>
      <c r="Z833" s="1"/>
      <c r="AG833" s="177"/>
      <c r="AH833" s="177"/>
      <c r="AI833" s="177"/>
      <c r="AJ833" s="177"/>
      <c r="AK833" s="177"/>
      <c r="AL833" s="177"/>
    </row>
    <row r="834" spans="3:38" ht="15.75" customHeight="1" x14ac:dyDescent="0.25">
      <c r="C834" s="630"/>
      <c r="K834" s="177"/>
      <c r="M834" s="1"/>
      <c r="R834" s="1"/>
      <c r="S834" s="568"/>
      <c r="T834" s="568"/>
      <c r="U834" s="177"/>
      <c r="V834" s="177"/>
      <c r="Z834" s="1"/>
      <c r="AG834" s="177"/>
      <c r="AH834" s="177"/>
      <c r="AI834" s="177"/>
      <c r="AJ834" s="177"/>
      <c r="AK834" s="177"/>
      <c r="AL834" s="177"/>
    </row>
    <row r="835" spans="3:38" ht="15.75" customHeight="1" x14ac:dyDescent="0.25">
      <c r="C835" s="630"/>
      <c r="K835" s="177"/>
      <c r="M835" s="1"/>
      <c r="R835" s="1"/>
      <c r="S835" s="568"/>
      <c r="T835" s="568"/>
      <c r="U835" s="177"/>
      <c r="V835" s="177"/>
      <c r="Z835" s="1"/>
      <c r="AG835" s="177"/>
      <c r="AH835" s="177"/>
      <c r="AI835" s="177"/>
      <c r="AJ835" s="177"/>
      <c r="AK835" s="177"/>
      <c r="AL835" s="177"/>
    </row>
    <row r="836" spans="3:38" ht="15.75" customHeight="1" x14ac:dyDescent="0.25">
      <c r="C836" s="630"/>
      <c r="K836" s="177"/>
      <c r="M836" s="1"/>
      <c r="R836" s="1"/>
      <c r="S836" s="568"/>
      <c r="T836" s="568"/>
      <c r="U836" s="177"/>
      <c r="V836" s="177"/>
      <c r="Z836" s="1"/>
      <c r="AG836" s="177"/>
      <c r="AH836" s="177"/>
      <c r="AI836" s="177"/>
      <c r="AJ836" s="177"/>
      <c r="AK836" s="177"/>
      <c r="AL836" s="177"/>
    </row>
    <row r="837" spans="3:38" ht="15.75" customHeight="1" x14ac:dyDescent="0.25">
      <c r="C837" s="630"/>
      <c r="K837" s="177"/>
      <c r="M837" s="1"/>
      <c r="R837" s="1"/>
      <c r="S837" s="568"/>
      <c r="T837" s="568"/>
      <c r="U837" s="177"/>
      <c r="V837" s="177"/>
      <c r="Z837" s="1"/>
      <c r="AG837" s="177"/>
      <c r="AH837" s="177"/>
      <c r="AI837" s="177"/>
      <c r="AJ837" s="177"/>
      <c r="AK837" s="177"/>
      <c r="AL837" s="177"/>
    </row>
    <row r="838" spans="3:38" ht="15.75" customHeight="1" x14ac:dyDescent="0.25">
      <c r="C838" s="630"/>
      <c r="K838" s="177"/>
      <c r="M838" s="1"/>
      <c r="R838" s="1"/>
      <c r="S838" s="568"/>
      <c r="T838" s="568"/>
      <c r="U838" s="177"/>
      <c r="V838" s="177"/>
      <c r="Z838" s="1"/>
      <c r="AG838" s="177"/>
      <c r="AH838" s="177"/>
      <c r="AI838" s="177"/>
      <c r="AJ838" s="177"/>
      <c r="AK838" s="177"/>
      <c r="AL838" s="177"/>
    </row>
    <row r="839" spans="3:38" ht="15.75" customHeight="1" x14ac:dyDescent="0.25">
      <c r="C839" s="630"/>
      <c r="K839" s="177"/>
      <c r="M839" s="1"/>
      <c r="R839" s="1"/>
      <c r="S839" s="568"/>
      <c r="T839" s="568"/>
      <c r="U839" s="177"/>
      <c r="V839" s="177"/>
      <c r="Z839" s="1"/>
      <c r="AG839" s="177"/>
      <c r="AH839" s="177"/>
      <c r="AI839" s="177"/>
      <c r="AJ839" s="177"/>
      <c r="AK839" s="177"/>
      <c r="AL839" s="177"/>
    </row>
    <row r="840" spans="3:38" ht="15.75" customHeight="1" x14ac:dyDescent="0.25">
      <c r="C840" s="630"/>
      <c r="K840" s="177"/>
      <c r="M840" s="1"/>
      <c r="R840" s="1"/>
      <c r="S840" s="568"/>
      <c r="T840" s="568"/>
      <c r="U840" s="177"/>
      <c r="V840" s="177"/>
      <c r="Z840" s="1"/>
      <c r="AG840" s="177"/>
      <c r="AH840" s="177"/>
      <c r="AI840" s="177"/>
      <c r="AJ840" s="177"/>
      <c r="AK840" s="177"/>
      <c r="AL840" s="177"/>
    </row>
    <row r="841" spans="3:38" ht="15.75" customHeight="1" x14ac:dyDescent="0.25">
      <c r="C841" s="630"/>
      <c r="K841" s="177"/>
      <c r="M841" s="1"/>
      <c r="R841" s="1"/>
      <c r="S841" s="568"/>
      <c r="T841" s="568"/>
      <c r="U841" s="177"/>
      <c r="V841" s="177"/>
      <c r="Z841" s="1"/>
      <c r="AG841" s="177"/>
      <c r="AH841" s="177"/>
      <c r="AI841" s="177"/>
      <c r="AJ841" s="177"/>
      <c r="AK841" s="177"/>
      <c r="AL841" s="177"/>
    </row>
    <row r="842" spans="3:38" ht="15.75" customHeight="1" x14ac:dyDescent="0.25">
      <c r="C842" s="630"/>
      <c r="K842" s="177"/>
      <c r="M842" s="1"/>
      <c r="R842" s="1"/>
      <c r="S842" s="568"/>
      <c r="T842" s="568"/>
      <c r="U842" s="177"/>
      <c r="V842" s="177"/>
      <c r="Z842" s="1"/>
      <c r="AG842" s="177"/>
      <c r="AH842" s="177"/>
      <c r="AI842" s="177"/>
      <c r="AJ842" s="177"/>
      <c r="AK842" s="177"/>
      <c r="AL842" s="177"/>
    </row>
    <row r="843" spans="3:38" ht="15.75" customHeight="1" x14ac:dyDescent="0.25">
      <c r="C843" s="630"/>
      <c r="K843" s="177"/>
      <c r="M843" s="1"/>
      <c r="R843" s="1"/>
      <c r="S843" s="568"/>
      <c r="T843" s="568"/>
      <c r="U843" s="177"/>
      <c r="V843" s="177"/>
      <c r="Z843" s="1"/>
      <c r="AG843" s="177"/>
      <c r="AH843" s="177"/>
      <c r="AI843" s="177"/>
      <c r="AJ843" s="177"/>
      <c r="AK843" s="177"/>
      <c r="AL843" s="177"/>
    </row>
    <row r="844" spans="3:38" ht="15.75" customHeight="1" x14ac:dyDescent="0.25">
      <c r="C844" s="630"/>
      <c r="K844" s="177"/>
      <c r="M844" s="1"/>
      <c r="R844" s="1"/>
      <c r="S844" s="568"/>
      <c r="T844" s="568"/>
      <c r="U844" s="177"/>
      <c r="V844" s="177"/>
      <c r="Z844" s="1"/>
      <c r="AG844" s="177"/>
      <c r="AH844" s="177"/>
      <c r="AI844" s="177"/>
      <c r="AJ844" s="177"/>
      <c r="AK844" s="177"/>
      <c r="AL844" s="177"/>
    </row>
    <row r="845" spans="3:38" ht="15.75" customHeight="1" x14ac:dyDescent="0.25">
      <c r="C845" s="630"/>
      <c r="K845" s="177"/>
      <c r="M845" s="1"/>
      <c r="R845" s="1"/>
      <c r="S845" s="568"/>
      <c r="T845" s="568"/>
      <c r="U845" s="177"/>
      <c r="V845" s="177"/>
      <c r="Z845" s="1"/>
      <c r="AG845" s="177"/>
      <c r="AH845" s="177"/>
      <c r="AI845" s="177"/>
      <c r="AJ845" s="177"/>
      <c r="AK845" s="177"/>
      <c r="AL845" s="177"/>
    </row>
    <row r="846" spans="3:38" ht="15.75" customHeight="1" x14ac:dyDescent="0.25">
      <c r="C846" s="630"/>
      <c r="K846" s="177"/>
      <c r="M846" s="1"/>
      <c r="R846" s="1"/>
      <c r="S846" s="568"/>
      <c r="T846" s="568"/>
      <c r="U846" s="177"/>
      <c r="V846" s="177"/>
      <c r="Z846" s="1"/>
      <c r="AG846" s="177"/>
      <c r="AH846" s="177"/>
      <c r="AI846" s="177"/>
      <c r="AJ846" s="177"/>
      <c r="AK846" s="177"/>
      <c r="AL846" s="177"/>
    </row>
    <row r="847" spans="3:38" ht="15.75" customHeight="1" x14ac:dyDescent="0.25">
      <c r="C847" s="630"/>
      <c r="K847" s="177"/>
      <c r="M847" s="1"/>
      <c r="R847" s="1"/>
      <c r="S847" s="568"/>
      <c r="T847" s="568"/>
      <c r="U847" s="177"/>
      <c r="V847" s="177"/>
      <c r="Z847" s="1"/>
      <c r="AG847" s="177"/>
      <c r="AH847" s="177"/>
      <c r="AI847" s="177"/>
      <c r="AJ847" s="177"/>
      <c r="AK847" s="177"/>
      <c r="AL847" s="177"/>
    </row>
    <row r="848" spans="3:38" ht="15.75" customHeight="1" x14ac:dyDescent="0.25">
      <c r="C848" s="630"/>
      <c r="K848" s="177"/>
      <c r="M848" s="1"/>
      <c r="R848" s="1"/>
      <c r="S848" s="568"/>
      <c r="T848" s="568"/>
      <c r="U848" s="177"/>
      <c r="V848" s="177"/>
      <c r="Z848" s="1"/>
      <c r="AG848" s="177"/>
      <c r="AH848" s="177"/>
      <c r="AI848" s="177"/>
      <c r="AJ848" s="177"/>
      <c r="AK848" s="177"/>
      <c r="AL848" s="177"/>
    </row>
    <row r="849" spans="3:38" ht="15.75" customHeight="1" x14ac:dyDescent="0.25">
      <c r="C849" s="630"/>
      <c r="K849" s="177"/>
      <c r="M849" s="1"/>
      <c r="R849" s="1"/>
      <c r="S849" s="568"/>
      <c r="T849" s="568"/>
      <c r="U849" s="177"/>
      <c r="V849" s="177"/>
      <c r="Z849" s="1"/>
      <c r="AG849" s="177"/>
      <c r="AH849" s="177"/>
      <c r="AI849" s="177"/>
      <c r="AJ849" s="177"/>
      <c r="AK849" s="177"/>
      <c r="AL849" s="177"/>
    </row>
    <row r="850" spans="3:38" ht="15.75" customHeight="1" x14ac:dyDescent="0.25">
      <c r="C850" s="630"/>
      <c r="K850" s="177"/>
      <c r="M850" s="1"/>
      <c r="R850" s="1"/>
      <c r="S850" s="568"/>
      <c r="T850" s="568"/>
      <c r="U850" s="177"/>
      <c r="V850" s="177"/>
      <c r="Z850" s="1"/>
      <c r="AG850" s="177"/>
      <c r="AH850" s="177"/>
      <c r="AI850" s="177"/>
      <c r="AJ850" s="177"/>
      <c r="AK850" s="177"/>
      <c r="AL850" s="177"/>
    </row>
    <row r="851" spans="3:38" ht="15.75" customHeight="1" x14ac:dyDescent="0.25">
      <c r="C851" s="630"/>
      <c r="K851" s="177"/>
      <c r="M851" s="1"/>
      <c r="R851" s="1"/>
      <c r="S851" s="568"/>
      <c r="T851" s="568"/>
      <c r="U851" s="177"/>
      <c r="V851" s="177"/>
      <c r="Z851" s="1"/>
      <c r="AG851" s="177"/>
      <c r="AH851" s="177"/>
      <c r="AI851" s="177"/>
      <c r="AJ851" s="177"/>
      <c r="AK851" s="177"/>
      <c r="AL851" s="177"/>
    </row>
    <row r="852" spans="3:38" ht="15.75" customHeight="1" x14ac:dyDescent="0.25">
      <c r="C852" s="630"/>
      <c r="K852" s="177"/>
      <c r="M852" s="1"/>
      <c r="R852" s="1"/>
      <c r="S852" s="568"/>
      <c r="T852" s="568"/>
      <c r="U852" s="177"/>
      <c r="V852" s="177"/>
      <c r="Z852" s="1"/>
      <c r="AG852" s="177"/>
      <c r="AH852" s="177"/>
      <c r="AI852" s="177"/>
      <c r="AJ852" s="177"/>
      <c r="AK852" s="177"/>
      <c r="AL852" s="177"/>
    </row>
    <row r="853" spans="3:38" ht="15.75" customHeight="1" x14ac:dyDescent="0.25">
      <c r="C853" s="630"/>
      <c r="K853" s="177"/>
      <c r="M853" s="1"/>
      <c r="R853" s="1"/>
      <c r="S853" s="568"/>
      <c r="T853" s="568"/>
      <c r="U853" s="177"/>
      <c r="V853" s="177"/>
      <c r="Z853" s="1"/>
      <c r="AG853" s="177"/>
      <c r="AH853" s="177"/>
      <c r="AI853" s="177"/>
      <c r="AJ853" s="177"/>
      <c r="AK853" s="177"/>
      <c r="AL853" s="177"/>
    </row>
    <row r="854" spans="3:38" ht="15.75" customHeight="1" x14ac:dyDescent="0.25">
      <c r="C854" s="630"/>
      <c r="K854" s="177"/>
      <c r="M854" s="1"/>
      <c r="R854" s="1"/>
      <c r="S854" s="568"/>
      <c r="T854" s="568"/>
      <c r="U854" s="177"/>
      <c r="V854" s="177"/>
      <c r="Z854" s="1"/>
      <c r="AG854" s="177"/>
      <c r="AH854" s="177"/>
      <c r="AI854" s="177"/>
      <c r="AJ854" s="177"/>
      <c r="AK854" s="177"/>
      <c r="AL854" s="177"/>
    </row>
    <row r="855" spans="3:38" ht="15.75" customHeight="1" x14ac:dyDescent="0.25">
      <c r="C855" s="630"/>
      <c r="K855" s="177"/>
      <c r="M855" s="1"/>
      <c r="R855" s="1"/>
      <c r="S855" s="568"/>
      <c r="T855" s="568"/>
      <c r="U855" s="177"/>
      <c r="V855" s="177"/>
      <c r="Z855" s="1"/>
      <c r="AG855" s="177"/>
      <c r="AH855" s="177"/>
      <c r="AI855" s="177"/>
      <c r="AJ855" s="177"/>
      <c r="AK855" s="177"/>
      <c r="AL855" s="177"/>
    </row>
    <row r="856" spans="3:38" ht="15.75" customHeight="1" x14ac:dyDescent="0.25">
      <c r="C856" s="630"/>
      <c r="K856" s="177"/>
      <c r="M856" s="1"/>
      <c r="R856" s="1"/>
      <c r="S856" s="568"/>
      <c r="T856" s="568"/>
      <c r="U856" s="177"/>
      <c r="V856" s="177"/>
      <c r="Z856" s="1"/>
      <c r="AG856" s="177"/>
      <c r="AH856" s="177"/>
      <c r="AI856" s="177"/>
      <c r="AJ856" s="177"/>
      <c r="AK856" s="177"/>
      <c r="AL856" s="177"/>
    </row>
    <row r="857" spans="3:38" ht="15.75" customHeight="1" x14ac:dyDescent="0.25">
      <c r="C857" s="630"/>
      <c r="K857" s="177"/>
      <c r="M857" s="1"/>
      <c r="R857" s="1"/>
      <c r="S857" s="568"/>
      <c r="T857" s="568"/>
      <c r="U857" s="177"/>
      <c r="V857" s="177"/>
      <c r="Z857" s="1"/>
      <c r="AG857" s="177"/>
      <c r="AH857" s="177"/>
      <c r="AI857" s="177"/>
      <c r="AJ857" s="177"/>
      <c r="AK857" s="177"/>
      <c r="AL857" s="177"/>
    </row>
    <row r="858" spans="3:38" ht="15.75" customHeight="1" x14ac:dyDescent="0.25">
      <c r="C858" s="630"/>
      <c r="K858" s="177"/>
      <c r="M858" s="1"/>
      <c r="R858" s="1"/>
      <c r="S858" s="568"/>
      <c r="T858" s="568"/>
      <c r="U858" s="177"/>
      <c r="V858" s="177"/>
      <c r="Z858" s="1"/>
      <c r="AG858" s="177"/>
      <c r="AH858" s="177"/>
      <c r="AI858" s="177"/>
      <c r="AJ858" s="177"/>
      <c r="AK858" s="177"/>
      <c r="AL858" s="177"/>
    </row>
    <row r="859" spans="3:38" ht="15.75" customHeight="1" x14ac:dyDescent="0.25">
      <c r="C859" s="630"/>
      <c r="K859" s="177"/>
      <c r="M859" s="1"/>
      <c r="R859" s="1"/>
      <c r="S859" s="568"/>
      <c r="T859" s="568"/>
      <c r="U859" s="177"/>
      <c r="V859" s="177"/>
      <c r="Z859" s="1"/>
      <c r="AG859" s="177"/>
      <c r="AH859" s="177"/>
      <c r="AI859" s="177"/>
      <c r="AJ859" s="177"/>
      <c r="AK859" s="177"/>
      <c r="AL859" s="177"/>
    </row>
    <row r="860" spans="3:38" ht="15.75" customHeight="1" x14ac:dyDescent="0.25">
      <c r="C860" s="630"/>
      <c r="K860" s="177"/>
      <c r="M860" s="1"/>
      <c r="R860" s="1"/>
      <c r="S860" s="568"/>
      <c r="T860" s="568"/>
      <c r="U860" s="177"/>
      <c r="V860" s="177"/>
      <c r="Z860" s="1"/>
      <c r="AG860" s="177"/>
      <c r="AH860" s="177"/>
      <c r="AI860" s="177"/>
      <c r="AJ860" s="177"/>
      <c r="AK860" s="177"/>
      <c r="AL860" s="177"/>
    </row>
    <row r="861" spans="3:38" ht="15.75" customHeight="1" x14ac:dyDescent="0.25">
      <c r="C861" s="630"/>
      <c r="K861" s="177"/>
      <c r="M861" s="1"/>
      <c r="R861" s="1"/>
      <c r="S861" s="568"/>
      <c r="T861" s="568"/>
      <c r="U861" s="177"/>
      <c r="V861" s="177"/>
      <c r="Z861" s="1"/>
      <c r="AG861" s="177"/>
      <c r="AH861" s="177"/>
      <c r="AI861" s="177"/>
      <c r="AJ861" s="177"/>
      <c r="AK861" s="177"/>
      <c r="AL861" s="177"/>
    </row>
    <row r="862" spans="3:38" ht="15.75" customHeight="1" x14ac:dyDescent="0.25">
      <c r="C862" s="630"/>
      <c r="K862" s="177"/>
      <c r="M862" s="1"/>
      <c r="R862" s="1"/>
      <c r="S862" s="568"/>
      <c r="T862" s="568"/>
      <c r="U862" s="177"/>
      <c r="V862" s="177"/>
      <c r="Z862" s="1"/>
      <c r="AG862" s="177"/>
      <c r="AH862" s="177"/>
      <c r="AI862" s="177"/>
      <c r="AJ862" s="177"/>
      <c r="AK862" s="177"/>
      <c r="AL862" s="177"/>
    </row>
    <row r="863" spans="3:38" ht="15.75" customHeight="1" x14ac:dyDescent="0.25">
      <c r="C863" s="630"/>
      <c r="K863" s="177"/>
      <c r="M863" s="1"/>
      <c r="R863" s="1"/>
      <c r="S863" s="568"/>
      <c r="T863" s="568"/>
      <c r="U863" s="177"/>
      <c r="V863" s="177"/>
      <c r="Z863" s="1"/>
      <c r="AG863" s="177"/>
      <c r="AH863" s="177"/>
      <c r="AI863" s="177"/>
      <c r="AJ863" s="177"/>
      <c r="AK863" s="177"/>
      <c r="AL863" s="177"/>
    </row>
    <row r="864" spans="3:38" ht="15.75" customHeight="1" x14ac:dyDescent="0.25">
      <c r="C864" s="630"/>
      <c r="K864" s="177"/>
      <c r="M864" s="1"/>
      <c r="R864" s="1"/>
      <c r="S864" s="568"/>
      <c r="T864" s="568"/>
      <c r="U864" s="177"/>
      <c r="V864" s="177"/>
      <c r="Z864" s="1"/>
      <c r="AG864" s="177"/>
      <c r="AH864" s="177"/>
      <c r="AI864" s="177"/>
      <c r="AJ864" s="177"/>
      <c r="AK864" s="177"/>
      <c r="AL864" s="177"/>
    </row>
    <row r="865" spans="3:38" ht="15.75" customHeight="1" x14ac:dyDescent="0.25">
      <c r="C865" s="630"/>
      <c r="K865" s="177"/>
      <c r="M865" s="1"/>
      <c r="R865" s="1"/>
      <c r="S865" s="568"/>
      <c r="T865" s="568"/>
      <c r="U865" s="177"/>
      <c r="V865" s="177"/>
      <c r="Z865" s="1"/>
      <c r="AG865" s="177"/>
      <c r="AH865" s="177"/>
      <c r="AI865" s="177"/>
      <c r="AJ865" s="177"/>
      <c r="AK865" s="177"/>
      <c r="AL865" s="177"/>
    </row>
    <row r="866" spans="3:38" ht="15.75" customHeight="1" x14ac:dyDescent="0.25">
      <c r="C866" s="630"/>
      <c r="K866" s="177"/>
      <c r="M866" s="1"/>
      <c r="R866" s="1"/>
      <c r="S866" s="568"/>
      <c r="T866" s="568"/>
      <c r="U866" s="177"/>
      <c r="V866" s="177"/>
      <c r="Z866" s="1"/>
      <c r="AG866" s="177"/>
      <c r="AH866" s="177"/>
      <c r="AI866" s="177"/>
      <c r="AJ866" s="177"/>
      <c r="AK866" s="177"/>
      <c r="AL866" s="177"/>
    </row>
    <row r="867" spans="3:38" ht="15.75" customHeight="1" x14ac:dyDescent="0.25">
      <c r="C867" s="630"/>
      <c r="K867" s="177"/>
      <c r="M867" s="1"/>
      <c r="R867" s="1"/>
      <c r="S867" s="568"/>
      <c r="T867" s="568"/>
      <c r="U867" s="177"/>
      <c r="V867" s="177"/>
      <c r="Z867" s="1"/>
      <c r="AG867" s="177"/>
      <c r="AH867" s="177"/>
      <c r="AI867" s="177"/>
      <c r="AJ867" s="177"/>
      <c r="AK867" s="177"/>
      <c r="AL867" s="177"/>
    </row>
    <row r="868" spans="3:38" ht="15.75" customHeight="1" x14ac:dyDescent="0.25">
      <c r="C868" s="630"/>
      <c r="K868" s="177"/>
      <c r="M868" s="1"/>
      <c r="R868" s="1"/>
      <c r="S868" s="568"/>
      <c r="T868" s="568"/>
      <c r="U868" s="177"/>
      <c r="V868" s="177"/>
      <c r="Z868" s="1"/>
      <c r="AG868" s="177"/>
      <c r="AH868" s="177"/>
      <c r="AI868" s="177"/>
      <c r="AJ868" s="177"/>
      <c r="AK868" s="177"/>
      <c r="AL868" s="177"/>
    </row>
    <row r="869" spans="3:38" ht="15.75" customHeight="1" x14ac:dyDescent="0.25">
      <c r="C869" s="630"/>
      <c r="K869" s="177"/>
      <c r="M869" s="1"/>
      <c r="R869" s="1"/>
      <c r="S869" s="568"/>
      <c r="T869" s="568"/>
      <c r="U869" s="177"/>
      <c r="V869" s="177"/>
      <c r="Z869" s="1"/>
      <c r="AG869" s="177"/>
      <c r="AH869" s="177"/>
      <c r="AI869" s="177"/>
      <c r="AJ869" s="177"/>
      <c r="AK869" s="177"/>
      <c r="AL869" s="177"/>
    </row>
    <row r="870" spans="3:38" ht="15.75" customHeight="1" x14ac:dyDescent="0.25">
      <c r="C870" s="630"/>
      <c r="K870" s="177"/>
      <c r="M870" s="1"/>
      <c r="R870" s="1"/>
      <c r="S870" s="568"/>
      <c r="T870" s="568"/>
      <c r="U870" s="177"/>
      <c r="V870" s="177"/>
      <c r="Z870" s="1"/>
      <c r="AG870" s="177"/>
      <c r="AH870" s="177"/>
      <c r="AI870" s="177"/>
      <c r="AJ870" s="177"/>
      <c r="AK870" s="177"/>
      <c r="AL870" s="177"/>
    </row>
    <row r="871" spans="3:38" ht="15.75" customHeight="1" x14ac:dyDescent="0.25">
      <c r="C871" s="630"/>
      <c r="K871" s="177"/>
      <c r="M871" s="1"/>
      <c r="R871" s="1"/>
      <c r="S871" s="568"/>
      <c r="T871" s="568"/>
      <c r="U871" s="177"/>
      <c r="V871" s="177"/>
      <c r="Z871" s="1"/>
      <c r="AG871" s="177"/>
      <c r="AH871" s="177"/>
      <c r="AI871" s="177"/>
      <c r="AJ871" s="177"/>
      <c r="AK871" s="177"/>
      <c r="AL871" s="177"/>
    </row>
    <row r="872" spans="3:38" ht="15.75" customHeight="1" x14ac:dyDescent="0.25">
      <c r="C872" s="630"/>
      <c r="K872" s="177"/>
      <c r="M872" s="1"/>
      <c r="R872" s="1"/>
      <c r="S872" s="568"/>
      <c r="T872" s="568"/>
      <c r="U872" s="177"/>
      <c r="V872" s="177"/>
      <c r="Z872" s="1"/>
      <c r="AG872" s="177"/>
      <c r="AH872" s="177"/>
      <c r="AI872" s="177"/>
      <c r="AJ872" s="177"/>
      <c r="AK872" s="177"/>
      <c r="AL872" s="177"/>
    </row>
    <row r="873" spans="3:38" ht="15.75" customHeight="1" x14ac:dyDescent="0.25">
      <c r="C873" s="630"/>
      <c r="K873" s="177"/>
      <c r="M873" s="1"/>
      <c r="R873" s="1"/>
      <c r="S873" s="568"/>
      <c r="T873" s="568"/>
      <c r="U873" s="177"/>
      <c r="V873" s="177"/>
      <c r="Z873" s="1"/>
      <c r="AG873" s="177"/>
      <c r="AH873" s="177"/>
      <c r="AI873" s="177"/>
      <c r="AJ873" s="177"/>
      <c r="AK873" s="177"/>
      <c r="AL873" s="177"/>
    </row>
    <row r="874" spans="3:38" ht="15.75" customHeight="1" x14ac:dyDescent="0.25">
      <c r="C874" s="630"/>
      <c r="K874" s="177"/>
      <c r="M874" s="1"/>
      <c r="R874" s="1"/>
      <c r="S874" s="568"/>
      <c r="T874" s="568"/>
      <c r="U874" s="177"/>
      <c r="V874" s="177"/>
      <c r="Z874" s="1"/>
      <c r="AG874" s="177"/>
      <c r="AH874" s="177"/>
      <c r="AI874" s="177"/>
      <c r="AJ874" s="177"/>
      <c r="AK874" s="177"/>
      <c r="AL874" s="177"/>
    </row>
    <row r="875" spans="3:38" ht="15.75" customHeight="1" x14ac:dyDescent="0.25">
      <c r="C875" s="630"/>
      <c r="K875" s="177"/>
      <c r="M875" s="1"/>
      <c r="R875" s="1"/>
      <c r="S875" s="568"/>
      <c r="T875" s="568"/>
      <c r="U875" s="177"/>
      <c r="V875" s="177"/>
      <c r="Z875" s="1"/>
      <c r="AG875" s="177"/>
      <c r="AH875" s="177"/>
      <c r="AI875" s="177"/>
      <c r="AJ875" s="177"/>
      <c r="AK875" s="177"/>
      <c r="AL875" s="177"/>
    </row>
    <row r="876" spans="3:38" ht="15.75" customHeight="1" x14ac:dyDescent="0.25">
      <c r="C876" s="630"/>
      <c r="K876" s="177"/>
      <c r="M876" s="1"/>
      <c r="R876" s="1"/>
      <c r="S876" s="568"/>
      <c r="T876" s="568"/>
      <c r="U876" s="177"/>
      <c r="V876" s="177"/>
      <c r="Z876" s="1"/>
      <c r="AG876" s="177"/>
      <c r="AH876" s="177"/>
      <c r="AI876" s="177"/>
      <c r="AJ876" s="177"/>
      <c r="AK876" s="177"/>
      <c r="AL876" s="177"/>
    </row>
    <row r="877" spans="3:38" ht="15.75" customHeight="1" x14ac:dyDescent="0.25">
      <c r="C877" s="630"/>
      <c r="K877" s="177"/>
      <c r="M877" s="1"/>
      <c r="R877" s="1"/>
      <c r="S877" s="568"/>
      <c r="T877" s="568"/>
      <c r="U877" s="177"/>
      <c r="V877" s="177"/>
      <c r="Z877" s="1"/>
      <c r="AG877" s="177"/>
      <c r="AH877" s="177"/>
      <c r="AI877" s="177"/>
      <c r="AJ877" s="177"/>
      <c r="AK877" s="177"/>
      <c r="AL877" s="177"/>
    </row>
    <row r="878" spans="3:38" ht="15.75" customHeight="1" x14ac:dyDescent="0.25">
      <c r="C878" s="630"/>
      <c r="K878" s="177"/>
      <c r="M878" s="1"/>
      <c r="R878" s="1"/>
      <c r="S878" s="568"/>
      <c r="T878" s="568"/>
      <c r="U878" s="177"/>
      <c r="V878" s="177"/>
      <c r="Z878" s="1"/>
      <c r="AG878" s="177"/>
      <c r="AH878" s="177"/>
      <c r="AI878" s="177"/>
      <c r="AJ878" s="177"/>
      <c r="AK878" s="177"/>
      <c r="AL878" s="177"/>
    </row>
    <row r="879" spans="3:38" ht="15.75" customHeight="1" x14ac:dyDescent="0.25">
      <c r="C879" s="630"/>
      <c r="K879" s="177"/>
      <c r="M879" s="1"/>
      <c r="R879" s="1"/>
      <c r="S879" s="568"/>
      <c r="T879" s="568"/>
      <c r="U879" s="177"/>
      <c r="V879" s="177"/>
      <c r="Z879" s="1"/>
      <c r="AG879" s="177"/>
      <c r="AH879" s="177"/>
      <c r="AI879" s="177"/>
      <c r="AJ879" s="177"/>
      <c r="AK879" s="177"/>
      <c r="AL879" s="177"/>
    </row>
    <row r="880" spans="3:38" ht="15.75" customHeight="1" x14ac:dyDescent="0.25">
      <c r="C880" s="630"/>
      <c r="K880" s="177"/>
      <c r="M880" s="1"/>
      <c r="R880" s="1"/>
      <c r="S880" s="568"/>
      <c r="T880" s="568"/>
      <c r="U880" s="177"/>
      <c r="V880" s="177"/>
      <c r="Z880" s="1"/>
      <c r="AG880" s="177"/>
      <c r="AH880" s="177"/>
      <c r="AI880" s="177"/>
      <c r="AJ880" s="177"/>
      <c r="AK880" s="177"/>
      <c r="AL880" s="177"/>
    </row>
    <row r="881" spans="3:38" ht="15.75" customHeight="1" x14ac:dyDescent="0.25">
      <c r="C881" s="630"/>
      <c r="K881" s="177"/>
      <c r="M881" s="1"/>
      <c r="R881" s="1"/>
      <c r="S881" s="568"/>
      <c r="T881" s="568"/>
      <c r="U881" s="177"/>
      <c r="V881" s="177"/>
      <c r="Z881" s="1"/>
      <c r="AG881" s="177"/>
      <c r="AH881" s="177"/>
      <c r="AI881" s="177"/>
      <c r="AJ881" s="177"/>
      <c r="AK881" s="177"/>
      <c r="AL881" s="177"/>
    </row>
    <row r="882" spans="3:38" ht="15.75" customHeight="1" x14ac:dyDescent="0.25">
      <c r="C882" s="630"/>
      <c r="K882" s="177"/>
      <c r="M882" s="1"/>
      <c r="R882" s="1"/>
      <c r="S882" s="568"/>
      <c r="T882" s="568"/>
      <c r="U882" s="177"/>
      <c r="V882" s="177"/>
      <c r="Z882" s="1"/>
      <c r="AG882" s="177"/>
      <c r="AH882" s="177"/>
      <c r="AI882" s="177"/>
      <c r="AJ882" s="177"/>
      <c r="AK882" s="177"/>
      <c r="AL882" s="177"/>
    </row>
    <row r="883" spans="3:38" ht="15.75" customHeight="1" x14ac:dyDescent="0.25">
      <c r="C883" s="630"/>
      <c r="K883" s="177"/>
      <c r="M883" s="1"/>
      <c r="R883" s="1"/>
      <c r="S883" s="568"/>
      <c r="T883" s="568"/>
      <c r="U883" s="177"/>
      <c r="V883" s="177"/>
      <c r="Z883" s="1"/>
      <c r="AG883" s="177"/>
      <c r="AH883" s="177"/>
      <c r="AI883" s="177"/>
      <c r="AJ883" s="177"/>
      <c r="AK883" s="177"/>
      <c r="AL883" s="177"/>
    </row>
    <row r="884" spans="3:38" ht="15.75" customHeight="1" x14ac:dyDescent="0.25">
      <c r="C884" s="630"/>
      <c r="K884" s="177"/>
      <c r="M884" s="1"/>
      <c r="R884" s="1"/>
      <c r="S884" s="568"/>
      <c r="T884" s="568"/>
      <c r="U884" s="177"/>
      <c r="V884" s="177"/>
      <c r="Z884" s="1"/>
      <c r="AG884" s="177"/>
      <c r="AH884" s="177"/>
      <c r="AI884" s="177"/>
      <c r="AJ884" s="177"/>
      <c r="AK884" s="177"/>
      <c r="AL884" s="177"/>
    </row>
    <row r="885" spans="3:38" ht="15.75" customHeight="1" x14ac:dyDescent="0.25">
      <c r="C885" s="630"/>
      <c r="K885" s="177"/>
      <c r="M885" s="1"/>
      <c r="R885" s="1"/>
      <c r="S885" s="568"/>
      <c r="T885" s="568"/>
      <c r="U885" s="177"/>
      <c r="V885" s="177"/>
      <c r="Z885" s="1"/>
      <c r="AG885" s="177"/>
      <c r="AH885" s="177"/>
      <c r="AI885" s="177"/>
      <c r="AJ885" s="177"/>
      <c r="AK885" s="177"/>
      <c r="AL885" s="177"/>
    </row>
    <row r="886" spans="3:38" ht="15.75" customHeight="1" x14ac:dyDescent="0.25">
      <c r="C886" s="630"/>
      <c r="K886" s="177"/>
      <c r="M886" s="1"/>
      <c r="R886" s="1"/>
      <c r="S886" s="568"/>
      <c r="T886" s="568"/>
      <c r="U886" s="177"/>
      <c r="V886" s="177"/>
      <c r="Z886" s="1"/>
      <c r="AG886" s="177"/>
      <c r="AH886" s="177"/>
      <c r="AI886" s="177"/>
      <c r="AJ886" s="177"/>
      <c r="AK886" s="177"/>
      <c r="AL886" s="177"/>
    </row>
    <row r="887" spans="3:38" ht="15.75" customHeight="1" x14ac:dyDescent="0.25">
      <c r="C887" s="630"/>
      <c r="K887" s="177"/>
      <c r="M887" s="1"/>
      <c r="R887" s="1"/>
      <c r="S887" s="568"/>
      <c r="T887" s="568"/>
      <c r="U887" s="177"/>
      <c r="V887" s="177"/>
      <c r="Z887" s="1"/>
      <c r="AG887" s="177"/>
      <c r="AH887" s="177"/>
      <c r="AI887" s="177"/>
      <c r="AJ887" s="177"/>
      <c r="AK887" s="177"/>
      <c r="AL887" s="177"/>
    </row>
    <row r="888" spans="3:38" ht="15.75" customHeight="1" x14ac:dyDescent="0.25">
      <c r="C888" s="630"/>
      <c r="K888" s="177"/>
      <c r="M888" s="1"/>
      <c r="R888" s="1"/>
      <c r="S888" s="568"/>
      <c r="T888" s="568"/>
      <c r="U888" s="177"/>
      <c r="V888" s="177"/>
      <c r="Z888" s="1"/>
      <c r="AG888" s="177"/>
      <c r="AH888" s="177"/>
      <c r="AI888" s="177"/>
      <c r="AJ888" s="177"/>
      <c r="AK888" s="177"/>
      <c r="AL888" s="177"/>
    </row>
    <row r="889" spans="3:38" ht="15.75" customHeight="1" x14ac:dyDescent="0.25">
      <c r="C889" s="630"/>
      <c r="K889" s="177"/>
      <c r="M889" s="1"/>
      <c r="R889" s="1"/>
      <c r="S889" s="568"/>
      <c r="T889" s="568"/>
      <c r="U889" s="177"/>
      <c r="V889" s="177"/>
      <c r="Z889" s="1"/>
      <c r="AG889" s="177"/>
      <c r="AH889" s="177"/>
      <c r="AI889" s="177"/>
      <c r="AJ889" s="177"/>
      <c r="AK889" s="177"/>
      <c r="AL889" s="177"/>
    </row>
    <row r="890" spans="3:38" ht="15.75" customHeight="1" x14ac:dyDescent="0.25">
      <c r="C890" s="630"/>
      <c r="K890" s="177"/>
      <c r="M890" s="1"/>
      <c r="R890" s="1"/>
      <c r="S890" s="568"/>
      <c r="T890" s="568"/>
      <c r="U890" s="177"/>
      <c r="V890" s="177"/>
      <c r="Z890" s="1"/>
      <c r="AG890" s="177"/>
      <c r="AH890" s="177"/>
      <c r="AI890" s="177"/>
      <c r="AJ890" s="177"/>
      <c r="AK890" s="177"/>
      <c r="AL890" s="177"/>
    </row>
    <row r="891" spans="3:38" ht="15.75" customHeight="1" x14ac:dyDescent="0.25">
      <c r="C891" s="630"/>
      <c r="K891" s="177"/>
      <c r="M891" s="1"/>
      <c r="R891" s="1"/>
      <c r="S891" s="568"/>
      <c r="T891" s="568"/>
      <c r="U891" s="177"/>
      <c r="V891" s="177"/>
      <c r="Z891" s="1"/>
      <c r="AG891" s="177"/>
      <c r="AH891" s="177"/>
      <c r="AI891" s="177"/>
      <c r="AJ891" s="177"/>
      <c r="AK891" s="177"/>
      <c r="AL891" s="177"/>
    </row>
    <row r="892" spans="3:38" ht="15.75" customHeight="1" x14ac:dyDescent="0.25">
      <c r="C892" s="630"/>
      <c r="K892" s="177"/>
      <c r="M892" s="1"/>
      <c r="R892" s="1"/>
      <c r="S892" s="568"/>
      <c r="T892" s="568"/>
      <c r="U892" s="177"/>
      <c r="V892" s="177"/>
      <c r="Z892" s="1"/>
      <c r="AG892" s="177"/>
      <c r="AH892" s="177"/>
      <c r="AI892" s="177"/>
      <c r="AJ892" s="177"/>
      <c r="AK892" s="177"/>
      <c r="AL892" s="177"/>
    </row>
    <row r="893" spans="3:38" ht="15.75" customHeight="1" x14ac:dyDescent="0.25">
      <c r="C893" s="630"/>
      <c r="K893" s="177"/>
      <c r="M893" s="1"/>
      <c r="R893" s="1"/>
      <c r="S893" s="568"/>
      <c r="T893" s="568"/>
      <c r="U893" s="177"/>
      <c r="V893" s="177"/>
      <c r="Z893" s="1"/>
      <c r="AG893" s="177"/>
      <c r="AH893" s="177"/>
      <c r="AI893" s="177"/>
      <c r="AJ893" s="177"/>
      <c r="AK893" s="177"/>
      <c r="AL893" s="177"/>
    </row>
    <row r="894" spans="3:38" ht="15.75" customHeight="1" x14ac:dyDescent="0.25">
      <c r="C894" s="630"/>
      <c r="K894" s="177"/>
      <c r="M894" s="1"/>
      <c r="R894" s="1"/>
      <c r="S894" s="568"/>
      <c r="T894" s="568"/>
      <c r="U894" s="177"/>
      <c r="V894" s="177"/>
      <c r="Z894" s="1"/>
      <c r="AG894" s="177"/>
      <c r="AH894" s="177"/>
      <c r="AI894" s="177"/>
      <c r="AJ894" s="177"/>
      <c r="AK894" s="177"/>
      <c r="AL894" s="177"/>
    </row>
    <row r="895" spans="3:38" ht="15.75" customHeight="1" x14ac:dyDescent="0.25">
      <c r="C895" s="630"/>
      <c r="K895" s="177"/>
      <c r="M895" s="1"/>
      <c r="R895" s="1"/>
      <c r="S895" s="568"/>
      <c r="T895" s="568"/>
      <c r="U895" s="177"/>
      <c r="V895" s="177"/>
      <c r="Z895" s="1"/>
      <c r="AG895" s="177"/>
      <c r="AH895" s="177"/>
      <c r="AI895" s="177"/>
      <c r="AJ895" s="177"/>
      <c r="AK895" s="177"/>
      <c r="AL895" s="177"/>
    </row>
    <row r="896" spans="3:38" ht="15.75" customHeight="1" x14ac:dyDescent="0.25">
      <c r="C896" s="630"/>
      <c r="K896" s="177"/>
      <c r="M896" s="1"/>
      <c r="R896" s="1"/>
      <c r="S896" s="568"/>
      <c r="T896" s="568"/>
      <c r="U896" s="177"/>
      <c r="V896" s="177"/>
      <c r="Z896" s="1"/>
      <c r="AG896" s="177"/>
      <c r="AH896" s="177"/>
      <c r="AI896" s="177"/>
      <c r="AJ896" s="177"/>
      <c r="AK896" s="177"/>
      <c r="AL896" s="177"/>
    </row>
    <row r="897" spans="3:38" ht="15.75" customHeight="1" x14ac:dyDescent="0.25">
      <c r="C897" s="630"/>
      <c r="K897" s="177"/>
      <c r="M897" s="1"/>
      <c r="R897" s="1"/>
      <c r="S897" s="568"/>
      <c r="T897" s="568"/>
      <c r="U897" s="177"/>
      <c r="V897" s="177"/>
      <c r="Z897" s="1"/>
      <c r="AG897" s="177"/>
      <c r="AH897" s="177"/>
      <c r="AI897" s="177"/>
      <c r="AJ897" s="177"/>
      <c r="AK897" s="177"/>
      <c r="AL897" s="177"/>
    </row>
    <row r="898" spans="3:38" ht="15.75" customHeight="1" x14ac:dyDescent="0.25">
      <c r="C898" s="630"/>
      <c r="K898" s="177"/>
      <c r="M898" s="1"/>
      <c r="R898" s="1"/>
      <c r="S898" s="568"/>
      <c r="T898" s="568"/>
      <c r="U898" s="177"/>
      <c r="V898" s="177"/>
      <c r="Z898" s="1"/>
      <c r="AG898" s="177"/>
      <c r="AH898" s="177"/>
      <c r="AI898" s="177"/>
      <c r="AJ898" s="177"/>
      <c r="AK898" s="177"/>
      <c r="AL898" s="177"/>
    </row>
    <row r="899" spans="3:38" ht="15.75" customHeight="1" x14ac:dyDescent="0.25">
      <c r="C899" s="630"/>
      <c r="K899" s="177"/>
      <c r="M899" s="1"/>
      <c r="R899" s="1"/>
      <c r="S899" s="568"/>
      <c r="T899" s="568"/>
      <c r="U899" s="177"/>
      <c r="V899" s="177"/>
      <c r="Z899" s="1"/>
      <c r="AG899" s="177"/>
      <c r="AH899" s="177"/>
      <c r="AI899" s="177"/>
      <c r="AJ899" s="177"/>
      <c r="AK899" s="177"/>
      <c r="AL899" s="177"/>
    </row>
    <row r="900" spans="3:38" ht="15.75" customHeight="1" x14ac:dyDescent="0.25">
      <c r="C900" s="630"/>
      <c r="K900" s="177"/>
      <c r="M900" s="1"/>
      <c r="R900" s="1"/>
      <c r="S900" s="568"/>
      <c r="T900" s="568"/>
      <c r="U900" s="177"/>
      <c r="V900" s="177"/>
      <c r="Z900" s="1"/>
      <c r="AG900" s="177"/>
      <c r="AH900" s="177"/>
      <c r="AI900" s="177"/>
      <c r="AJ900" s="177"/>
      <c r="AK900" s="177"/>
      <c r="AL900" s="177"/>
    </row>
    <row r="901" spans="3:38" ht="15.75" customHeight="1" x14ac:dyDescent="0.25">
      <c r="C901" s="630"/>
      <c r="K901" s="177"/>
      <c r="M901" s="1"/>
      <c r="R901" s="1"/>
      <c r="S901" s="568"/>
      <c r="T901" s="568"/>
      <c r="U901" s="177"/>
      <c r="V901" s="177"/>
      <c r="Z901" s="1"/>
      <c r="AG901" s="177"/>
      <c r="AH901" s="177"/>
      <c r="AI901" s="177"/>
      <c r="AJ901" s="177"/>
      <c r="AK901" s="177"/>
      <c r="AL901" s="177"/>
    </row>
    <row r="902" spans="3:38" ht="15.75" customHeight="1" x14ac:dyDescent="0.25">
      <c r="C902" s="630"/>
      <c r="K902" s="177"/>
      <c r="M902" s="1"/>
      <c r="R902" s="1"/>
      <c r="S902" s="568"/>
      <c r="T902" s="568"/>
      <c r="U902" s="177"/>
      <c r="V902" s="177"/>
      <c r="Z902" s="1"/>
      <c r="AG902" s="177"/>
      <c r="AH902" s="177"/>
      <c r="AI902" s="177"/>
      <c r="AJ902" s="177"/>
      <c r="AK902" s="177"/>
      <c r="AL902" s="177"/>
    </row>
    <row r="903" spans="3:38" ht="15.75" customHeight="1" x14ac:dyDescent="0.25">
      <c r="C903" s="630"/>
      <c r="K903" s="177"/>
      <c r="M903" s="1"/>
      <c r="R903" s="1"/>
      <c r="S903" s="568"/>
      <c r="T903" s="568"/>
      <c r="U903" s="177"/>
      <c r="V903" s="177"/>
      <c r="Z903" s="1"/>
      <c r="AG903" s="177"/>
      <c r="AH903" s="177"/>
      <c r="AI903" s="177"/>
      <c r="AJ903" s="177"/>
      <c r="AK903" s="177"/>
      <c r="AL903" s="177"/>
    </row>
    <row r="904" spans="3:38" ht="15.75" customHeight="1" x14ac:dyDescent="0.25">
      <c r="C904" s="630"/>
      <c r="K904" s="177"/>
      <c r="M904" s="1"/>
      <c r="R904" s="1"/>
      <c r="S904" s="568"/>
      <c r="T904" s="568"/>
      <c r="U904" s="177"/>
      <c r="V904" s="177"/>
      <c r="Z904" s="1"/>
      <c r="AG904" s="177"/>
      <c r="AH904" s="177"/>
      <c r="AI904" s="177"/>
      <c r="AJ904" s="177"/>
      <c r="AK904" s="177"/>
      <c r="AL904" s="177"/>
    </row>
    <row r="905" spans="3:38" ht="15.75" customHeight="1" x14ac:dyDescent="0.25">
      <c r="C905" s="630"/>
      <c r="K905" s="177"/>
      <c r="M905" s="1"/>
      <c r="R905" s="1"/>
      <c r="S905" s="568"/>
      <c r="T905" s="568"/>
      <c r="U905" s="177"/>
      <c r="V905" s="177"/>
      <c r="Z905" s="1"/>
      <c r="AG905" s="177"/>
      <c r="AH905" s="177"/>
      <c r="AI905" s="177"/>
      <c r="AJ905" s="177"/>
      <c r="AK905" s="177"/>
      <c r="AL905" s="177"/>
    </row>
    <row r="906" spans="3:38" ht="15.75" customHeight="1" x14ac:dyDescent="0.25">
      <c r="C906" s="630"/>
      <c r="K906" s="177"/>
      <c r="M906" s="1"/>
      <c r="R906" s="1"/>
      <c r="S906" s="568"/>
      <c r="T906" s="568"/>
      <c r="U906" s="177"/>
      <c r="V906" s="177"/>
      <c r="Z906" s="1"/>
      <c r="AG906" s="177"/>
      <c r="AH906" s="177"/>
      <c r="AI906" s="177"/>
      <c r="AJ906" s="177"/>
      <c r="AK906" s="177"/>
      <c r="AL906" s="177"/>
    </row>
    <row r="907" spans="3:38" ht="15.75" customHeight="1" x14ac:dyDescent="0.25">
      <c r="C907" s="630"/>
      <c r="K907" s="177"/>
      <c r="M907" s="1"/>
      <c r="R907" s="1"/>
      <c r="S907" s="568"/>
      <c r="T907" s="568"/>
      <c r="U907" s="177"/>
      <c r="V907" s="177"/>
      <c r="Z907" s="1"/>
      <c r="AG907" s="177"/>
      <c r="AH907" s="177"/>
      <c r="AI907" s="177"/>
      <c r="AJ907" s="177"/>
      <c r="AK907" s="177"/>
      <c r="AL907" s="177"/>
    </row>
    <row r="908" spans="3:38" ht="15.75" customHeight="1" x14ac:dyDescent="0.25">
      <c r="C908" s="630"/>
      <c r="K908" s="177"/>
      <c r="M908" s="1"/>
      <c r="R908" s="1"/>
      <c r="S908" s="568"/>
      <c r="T908" s="568"/>
      <c r="U908" s="177"/>
      <c r="V908" s="177"/>
      <c r="Z908" s="1"/>
      <c r="AG908" s="177"/>
      <c r="AH908" s="177"/>
      <c r="AI908" s="177"/>
      <c r="AJ908" s="177"/>
      <c r="AK908" s="177"/>
      <c r="AL908" s="177"/>
    </row>
    <row r="909" spans="3:38" ht="15.75" customHeight="1" x14ac:dyDescent="0.25">
      <c r="C909" s="630"/>
      <c r="K909" s="177"/>
      <c r="M909" s="1"/>
      <c r="R909" s="1"/>
      <c r="S909" s="568"/>
      <c r="T909" s="568"/>
      <c r="U909" s="177"/>
      <c r="V909" s="177"/>
      <c r="Z909" s="1"/>
      <c r="AG909" s="177"/>
      <c r="AH909" s="177"/>
      <c r="AI909" s="177"/>
      <c r="AJ909" s="177"/>
      <c r="AK909" s="177"/>
      <c r="AL909" s="177"/>
    </row>
    <row r="910" spans="3:38" ht="15.75" customHeight="1" x14ac:dyDescent="0.25">
      <c r="C910" s="630"/>
      <c r="K910" s="177"/>
      <c r="M910" s="1"/>
      <c r="R910" s="1"/>
      <c r="S910" s="568"/>
      <c r="T910" s="568"/>
      <c r="U910" s="177"/>
      <c r="V910" s="177"/>
      <c r="Z910" s="1"/>
      <c r="AG910" s="177"/>
      <c r="AH910" s="177"/>
      <c r="AI910" s="177"/>
      <c r="AJ910" s="177"/>
      <c r="AK910" s="177"/>
      <c r="AL910" s="177"/>
    </row>
    <row r="911" spans="3:38" ht="15.75" customHeight="1" x14ac:dyDescent="0.25">
      <c r="C911" s="630"/>
      <c r="K911" s="177"/>
      <c r="M911" s="1"/>
      <c r="R911" s="1"/>
      <c r="S911" s="568"/>
      <c r="T911" s="568"/>
      <c r="U911" s="177"/>
      <c r="V911" s="177"/>
      <c r="Z911" s="1"/>
      <c r="AG911" s="177"/>
      <c r="AH911" s="177"/>
      <c r="AI911" s="177"/>
      <c r="AJ911" s="177"/>
      <c r="AK911" s="177"/>
      <c r="AL911" s="177"/>
    </row>
    <row r="912" spans="3:38" ht="15.75" customHeight="1" x14ac:dyDescent="0.25">
      <c r="C912" s="630"/>
      <c r="K912" s="177"/>
      <c r="M912" s="1"/>
      <c r="R912" s="1"/>
      <c r="S912" s="568"/>
      <c r="T912" s="568"/>
      <c r="U912" s="177"/>
      <c r="V912" s="177"/>
      <c r="Z912" s="1"/>
      <c r="AG912" s="177"/>
      <c r="AH912" s="177"/>
      <c r="AI912" s="177"/>
      <c r="AJ912" s="177"/>
      <c r="AK912" s="177"/>
      <c r="AL912" s="177"/>
    </row>
    <row r="913" spans="3:38" ht="15.75" customHeight="1" x14ac:dyDescent="0.25">
      <c r="C913" s="630"/>
      <c r="K913" s="177"/>
      <c r="M913" s="1"/>
      <c r="R913" s="1"/>
      <c r="S913" s="568"/>
      <c r="T913" s="568"/>
      <c r="U913" s="177"/>
      <c r="V913" s="177"/>
      <c r="Z913" s="1"/>
      <c r="AG913" s="177"/>
      <c r="AH913" s="177"/>
      <c r="AI913" s="177"/>
      <c r="AJ913" s="177"/>
      <c r="AK913" s="177"/>
      <c r="AL913" s="177"/>
    </row>
    <row r="914" spans="3:38" ht="15.75" customHeight="1" x14ac:dyDescent="0.25">
      <c r="C914" s="630"/>
      <c r="K914" s="177"/>
      <c r="M914" s="1"/>
      <c r="R914" s="1"/>
      <c r="S914" s="568"/>
      <c r="T914" s="568"/>
      <c r="U914" s="177"/>
      <c r="V914" s="177"/>
      <c r="Z914" s="1"/>
      <c r="AG914" s="177"/>
      <c r="AH914" s="177"/>
      <c r="AI914" s="177"/>
      <c r="AJ914" s="177"/>
      <c r="AK914" s="177"/>
      <c r="AL914" s="177"/>
    </row>
    <row r="915" spans="3:38" ht="15.75" customHeight="1" x14ac:dyDescent="0.25">
      <c r="C915" s="630"/>
      <c r="K915" s="177"/>
      <c r="M915" s="1"/>
      <c r="R915" s="1"/>
      <c r="S915" s="568"/>
      <c r="T915" s="568"/>
      <c r="U915" s="177"/>
      <c r="V915" s="177"/>
      <c r="Z915" s="1"/>
      <c r="AG915" s="177"/>
      <c r="AH915" s="177"/>
      <c r="AI915" s="177"/>
      <c r="AJ915" s="177"/>
      <c r="AK915" s="177"/>
      <c r="AL915" s="177"/>
    </row>
    <row r="916" spans="3:38" ht="15.75" customHeight="1" x14ac:dyDescent="0.25">
      <c r="C916" s="630"/>
      <c r="K916" s="177"/>
      <c r="M916" s="1"/>
      <c r="R916" s="1"/>
      <c r="S916" s="568"/>
      <c r="T916" s="568"/>
      <c r="U916" s="177"/>
      <c r="V916" s="177"/>
      <c r="Z916" s="1"/>
      <c r="AG916" s="177"/>
      <c r="AH916" s="177"/>
      <c r="AI916" s="177"/>
      <c r="AJ916" s="177"/>
      <c r="AK916" s="177"/>
      <c r="AL916" s="177"/>
    </row>
    <row r="917" spans="3:38" ht="15.75" customHeight="1" x14ac:dyDescent="0.25">
      <c r="C917" s="630"/>
      <c r="K917" s="177"/>
      <c r="M917" s="1"/>
      <c r="R917" s="1"/>
      <c r="S917" s="568"/>
      <c r="T917" s="568"/>
      <c r="U917" s="177"/>
      <c r="V917" s="177"/>
      <c r="Z917" s="1"/>
      <c r="AG917" s="177"/>
      <c r="AH917" s="177"/>
      <c r="AI917" s="177"/>
      <c r="AJ917" s="177"/>
      <c r="AK917" s="177"/>
      <c r="AL917" s="177"/>
    </row>
    <row r="918" spans="3:38" ht="15.75" customHeight="1" x14ac:dyDescent="0.25">
      <c r="C918" s="630"/>
      <c r="K918" s="177"/>
      <c r="M918" s="1"/>
      <c r="R918" s="1"/>
      <c r="S918" s="568"/>
      <c r="T918" s="568"/>
      <c r="U918" s="177"/>
      <c r="V918" s="177"/>
      <c r="Z918" s="1"/>
      <c r="AG918" s="177"/>
      <c r="AH918" s="177"/>
      <c r="AI918" s="177"/>
      <c r="AJ918" s="177"/>
      <c r="AK918" s="177"/>
      <c r="AL918" s="177"/>
    </row>
    <row r="919" spans="3:38" ht="15.75" customHeight="1" x14ac:dyDescent="0.25">
      <c r="C919" s="630"/>
      <c r="K919" s="177"/>
      <c r="M919" s="1"/>
      <c r="R919" s="1"/>
      <c r="S919" s="568"/>
      <c r="T919" s="568"/>
      <c r="U919" s="177"/>
      <c r="V919" s="177"/>
      <c r="Z919" s="1"/>
      <c r="AG919" s="177"/>
      <c r="AH919" s="177"/>
      <c r="AI919" s="177"/>
      <c r="AJ919" s="177"/>
      <c r="AK919" s="177"/>
      <c r="AL919" s="177"/>
    </row>
    <row r="920" spans="3:38" ht="15.75" customHeight="1" x14ac:dyDescent="0.25">
      <c r="C920" s="630"/>
      <c r="K920" s="177"/>
      <c r="M920" s="1"/>
      <c r="R920" s="1"/>
      <c r="S920" s="568"/>
      <c r="T920" s="568"/>
      <c r="U920" s="177"/>
      <c r="V920" s="177"/>
      <c r="Z920" s="1"/>
      <c r="AG920" s="177"/>
      <c r="AH920" s="177"/>
      <c r="AI920" s="177"/>
      <c r="AJ920" s="177"/>
      <c r="AK920" s="177"/>
      <c r="AL920" s="177"/>
    </row>
    <row r="921" spans="3:38" ht="15.75" customHeight="1" x14ac:dyDescent="0.25">
      <c r="C921" s="630"/>
      <c r="K921" s="177"/>
      <c r="M921" s="1"/>
      <c r="R921" s="1"/>
      <c r="S921" s="568"/>
      <c r="T921" s="568"/>
      <c r="U921" s="177"/>
      <c r="V921" s="177"/>
      <c r="Z921" s="1"/>
      <c r="AG921" s="177"/>
      <c r="AH921" s="177"/>
      <c r="AI921" s="177"/>
      <c r="AJ921" s="177"/>
      <c r="AK921" s="177"/>
      <c r="AL921" s="177"/>
    </row>
    <row r="922" spans="3:38" ht="15.75" customHeight="1" x14ac:dyDescent="0.25">
      <c r="C922" s="630"/>
      <c r="K922" s="177"/>
      <c r="M922" s="1"/>
      <c r="R922" s="1"/>
      <c r="S922" s="568"/>
      <c r="T922" s="568"/>
      <c r="U922" s="177"/>
      <c r="V922" s="177"/>
      <c r="Z922" s="1"/>
      <c r="AG922" s="177"/>
      <c r="AH922" s="177"/>
      <c r="AI922" s="177"/>
      <c r="AJ922" s="177"/>
      <c r="AK922" s="177"/>
      <c r="AL922" s="177"/>
    </row>
    <row r="923" spans="3:38" ht="15.75" customHeight="1" x14ac:dyDescent="0.25">
      <c r="C923" s="630"/>
      <c r="K923" s="177"/>
      <c r="M923" s="1"/>
      <c r="R923" s="1"/>
      <c r="S923" s="568"/>
      <c r="T923" s="568"/>
      <c r="U923" s="177"/>
      <c r="V923" s="177"/>
      <c r="Z923" s="1"/>
      <c r="AG923" s="177"/>
      <c r="AH923" s="177"/>
      <c r="AI923" s="177"/>
      <c r="AJ923" s="177"/>
      <c r="AK923" s="177"/>
      <c r="AL923" s="177"/>
    </row>
    <row r="924" spans="3:38" ht="15.75" customHeight="1" x14ac:dyDescent="0.25">
      <c r="C924" s="630"/>
      <c r="K924" s="177"/>
      <c r="M924" s="1"/>
      <c r="R924" s="1"/>
      <c r="S924" s="568"/>
      <c r="T924" s="568"/>
      <c r="U924" s="177"/>
      <c r="V924" s="177"/>
      <c r="Z924" s="1"/>
      <c r="AG924" s="177"/>
      <c r="AH924" s="177"/>
      <c r="AI924" s="177"/>
      <c r="AJ924" s="177"/>
      <c r="AK924" s="177"/>
      <c r="AL924" s="177"/>
    </row>
    <row r="925" spans="3:38" ht="15.75" customHeight="1" x14ac:dyDescent="0.25">
      <c r="C925" s="630"/>
      <c r="K925" s="177"/>
      <c r="M925" s="1"/>
      <c r="R925" s="1"/>
      <c r="S925" s="568"/>
      <c r="T925" s="568"/>
      <c r="U925" s="177"/>
      <c r="V925" s="177"/>
      <c r="Z925" s="1"/>
      <c r="AG925" s="177"/>
      <c r="AH925" s="177"/>
      <c r="AI925" s="177"/>
      <c r="AJ925" s="177"/>
      <c r="AK925" s="177"/>
      <c r="AL925" s="177"/>
    </row>
    <row r="926" spans="3:38" ht="15.75" customHeight="1" x14ac:dyDescent="0.25">
      <c r="C926" s="630"/>
      <c r="K926" s="177"/>
      <c r="M926" s="1"/>
      <c r="R926" s="1"/>
      <c r="S926" s="568"/>
      <c r="T926" s="568"/>
      <c r="U926" s="177"/>
      <c r="V926" s="177"/>
      <c r="Z926" s="1"/>
      <c r="AG926" s="177"/>
      <c r="AH926" s="177"/>
      <c r="AI926" s="177"/>
      <c r="AJ926" s="177"/>
      <c r="AK926" s="177"/>
      <c r="AL926" s="177"/>
    </row>
    <row r="927" spans="3:38" ht="15.75" customHeight="1" x14ac:dyDescent="0.25">
      <c r="C927" s="630"/>
      <c r="K927" s="177"/>
      <c r="M927" s="1"/>
      <c r="R927" s="1"/>
      <c r="S927" s="568"/>
      <c r="T927" s="568"/>
      <c r="U927" s="177"/>
      <c r="V927" s="177"/>
      <c r="Z927" s="1"/>
      <c r="AG927" s="177"/>
      <c r="AH927" s="177"/>
      <c r="AI927" s="177"/>
      <c r="AJ927" s="177"/>
      <c r="AK927" s="177"/>
      <c r="AL927" s="177"/>
    </row>
    <row r="928" spans="3:38" ht="15.75" customHeight="1" x14ac:dyDescent="0.25">
      <c r="C928" s="630"/>
      <c r="K928" s="177"/>
      <c r="M928" s="1"/>
      <c r="R928" s="1"/>
      <c r="S928" s="568"/>
      <c r="T928" s="568"/>
      <c r="U928" s="177"/>
      <c r="V928" s="177"/>
      <c r="Z928" s="1"/>
      <c r="AG928" s="177"/>
      <c r="AH928" s="177"/>
      <c r="AI928" s="177"/>
      <c r="AJ928" s="177"/>
      <c r="AK928" s="177"/>
      <c r="AL928" s="177"/>
    </row>
    <row r="929" spans="3:38" ht="15.75" customHeight="1" x14ac:dyDescent="0.25">
      <c r="C929" s="630"/>
      <c r="K929" s="177"/>
      <c r="M929" s="1"/>
      <c r="R929" s="1"/>
      <c r="S929" s="568"/>
      <c r="T929" s="568"/>
      <c r="U929" s="177"/>
      <c r="V929" s="177"/>
      <c r="Z929" s="1"/>
      <c r="AG929" s="177"/>
      <c r="AH929" s="177"/>
      <c r="AI929" s="177"/>
      <c r="AJ929" s="177"/>
      <c r="AK929" s="177"/>
      <c r="AL929" s="177"/>
    </row>
    <row r="930" spans="3:38" ht="15.75" customHeight="1" x14ac:dyDescent="0.25">
      <c r="C930" s="630"/>
      <c r="K930" s="177"/>
      <c r="M930" s="1"/>
      <c r="R930" s="1"/>
      <c r="S930" s="568"/>
      <c r="T930" s="568"/>
      <c r="U930" s="177"/>
      <c r="V930" s="177"/>
      <c r="Z930" s="1"/>
      <c r="AG930" s="177"/>
      <c r="AH930" s="177"/>
      <c r="AI930" s="177"/>
      <c r="AJ930" s="177"/>
      <c r="AK930" s="177"/>
      <c r="AL930" s="177"/>
    </row>
    <row r="931" spans="3:38" ht="15.75" customHeight="1" x14ac:dyDescent="0.25">
      <c r="C931" s="630"/>
      <c r="K931" s="177"/>
      <c r="M931" s="1"/>
      <c r="R931" s="1"/>
      <c r="S931" s="568"/>
      <c r="T931" s="568"/>
      <c r="U931" s="177"/>
      <c r="V931" s="177"/>
      <c r="Z931" s="1"/>
      <c r="AG931" s="177"/>
      <c r="AH931" s="177"/>
      <c r="AI931" s="177"/>
      <c r="AJ931" s="177"/>
      <c r="AK931" s="177"/>
      <c r="AL931" s="177"/>
    </row>
    <row r="932" spans="3:38" ht="15.75" customHeight="1" x14ac:dyDescent="0.25">
      <c r="C932" s="630"/>
      <c r="K932" s="177"/>
      <c r="M932" s="1"/>
      <c r="R932" s="1"/>
      <c r="S932" s="568"/>
      <c r="T932" s="568"/>
      <c r="U932" s="177"/>
      <c r="V932" s="177"/>
      <c r="Z932" s="1"/>
      <c r="AG932" s="177"/>
      <c r="AH932" s="177"/>
      <c r="AI932" s="177"/>
      <c r="AJ932" s="177"/>
      <c r="AK932" s="177"/>
      <c r="AL932" s="177"/>
    </row>
    <row r="933" spans="3:38" ht="15.75" customHeight="1" x14ac:dyDescent="0.25">
      <c r="C933" s="630"/>
      <c r="K933" s="177"/>
      <c r="M933" s="1"/>
      <c r="R933" s="1"/>
      <c r="S933" s="568"/>
      <c r="T933" s="568"/>
      <c r="U933" s="177"/>
      <c r="V933" s="177"/>
      <c r="Z933" s="1"/>
      <c r="AG933" s="177"/>
      <c r="AH933" s="177"/>
      <c r="AI933" s="177"/>
      <c r="AJ933" s="177"/>
      <c r="AK933" s="177"/>
      <c r="AL933" s="177"/>
    </row>
    <row r="934" spans="3:38" ht="15.75" customHeight="1" x14ac:dyDescent="0.25">
      <c r="C934" s="630"/>
      <c r="K934" s="177"/>
      <c r="M934" s="1"/>
      <c r="R934" s="1"/>
      <c r="S934" s="568"/>
      <c r="T934" s="568"/>
      <c r="U934" s="177"/>
      <c r="V934" s="177"/>
      <c r="Z934" s="1"/>
      <c r="AG934" s="177"/>
      <c r="AH934" s="177"/>
      <c r="AI934" s="177"/>
      <c r="AJ934" s="177"/>
      <c r="AK934" s="177"/>
      <c r="AL934" s="177"/>
    </row>
    <row r="935" spans="3:38" ht="15.75" customHeight="1" x14ac:dyDescent="0.25">
      <c r="C935" s="630"/>
      <c r="K935" s="177"/>
      <c r="M935" s="1"/>
      <c r="R935" s="1"/>
      <c r="S935" s="568"/>
      <c r="T935" s="568"/>
      <c r="U935" s="177"/>
      <c r="V935" s="177"/>
      <c r="Z935" s="1"/>
      <c r="AG935" s="177"/>
      <c r="AH935" s="177"/>
      <c r="AI935" s="177"/>
      <c r="AJ935" s="177"/>
      <c r="AK935" s="177"/>
      <c r="AL935" s="177"/>
    </row>
    <row r="936" spans="3:38" ht="15.75" customHeight="1" x14ac:dyDescent="0.25">
      <c r="C936" s="630"/>
      <c r="K936" s="177"/>
      <c r="M936" s="1"/>
      <c r="R936" s="1"/>
      <c r="S936" s="568"/>
      <c r="T936" s="568"/>
      <c r="U936" s="177"/>
      <c r="V936" s="177"/>
      <c r="Z936" s="1"/>
      <c r="AG936" s="177"/>
      <c r="AH936" s="177"/>
      <c r="AI936" s="177"/>
      <c r="AJ936" s="177"/>
      <c r="AK936" s="177"/>
      <c r="AL936" s="177"/>
    </row>
    <row r="937" spans="3:38" ht="15.75" customHeight="1" x14ac:dyDescent="0.25">
      <c r="C937" s="630"/>
      <c r="K937" s="177"/>
      <c r="M937" s="1"/>
      <c r="R937" s="1"/>
      <c r="S937" s="568"/>
      <c r="T937" s="568"/>
      <c r="U937" s="177"/>
      <c r="V937" s="177"/>
      <c r="Z937" s="1"/>
      <c r="AG937" s="177"/>
      <c r="AH937" s="177"/>
      <c r="AI937" s="177"/>
      <c r="AJ937" s="177"/>
      <c r="AK937" s="177"/>
      <c r="AL937" s="177"/>
    </row>
    <row r="938" spans="3:38" ht="15.75" customHeight="1" x14ac:dyDescent="0.25">
      <c r="C938" s="630"/>
      <c r="K938" s="177"/>
      <c r="M938" s="1"/>
      <c r="R938" s="1"/>
      <c r="S938" s="568"/>
      <c r="T938" s="568"/>
      <c r="U938" s="177"/>
      <c r="V938" s="177"/>
      <c r="Z938" s="1"/>
      <c r="AG938" s="177"/>
      <c r="AH938" s="177"/>
      <c r="AI938" s="177"/>
      <c r="AJ938" s="177"/>
      <c r="AK938" s="177"/>
      <c r="AL938" s="177"/>
    </row>
    <row r="939" spans="3:38" ht="15.75" customHeight="1" x14ac:dyDescent="0.25">
      <c r="C939" s="630"/>
      <c r="K939" s="177"/>
      <c r="M939" s="1"/>
      <c r="R939" s="1"/>
      <c r="S939" s="568"/>
      <c r="T939" s="568"/>
      <c r="U939" s="177"/>
      <c r="V939" s="177"/>
      <c r="Z939" s="1"/>
      <c r="AG939" s="177"/>
      <c r="AH939" s="177"/>
      <c r="AI939" s="177"/>
      <c r="AJ939" s="177"/>
      <c r="AK939" s="177"/>
      <c r="AL939" s="177"/>
    </row>
    <row r="940" spans="3:38" ht="15.75" customHeight="1" x14ac:dyDescent="0.25">
      <c r="C940" s="630"/>
      <c r="K940" s="177"/>
      <c r="M940" s="1"/>
      <c r="R940" s="1"/>
      <c r="S940" s="568"/>
      <c r="T940" s="568"/>
      <c r="U940" s="177"/>
      <c r="V940" s="177"/>
      <c r="Z940" s="1"/>
      <c r="AG940" s="177"/>
      <c r="AH940" s="177"/>
      <c r="AI940" s="177"/>
      <c r="AJ940" s="177"/>
      <c r="AK940" s="177"/>
      <c r="AL940" s="177"/>
    </row>
    <row r="941" spans="3:38" ht="15.75" customHeight="1" x14ac:dyDescent="0.25">
      <c r="C941" s="630"/>
      <c r="K941" s="177"/>
      <c r="M941" s="1"/>
      <c r="R941" s="1"/>
      <c r="S941" s="568"/>
      <c r="T941" s="568"/>
      <c r="U941" s="177"/>
      <c r="V941" s="177"/>
      <c r="Z941" s="1"/>
      <c r="AG941" s="177"/>
      <c r="AH941" s="177"/>
      <c r="AI941" s="177"/>
      <c r="AJ941" s="177"/>
      <c r="AK941" s="177"/>
      <c r="AL941" s="177"/>
    </row>
    <row r="942" spans="3:38" ht="15.75" customHeight="1" x14ac:dyDescent="0.25">
      <c r="C942" s="630"/>
      <c r="K942" s="177"/>
      <c r="M942" s="1"/>
      <c r="R942" s="1"/>
      <c r="S942" s="568"/>
      <c r="T942" s="568"/>
      <c r="U942" s="177"/>
      <c r="V942" s="177"/>
      <c r="Z942" s="1"/>
      <c r="AG942" s="177"/>
      <c r="AH942" s="177"/>
      <c r="AI942" s="177"/>
      <c r="AJ942" s="177"/>
      <c r="AK942" s="177"/>
      <c r="AL942" s="177"/>
    </row>
    <row r="943" spans="3:38" ht="15.75" customHeight="1" x14ac:dyDescent="0.25">
      <c r="C943" s="630"/>
      <c r="K943" s="177"/>
      <c r="M943" s="1"/>
      <c r="R943" s="1"/>
      <c r="S943" s="568"/>
      <c r="T943" s="568"/>
      <c r="U943" s="177"/>
      <c r="V943" s="177"/>
      <c r="Z943" s="1"/>
      <c r="AG943" s="177"/>
      <c r="AH943" s="177"/>
      <c r="AI943" s="177"/>
      <c r="AJ943" s="177"/>
      <c r="AK943" s="177"/>
      <c r="AL943" s="177"/>
    </row>
  </sheetData>
  <mergeCells count="2488">
    <mergeCell ref="AT316:AT321"/>
    <mergeCell ref="AU316:AU321"/>
    <mergeCell ref="C292:C297"/>
    <mergeCell ref="C298:C303"/>
    <mergeCell ref="C304:C309"/>
    <mergeCell ref="C310:C315"/>
    <mergeCell ref="AV256:AV261"/>
    <mergeCell ref="AW256:AW261"/>
    <mergeCell ref="AX256:AX261"/>
    <mergeCell ref="C262:C267"/>
    <mergeCell ref="AF262:AF267"/>
    <mergeCell ref="AG262:AG267"/>
    <mergeCell ref="AH262:AH267"/>
    <mergeCell ref="AI262:AI267"/>
    <mergeCell ref="AJ262:AJ267"/>
    <mergeCell ref="AK262:AK267"/>
    <mergeCell ref="AL262:AL267"/>
    <mergeCell ref="AM262:AM267"/>
    <mergeCell ref="AN262:AN267"/>
    <mergeCell ref="AO262:AO267"/>
    <mergeCell ref="AP262:AP267"/>
    <mergeCell ref="AQ262:AQ267"/>
    <mergeCell ref="AR262:AR267"/>
    <mergeCell ref="AS262:AS267"/>
    <mergeCell ref="AT262:AT267"/>
    <mergeCell ref="AU262:AU267"/>
    <mergeCell ref="AV262:AV267"/>
    <mergeCell ref="AW262:AW267"/>
    <mergeCell ref="AX262:AX267"/>
    <mergeCell ref="C256:C261"/>
    <mergeCell ref="AF256:AF261"/>
    <mergeCell ref="AG256:AG261"/>
    <mergeCell ref="AW622:AW627"/>
    <mergeCell ref="AX622:AX627"/>
    <mergeCell ref="AY622:AY627"/>
    <mergeCell ref="C646:C651"/>
    <mergeCell ref="AF646:AF651"/>
    <mergeCell ref="AG646:AG651"/>
    <mergeCell ref="AH646:AH651"/>
    <mergeCell ref="AW640:AW645"/>
    <mergeCell ref="AY640:AY645"/>
    <mergeCell ref="AG640:AG645"/>
    <mergeCell ref="AH640:AH645"/>
    <mergeCell ref="AM640:AM645"/>
    <mergeCell ref="AN640:AN645"/>
    <mergeCell ref="AN256:AN261"/>
    <mergeCell ref="AO256:AO261"/>
    <mergeCell ref="AP256:AP261"/>
    <mergeCell ref="AQ256:AQ261"/>
    <mergeCell ref="AR256:AR261"/>
    <mergeCell ref="AS256:AS261"/>
    <mergeCell ref="AT256:AT261"/>
    <mergeCell ref="AU256:AU261"/>
    <mergeCell ref="AV316:AV321"/>
    <mergeCell ref="AW316:AW321"/>
    <mergeCell ref="AX316:AX321"/>
    <mergeCell ref="C316:C321"/>
    <mergeCell ref="AF316:AF321"/>
    <mergeCell ref="AG622:AG627"/>
    <mergeCell ref="AH622:AH627"/>
    <mergeCell ref="AI622:AI627"/>
    <mergeCell ref="AJ622:AJ627"/>
    <mergeCell ref="AK622:AK627"/>
    <mergeCell ref="AL622:AL627"/>
    <mergeCell ref="AM622:AM627"/>
    <mergeCell ref="AN622:AN627"/>
    <mergeCell ref="AO622:AO627"/>
    <mergeCell ref="AP622:AP627"/>
    <mergeCell ref="AH466:AH471"/>
    <mergeCell ref="AI466:AI471"/>
    <mergeCell ref="AJ466:AJ471"/>
    <mergeCell ref="AK466:AK471"/>
    <mergeCell ref="AL466:AL471"/>
    <mergeCell ref="AF490:AF495"/>
    <mergeCell ref="AG490:AG495"/>
    <mergeCell ref="AH490:AH495"/>
    <mergeCell ref="AI490:AI495"/>
    <mergeCell ref="AJ490:AJ495"/>
    <mergeCell ref="AK490:AK495"/>
    <mergeCell ref="AL490:AL495"/>
    <mergeCell ref="AF478:AF483"/>
    <mergeCell ref="AG478:AG483"/>
    <mergeCell ref="AH478:AH483"/>
    <mergeCell ref="AT622:AT627"/>
    <mergeCell ref="AU622:AU627"/>
    <mergeCell ref="AV622:AV627"/>
    <mergeCell ref="AY682:AY687"/>
    <mergeCell ref="AT712:AT717"/>
    <mergeCell ref="AU712:AU717"/>
    <mergeCell ref="AV712:AV717"/>
    <mergeCell ref="AW712:AW717"/>
    <mergeCell ref="AX712:AX717"/>
    <mergeCell ref="AP682:AP687"/>
    <mergeCell ref="AQ682:AQ687"/>
    <mergeCell ref="AR682:AR687"/>
    <mergeCell ref="AS682:AS687"/>
    <mergeCell ref="AT682:AT687"/>
    <mergeCell ref="AU682:AU687"/>
    <mergeCell ref="AV682:AV687"/>
    <mergeCell ref="AU706:AU711"/>
    <mergeCell ref="AV706:AV711"/>
    <mergeCell ref="AW682:AW687"/>
    <mergeCell ref="AX682:AX687"/>
    <mergeCell ref="AW706:AW711"/>
    <mergeCell ref="AX706:AX711"/>
    <mergeCell ref="AR694:AR699"/>
    <mergeCell ref="AS694:AS699"/>
    <mergeCell ref="AT694:AT699"/>
    <mergeCell ref="AU694:AU699"/>
    <mergeCell ref="AV694:AV699"/>
    <mergeCell ref="AR700:AR705"/>
    <mergeCell ref="AS700:AS705"/>
    <mergeCell ref="AR712:AR717"/>
    <mergeCell ref="AS712:AS717"/>
    <mergeCell ref="AK712:AK717"/>
    <mergeCell ref="AL712:AL717"/>
    <mergeCell ref="AM712:AM717"/>
    <mergeCell ref="AN712:AN717"/>
    <mergeCell ref="AO712:AO717"/>
    <mergeCell ref="AP712:AP717"/>
    <mergeCell ref="AQ712:AQ717"/>
    <mergeCell ref="AT706:AT711"/>
    <mergeCell ref="AJ676:AJ681"/>
    <mergeCell ref="AK676:AK681"/>
    <mergeCell ref="AM676:AM681"/>
    <mergeCell ref="AN676:AN681"/>
    <mergeCell ref="AO676:AO681"/>
    <mergeCell ref="AP676:AP681"/>
    <mergeCell ref="AQ676:AQ681"/>
    <mergeCell ref="AP700:AP705"/>
    <mergeCell ref="AQ700:AQ705"/>
    <mergeCell ref="AR706:AR711"/>
    <mergeCell ref="AS706:AS711"/>
    <mergeCell ref="AP688:AP693"/>
    <mergeCell ref="AQ688:AQ693"/>
    <mergeCell ref="AR688:AR693"/>
    <mergeCell ref="AS688:AS693"/>
    <mergeCell ref="I742:Q742"/>
    <mergeCell ref="I743:Q743"/>
    <mergeCell ref="AP730:AP735"/>
    <mergeCell ref="AQ730:AQ735"/>
    <mergeCell ref="AR730:AR735"/>
    <mergeCell ref="AS730:AS735"/>
    <mergeCell ref="AT730:AT735"/>
    <mergeCell ref="AU730:AU735"/>
    <mergeCell ref="AV730:AV735"/>
    <mergeCell ref="AM724:AM729"/>
    <mergeCell ref="AN724:AN729"/>
    <mergeCell ref="AO724:AO729"/>
    <mergeCell ref="AG730:AG735"/>
    <mergeCell ref="AH730:AH735"/>
    <mergeCell ref="AI730:AI735"/>
    <mergeCell ref="AJ730:AJ735"/>
    <mergeCell ref="AK730:AK735"/>
    <mergeCell ref="AL730:AL735"/>
    <mergeCell ref="AM730:AM735"/>
    <mergeCell ref="AN730:AN735"/>
    <mergeCell ref="AO730:AO735"/>
    <mergeCell ref="AG724:AG729"/>
    <mergeCell ref="AH724:AH729"/>
    <mergeCell ref="AI724:AI729"/>
    <mergeCell ref="AJ724:AJ729"/>
    <mergeCell ref="AK724:AK729"/>
    <mergeCell ref="AL724:AL729"/>
    <mergeCell ref="AI664:AI669"/>
    <mergeCell ref="AJ664:AJ669"/>
    <mergeCell ref="AK664:AK669"/>
    <mergeCell ref="AM664:AM669"/>
    <mergeCell ref="AN664:AN669"/>
    <mergeCell ref="AO664:AO669"/>
    <mergeCell ref="AP664:AP669"/>
    <mergeCell ref="AQ664:AQ669"/>
    <mergeCell ref="AV670:AV675"/>
    <mergeCell ref="AX640:AX645"/>
    <mergeCell ref="AX664:AX669"/>
    <mergeCell ref="AS640:AS645"/>
    <mergeCell ref="AW730:AW735"/>
    <mergeCell ref="AX730:AX735"/>
    <mergeCell ref="I741:Q741"/>
    <mergeCell ref="AF676:AF681"/>
    <mergeCell ref="AF682:AF687"/>
    <mergeCell ref="AF688:AF693"/>
    <mergeCell ref="AF694:AF699"/>
    <mergeCell ref="AF700:AF705"/>
    <mergeCell ref="AF706:AF711"/>
    <mergeCell ref="AF664:AF675"/>
    <mergeCell ref="AG664:AG669"/>
    <mergeCell ref="AG670:AG675"/>
    <mergeCell ref="AR676:AR681"/>
    <mergeCell ref="AS676:AS681"/>
    <mergeCell ref="AT676:AT681"/>
    <mergeCell ref="AU676:AU681"/>
    <mergeCell ref="AV676:AV681"/>
    <mergeCell ref="AW676:AW681"/>
    <mergeCell ref="AX676:AX681"/>
    <mergeCell ref="AL676:AL681"/>
    <mergeCell ref="AW718:AW723"/>
    <mergeCell ref="AX718:AX723"/>
    <mergeCell ref="AP718:AP723"/>
    <mergeCell ref="AQ718:AQ723"/>
    <mergeCell ref="AR718:AR723"/>
    <mergeCell ref="AS718:AS723"/>
    <mergeCell ref="AT718:AT723"/>
    <mergeCell ref="AU718:AU723"/>
    <mergeCell ref="AV718:AV723"/>
    <mergeCell ref="AW724:AW729"/>
    <mergeCell ref="AX724:AX729"/>
    <mergeCell ref="AP724:AP729"/>
    <mergeCell ref="AQ724:AQ729"/>
    <mergeCell ref="AR724:AR729"/>
    <mergeCell ref="AS724:AS729"/>
    <mergeCell ref="AT724:AT729"/>
    <mergeCell ref="AU724:AU729"/>
    <mergeCell ref="AV724:AV729"/>
    <mergeCell ref="AI718:AI723"/>
    <mergeCell ref="AJ718:AJ723"/>
    <mergeCell ref="AG682:AG687"/>
    <mergeCell ref="AG688:AG693"/>
    <mergeCell ref="AF724:AF735"/>
    <mergeCell ref="AG712:AG717"/>
    <mergeCell ref="AH712:AH717"/>
    <mergeCell ref="AI712:AI717"/>
    <mergeCell ref="AJ712:AJ717"/>
    <mergeCell ref="AG718:AG723"/>
    <mergeCell ref="AH718:AH723"/>
    <mergeCell ref="AK718:AK723"/>
    <mergeCell ref="AL718:AL723"/>
    <mergeCell ref="AM718:AM723"/>
    <mergeCell ref="AN718:AN723"/>
    <mergeCell ref="AO718:AO723"/>
    <mergeCell ref="AO700:AO705"/>
    <mergeCell ref="AG706:AG711"/>
    <mergeCell ref="AM688:AM693"/>
    <mergeCell ref="AN688:AN693"/>
    <mergeCell ref="AO688:AO693"/>
    <mergeCell ref="AF712:AF723"/>
    <mergeCell ref="AL700:AL705"/>
    <mergeCell ref="AO694:AO699"/>
    <mergeCell ref="AJ682:AJ687"/>
    <mergeCell ref="AK682:AK687"/>
    <mergeCell ref="AL682:AL687"/>
    <mergeCell ref="AM682:AM687"/>
    <mergeCell ref="AN682:AN687"/>
    <mergeCell ref="AO682:AO687"/>
    <mergeCell ref="AU652:AU657"/>
    <mergeCell ref="AV652:AV657"/>
    <mergeCell ref="AW652:AW657"/>
    <mergeCell ref="AX652:AX657"/>
    <mergeCell ref="AY652:AY657"/>
    <mergeCell ref="AL652:AL657"/>
    <mergeCell ref="AM652:AM657"/>
    <mergeCell ref="AN652:AN657"/>
    <mergeCell ref="AO652:AO657"/>
    <mergeCell ref="AP652:AP657"/>
    <mergeCell ref="AQ652:AQ657"/>
    <mergeCell ref="AR652:AR657"/>
    <mergeCell ref="AS646:AS651"/>
    <mergeCell ref="AY646:AY651"/>
    <mergeCell ref="AT700:AT705"/>
    <mergeCell ref="AU700:AU705"/>
    <mergeCell ref="AV700:AV705"/>
    <mergeCell ref="AW700:AW705"/>
    <mergeCell ref="AX700:AX705"/>
    <mergeCell ref="AW694:AW699"/>
    <mergeCell ref="AX694:AX699"/>
    <mergeCell ref="AM670:AM675"/>
    <mergeCell ref="AN670:AN675"/>
    <mergeCell ref="AO670:AO675"/>
    <mergeCell ref="AK658:AK663"/>
    <mergeCell ref="AL658:AL663"/>
    <mergeCell ref="AM658:AM663"/>
    <mergeCell ref="AU658:AU663"/>
    <mergeCell ref="AV658:AV663"/>
    <mergeCell ref="AI634:AI639"/>
    <mergeCell ref="AI646:AI651"/>
    <mergeCell ref="AJ646:AJ651"/>
    <mergeCell ref="AK646:AK651"/>
    <mergeCell ref="AL646:AL651"/>
    <mergeCell ref="AM646:AM651"/>
    <mergeCell ref="AN646:AN651"/>
    <mergeCell ref="AO646:AO651"/>
    <mergeCell ref="AP646:AP651"/>
    <mergeCell ref="AQ646:AQ651"/>
    <mergeCell ref="AR646:AR651"/>
    <mergeCell ref="AI640:AI645"/>
    <mergeCell ref="AJ640:AJ645"/>
    <mergeCell ref="AK640:AK645"/>
    <mergeCell ref="AL640:AL645"/>
    <mergeCell ref="AT646:AT651"/>
    <mergeCell ref="AU646:AU651"/>
    <mergeCell ref="AV646:AV651"/>
    <mergeCell ref="AT634:AT639"/>
    <mergeCell ref="AU634:AU639"/>
    <mergeCell ref="AV634:AV639"/>
    <mergeCell ref="AM634:AM639"/>
    <mergeCell ref="AN634:AN639"/>
    <mergeCell ref="AO634:AO639"/>
    <mergeCell ref="AU508:AU513"/>
    <mergeCell ref="AM508:AM513"/>
    <mergeCell ref="AN508:AN513"/>
    <mergeCell ref="AO508:AO513"/>
    <mergeCell ref="AP508:AP513"/>
    <mergeCell ref="AQ508:AQ513"/>
    <mergeCell ref="AT670:AT675"/>
    <mergeCell ref="AU670:AU675"/>
    <mergeCell ref="AY664:AY669"/>
    <mergeCell ref="AY670:AY675"/>
    <mergeCell ref="AR664:AR669"/>
    <mergeCell ref="AS664:AS669"/>
    <mergeCell ref="AT664:AT669"/>
    <mergeCell ref="AU664:AU669"/>
    <mergeCell ref="AV664:AV669"/>
    <mergeCell ref="AW664:AW669"/>
    <mergeCell ref="AP634:AP639"/>
    <mergeCell ref="AQ634:AQ639"/>
    <mergeCell ref="AR634:AR639"/>
    <mergeCell ref="AS634:AS639"/>
    <mergeCell ref="AT640:AT645"/>
    <mergeCell ref="AU640:AU645"/>
    <mergeCell ref="AV640:AV645"/>
    <mergeCell ref="AW646:AW651"/>
    <mergeCell ref="AX646:AX651"/>
    <mergeCell ref="AR640:AR645"/>
    <mergeCell ref="AW670:AW675"/>
    <mergeCell ref="AX670:AX675"/>
    <mergeCell ref="AP670:AP675"/>
    <mergeCell ref="AQ670:AQ675"/>
    <mergeCell ref="AR670:AR675"/>
    <mergeCell ref="AS670:AS675"/>
    <mergeCell ref="AM526:AM531"/>
    <mergeCell ref="AN526:AN531"/>
    <mergeCell ref="AO526:AO531"/>
    <mergeCell ref="AP526:AP531"/>
    <mergeCell ref="AQ526:AQ531"/>
    <mergeCell ref="AR526:AR531"/>
    <mergeCell ref="AS526:AS531"/>
    <mergeCell ref="AF628:AF633"/>
    <mergeCell ref="AG628:AG633"/>
    <mergeCell ref="AH628:AH633"/>
    <mergeCell ref="AI628:AI633"/>
    <mergeCell ref="AJ628:AJ633"/>
    <mergeCell ref="AK628:AK633"/>
    <mergeCell ref="AL628:AL633"/>
    <mergeCell ref="AF508:AF513"/>
    <mergeCell ref="AG508:AG513"/>
    <mergeCell ref="AH508:AH513"/>
    <mergeCell ref="AI508:AI513"/>
    <mergeCell ref="AJ508:AJ513"/>
    <mergeCell ref="AK508:AK513"/>
    <mergeCell ref="AL508:AL513"/>
    <mergeCell ref="AM628:AM633"/>
    <mergeCell ref="AN628:AN633"/>
    <mergeCell ref="AO628:AO633"/>
    <mergeCell ref="AP628:AP633"/>
    <mergeCell ref="AQ628:AQ633"/>
    <mergeCell ref="AR628:AR633"/>
    <mergeCell ref="AS628:AS633"/>
    <mergeCell ref="AQ622:AQ627"/>
    <mergeCell ref="AR622:AR627"/>
    <mergeCell ref="AS622:AS627"/>
    <mergeCell ref="AF622:AF627"/>
    <mergeCell ref="AT472:AT477"/>
    <mergeCell ref="AU472:AU477"/>
    <mergeCell ref="AV472:AV477"/>
    <mergeCell ref="AW472:AW477"/>
    <mergeCell ref="AX472:AX477"/>
    <mergeCell ref="AY472:AY477"/>
    <mergeCell ref="AM472:AM477"/>
    <mergeCell ref="AN472:AN477"/>
    <mergeCell ref="AO472:AO477"/>
    <mergeCell ref="AP472:AP477"/>
    <mergeCell ref="AQ472:AQ477"/>
    <mergeCell ref="AR472:AR477"/>
    <mergeCell ref="AS472:AS477"/>
    <mergeCell ref="AF472:AF477"/>
    <mergeCell ref="AG472:AG477"/>
    <mergeCell ref="AH472:AH477"/>
    <mergeCell ref="AI472:AI477"/>
    <mergeCell ref="AJ472:AJ477"/>
    <mergeCell ref="AK472:AK477"/>
    <mergeCell ref="AL472:AL477"/>
    <mergeCell ref="AS466:AS471"/>
    <mergeCell ref="C64:C69"/>
    <mergeCell ref="C70:C75"/>
    <mergeCell ref="C76:C81"/>
    <mergeCell ref="C82:C87"/>
    <mergeCell ref="C88:C93"/>
    <mergeCell ref="C94:C99"/>
    <mergeCell ref="C100:C105"/>
    <mergeCell ref="C106:C111"/>
    <mergeCell ref="C112:C117"/>
    <mergeCell ref="C118:C123"/>
    <mergeCell ref="C124:C129"/>
    <mergeCell ref="C130:C135"/>
    <mergeCell ref="C136:C141"/>
    <mergeCell ref="AG406:AG411"/>
    <mergeCell ref="AG412:AG417"/>
    <mergeCell ref="S406:S411"/>
    <mergeCell ref="AF406:AF417"/>
    <mergeCell ref="AH406:AH411"/>
    <mergeCell ref="AI406:AI411"/>
    <mergeCell ref="AG316:AG321"/>
    <mergeCell ref="AH316:AH321"/>
    <mergeCell ref="AI316:AI321"/>
    <mergeCell ref="AJ316:AJ321"/>
    <mergeCell ref="AK316:AK321"/>
    <mergeCell ref="AL316:AL321"/>
    <mergeCell ref="AH256:AH261"/>
    <mergeCell ref="AI256:AI261"/>
    <mergeCell ref="AJ256:AJ261"/>
    <mergeCell ref="AK256:AK261"/>
    <mergeCell ref="AL256:AL261"/>
    <mergeCell ref="AM256:AM261"/>
    <mergeCell ref="A6:D6"/>
    <mergeCell ref="A10:A141"/>
    <mergeCell ref="B10:B141"/>
    <mergeCell ref="C10:C15"/>
    <mergeCell ref="C16:C21"/>
    <mergeCell ref="C22:C27"/>
    <mergeCell ref="C28:C33"/>
    <mergeCell ref="AW52:AW57"/>
    <mergeCell ref="AX52:AX57"/>
    <mergeCell ref="C34:C39"/>
    <mergeCell ref="C40:C45"/>
    <mergeCell ref="AP22:AP27"/>
    <mergeCell ref="AQ22:AQ27"/>
    <mergeCell ref="AR22:AR27"/>
    <mergeCell ref="AS22:AS27"/>
    <mergeCell ref="AT22:AT27"/>
    <mergeCell ref="AU22:AU27"/>
    <mergeCell ref="AV22:AV27"/>
    <mergeCell ref="AU58:AU63"/>
    <mergeCell ref="AV58:AV63"/>
    <mergeCell ref="AW58:AW63"/>
    <mergeCell ref="AX58:AX63"/>
    <mergeCell ref="AP58:AP63"/>
    <mergeCell ref="AQ58:AQ63"/>
    <mergeCell ref="AR58:AR63"/>
    <mergeCell ref="AS58:AS63"/>
    <mergeCell ref="AT58:AT63"/>
    <mergeCell ref="C58:C63"/>
    <mergeCell ref="AW46:AW51"/>
    <mergeCell ref="AX46:AX51"/>
    <mergeCell ref="AP46:AP51"/>
    <mergeCell ref="AQ46:AQ51"/>
    <mergeCell ref="AF40:AF45"/>
    <mergeCell ref="AG40:AG45"/>
    <mergeCell ref="AG8:AK8"/>
    <mergeCell ref="AL8:AM8"/>
    <mergeCell ref="AY8:AY9"/>
    <mergeCell ref="S10:S15"/>
    <mergeCell ref="AF10:AF15"/>
    <mergeCell ref="AG10:AG15"/>
    <mergeCell ref="AH10:AH15"/>
    <mergeCell ref="AL52:AL57"/>
    <mergeCell ref="AM52:AM57"/>
    <mergeCell ref="C46:C51"/>
    <mergeCell ref="C52:C57"/>
    <mergeCell ref="AF52:AF57"/>
    <mergeCell ref="AG52:AG57"/>
    <mergeCell ref="AH52:AH57"/>
    <mergeCell ref="AI52:AI57"/>
    <mergeCell ref="AK52:AK57"/>
    <mergeCell ref="AH40:AH45"/>
    <mergeCell ref="AI40:AI45"/>
    <mergeCell ref="AK40:AK45"/>
    <mergeCell ref="AL40:AL45"/>
    <mergeCell ref="AM40:AM45"/>
    <mergeCell ref="AF34:AF39"/>
    <mergeCell ref="AG34:AG39"/>
    <mergeCell ref="AH34:AH39"/>
    <mergeCell ref="AI34:AI39"/>
    <mergeCell ref="A1:D3"/>
    <mergeCell ref="E1:AY1"/>
    <mergeCell ref="E2:AY2"/>
    <mergeCell ref="E3:AD3"/>
    <mergeCell ref="AE3:AY3"/>
    <mergeCell ref="A4:D4"/>
    <mergeCell ref="E4:AY4"/>
    <mergeCell ref="A5:D5"/>
    <mergeCell ref="E5:AY5"/>
    <mergeCell ref="E6:AY6"/>
    <mergeCell ref="A8:F8"/>
    <mergeCell ref="G8:S8"/>
    <mergeCell ref="T8:AF8"/>
    <mergeCell ref="AO8:AX8"/>
    <mergeCell ref="AW22:AW27"/>
    <mergeCell ref="AX22:AX27"/>
    <mergeCell ref="C742:H742"/>
    <mergeCell ref="A556:A663"/>
    <mergeCell ref="B556:B663"/>
    <mergeCell ref="A664:A675"/>
    <mergeCell ref="B664:B675"/>
    <mergeCell ref="A676:A711"/>
    <mergeCell ref="B676:B711"/>
    <mergeCell ref="B712:B723"/>
    <mergeCell ref="B724:B735"/>
    <mergeCell ref="C568:C573"/>
    <mergeCell ref="C574:C579"/>
    <mergeCell ref="C580:C585"/>
    <mergeCell ref="C586:C591"/>
    <mergeCell ref="C592:C597"/>
    <mergeCell ref="C598:C603"/>
    <mergeCell ref="C604:C609"/>
    <mergeCell ref="C743:H743"/>
    <mergeCell ref="C706:C711"/>
    <mergeCell ref="C712:C717"/>
    <mergeCell ref="C718:C723"/>
    <mergeCell ref="C724:C729"/>
    <mergeCell ref="C730:C735"/>
    <mergeCell ref="A736:C738"/>
    <mergeCell ref="C741:H741"/>
    <mergeCell ref="C160:C165"/>
    <mergeCell ref="C166:C171"/>
    <mergeCell ref="C172:C177"/>
    <mergeCell ref="C178:C183"/>
    <mergeCell ref="C184:C189"/>
    <mergeCell ref="C190:C195"/>
    <mergeCell ref="C196:C201"/>
    <mergeCell ref="C202:C207"/>
    <mergeCell ref="C208:C213"/>
    <mergeCell ref="C214:C219"/>
    <mergeCell ref="C220:C225"/>
    <mergeCell ref="C226:C231"/>
    <mergeCell ref="C250:C255"/>
    <mergeCell ref="C268:C273"/>
    <mergeCell ref="C274:C279"/>
    <mergeCell ref="C280:C285"/>
    <mergeCell ref="C286:C291"/>
    <mergeCell ref="C526:C531"/>
    <mergeCell ref="C532:C537"/>
    <mergeCell ref="C538:C543"/>
    <mergeCell ref="C544:C549"/>
    <mergeCell ref="C550:C555"/>
    <mergeCell ref="C556:C561"/>
    <mergeCell ref="A724:A735"/>
    <mergeCell ref="C652:C657"/>
    <mergeCell ref="C658:C663"/>
    <mergeCell ref="C664:C669"/>
    <mergeCell ref="C670:C675"/>
    <mergeCell ref="C676:C681"/>
    <mergeCell ref="C682:C687"/>
    <mergeCell ref="C688:C693"/>
    <mergeCell ref="C694:C699"/>
    <mergeCell ref="C700:C705"/>
    <mergeCell ref="C562:C567"/>
    <mergeCell ref="C622:C627"/>
    <mergeCell ref="C232:C237"/>
    <mergeCell ref="C238:C243"/>
    <mergeCell ref="C334:C339"/>
    <mergeCell ref="C340:C345"/>
    <mergeCell ref="C346:C351"/>
    <mergeCell ref="C352:C357"/>
    <mergeCell ref="C496:C501"/>
    <mergeCell ref="C502:C507"/>
    <mergeCell ref="C508:C513"/>
    <mergeCell ref="A142:A249"/>
    <mergeCell ref="A250:A405"/>
    <mergeCell ref="B250:B405"/>
    <mergeCell ref="A406:A417"/>
    <mergeCell ref="B406:B417"/>
    <mergeCell ref="A418:A555"/>
    <mergeCell ref="B418:B555"/>
    <mergeCell ref="A712:A723"/>
    <mergeCell ref="C418:C423"/>
    <mergeCell ref="C424:C429"/>
    <mergeCell ref="C430:C435"/>
    <mergeCell ref="C436:C441"/>
    <mergeCell ref="C442:C447"/>
    <mergeCell ref="C448:C453"/>
    <mergeCell ref="C454:C459"/>
    <mergeCell ref="C460:C465"/>
    <mergeCell ref="C466:C471"/>
    <mergeCell ref="C514:C519"/>
    <mergeCell ref="C520:C525"/>
    <mergeCell ref="C472:C477"/>
    <mergeCell ref="C478:C483"/>
    <mergeCell ref="C484:C489"/>
    <mergeCell ref="C490:C495"/>
    <mergeCell ref="C400:C405"/>
    <mergeCell ref="C406:C411"/>
    <mergeCell ref="C412:C417"/>
    <mergeCell ref="C328:C333"/>
    <mergeCell ref="C610:C615"/>
    <mergeCell ref="C616:C621"/>
    <mergeCell ref="C628:C633"/>
    <mergeCell ref="C634:C639"/>
    <mergeCell ref="C640:C645"/>
    <mergeCell ref="AH502:AH507"/>
    <mergeCell ref="AI502:AI507"/>
    <mergeCell ref="AJ502:AJ507"/>
    <mergeCell ref="AK502:AK507"/>
    <mergeCell ref="AL502:AL507"/>
    <mergeCell ref="AT508:AT513"/>
    <mergeCell ref="AR508:AR513"/>
    <mergeCell ref="AS508:AS513"/>
    <mergeCell ref="AT496:AT501"/>
    <mergeCell ref="AU496:AU501"/>
    <mergeCell ref="AV496:AV501"/>
    <mergeCell ref="AW496:AW501"/>
    <mergeCell ref="AX496:AX501"/>
    <mergeCell ref="AY496:AY501"/>
    <mergeCell ref="AY502:AY507"/>
    <mergeCell ref="B142:B249"/>
    <mergeCell ref="C142:C147"/>
    <mergeCell ref="C148:C153"/>
    <mergeCell ref="C154:C159"/>
    <mergeCell ref="C244:C249"/>
    <mergeCell ref="AT466:AT471"/>
    <mergeCell ref="AU466:AU471"/>
    <mergeCell ref="AV466:AV471"/>
    <mergeCell ref="AW466:AW471"/>
    <mergeCell ref="AX466:AX471"/>
    <mergeCell ref="AY466:AY471"/>
    <mergeCell ref="AM466:AM471"/>
    <mergeCell ref="AN466:AN471"/>
    <mergeCell ref="AO466:AO471"/>
    <mergeCell ref="AP466:AP471"/>
    <mergeCell ref="AQ466:AQ471"/>
    <mergeCell ref="AR466:AR471"/>
    <mergeCell ref="AW508:AW513"/>
    <mergeCell ref="AX508:AX513"/>
    <mergeCell ref="AT502:AT507"/>
    <mergeCell ref="AU502:AU507"/>
    <mergeCell ref="AV502:AV507"/>
    <mergeCell ref="AW502:AW507"/>
    <mergeCell ref="AX502:AX507"/>
    <mergeCell ref="AV508:AV513"/>
    <mergeCell ref="AM496:AM501"/>
    <mergeCell ref="AN496:AN501"/>
    <mergeCell ref="AO496:AO501"/>
    <mergeCell ref="AP496:AP501"/>
    <mergeCell ref="AQ496:AQ501"/>
    <mergeCell ref="AR496:AR501"/>
    <mergeCell ref="AS496:AS501"/>
    <mergeCell ref="AY508:AY513"/>
    <mergeCell ref="AF496:AF501"/>
    <mergeCell ref="AG496:AG501"/>
    <mergeCell ref="AH496:AH501"/>
    <mergeCell ref="AI496:AI501"/>
    <mergeCell ref="AJ496:AJ501"/>
    <mergeCell ref="AK496:AK501"/>
    <mergeCell ref="AL496:AL501"/>
    <mergeCell ref="AM502:AM507"/>
    <mergeCell ref="AN502:AN507"/>
    <mergeCell ref="AO502:AO507"/>
    <mergeCell ref="AP502:AP507"/>
    <mergeCell ref="AQ502:AQ507"/>
    <mergeCell ref="AR502:AR507"/>
    <mergeCell ref="AS502:AS507"/>
    <mergeCell ref="AF502:AF507"/>
    <mergeCell ref="AG502:AG507"/>
    <mergeCell ref="AT484:AT489"/>
    <mergeCell ref="AU484:AU489"/>
    <mergeCell ref="AV484:AV489"/>
    <mergeCell ref="AW484:AW489"/>
    <mergeCell ref="AX484:AX489"/>
    <mergeCell ref="AY484:AY489"/>
    <mergeCell ref="AV490:AV495"/>
    <mergeCell ref="AY490:AY495"/>
    <mergeCell ref="AT490:AT495"/>
    <mergeCell ref="AU490:AU495"/>
    <mergeCell ref="AM490:AM495"/>
    <mergeCell ref="AN490:AN495"/>
    <mergeCell ref="AO490:AO495"/>
    <mergeCell ref="AP490:AP495"/>
    <mergeCell ref="AQ490:AQ495"/>
    <mergeCell ref="AR490:AR495"/>
    <mergeCell ref="AS490:AS495"/>
    <mergeCell ref="AW490:AW495"/>
    <mergeCell ref="AX490:AX495"/>
    <mergeCell ref="AI478:AI483"/>
    <mergeCell ref="AJ478:AJ483"/>
    <mergeCell ref="AK478:AK483"/>
    <mergeCell ref="AL478:AL483"/>
    <mergeCell ref="AM484:AM489"/>
    <mergeCell ref="AN484:AN489"/>
    <mergeCell ref="AO484:AO489"/>
    <mergeCell ref="AP484:AP489"/>
    <mergeCell ref="AQ484:AQ489"/>
    <mergeCell ref="AR484:AR489"/>
    <mergeCell ref="AS484:AS489"/>
    <mergeCell ref="AF484:AF489"/>
    <mergeCell ref="AG484:AG489"/>
    <mergeCell ref="AH484:AH489"/>
    <mergeCell ref="AI484:AI489"/>
    <mergeCell ref="AJ484:AJ489"/>
    <mergeCell ref="AK484:AK489"/>
    <mergeCell ref="AL484:AL489"/>
    <mergeCell ref="AT478:AT483"/>
    <mergeCell ref="AU478:AU483"/>
    <mergeCell ref="AV478:AV483"/>
    <mergeCell ref="AW478:AW483"/>
    <mergeCell ref="AX478:AX483"/>
    <mergeCell ref="AY478:AY483"/>
    <mergeCell ref="AM478:AM483"/>
    <mergeCell ref="AN478:AN483"/>
    <mergeCell ref="AO478:AO483"/>
    <mergeCell ref="AP478:AP483"/>
    <mergeCell ref="AQ478:AQ483"/>
    <mergeCell ref="AR478:AR483"/>
    <mergeCell ref="AS478:AS483"/>
    <mergeCell ref="AM406:AM411"/>
    <mergeCell ref="AN406:AN411"/>
    <mergeCell ref="AO406:AO411"/>
    <mergeCell ref="AP406:AP411"/>
    <mergeCell ref="AX406:AX411"/>
    <mergeCell ref="AY406:AY411"/>
    <mergeCell ref="AX412:AX417"/>
    <mergeCell ref="AQ406:AQ411"/>
    <mergeCell ref="AR406:AR411"/>
    <mergeCell ref="AS406:AS411"/>
    <mergeCell ref="AT406:AT411"/>
    <mergeCell ref="AU406:AU411"/>
    <mergeCell ref="AV406:AV411"/>
    <mergeCell ref="AW406:AW411"/>
    <mergeCell ref="AV460:AV465"/>
    <mergeCell ref="AW460:AW465"/>
    <mergeCell ref="AX460:AX465"/>
    <mergeCell ref="AY460:AY465"/>
    <mergeCell ref="AV454:AV459"/>
    <mergeCell ref="C370:C375"/>
    <mergeCell ref="C376:C381"/>
    <mergeCell ref="C382:C387"/>
    <mergeCell ref="C388:C393"/>
    <mergeCell ref="C394:C399"/>
    <mergeCell ref="AJ406:AJ411"/>
    <mergeCell ref="AK406:AK411"/>
    <mergeCell ref="AL406:AL411"/>
    <mergeCell ref="AI382:AI387"/>
    <mergeCell ref="AJ382:AJ387"/>
    <mergeCell ref="AK382:AK387"/>
    <mergeCell ref="AL382:AL387"/>
    <mergeCell ref="AF370:AF375"/>
    <mergeCell ref="AG370:AG375"/>
    <mergeCell ref="AH370:AH375"/>
    <mergeCell ref="AF358:AF363"/>
    <mergeCell ref="AG358:AG363"/>
    <mergeCell ref="AH358:AH363"/>
    <mergeCell ref="AI358:AI363"/>
    <mergeCell ref="AJ358:AJ363"/>
    <mergeCell ref="AF364:AF369"/>
    <mergeCell ref="AG364:AG369"/>
    <mergeCell ref="AH364:AH369"/>
    <mergeCell ref="AI364:AI369"/>
    <mergeCell ref="AS358:AS363"/>
    <mergeCell ref="AT358:AT363"/>
    <mergeCell ref="AU358:AU363"/>
    <mergeCell ref="AV358:AV363"/>
    <mergeCell ref="AW358:AW363"/>
    <mergeCell ref="AX358:AX363"/>
    <mergeCell ref="AK358:AK363"/>
    <mergeCell ref="AL358:AL363"/>
    <mergeCell ref="AM358:AM363"/>
    <mergeCell ref="AN358:AN363"/>
    <mergeCell ref="AO358:AO363"/>
    <mergeCell ref="AP358:AP363"/>
    <mergeCell ref="AQ358:AQ363"/>
    <mergeCell ref="AT364:AT369"/>
    <mergeCell ref="AU364:AU369"/>
    <mergeCell ref="AV364:AV369"/>
    <mergeCell ref="AW364:AW369"/>
    <mergeCell ref="AX364:AX369"/>
    <mergeCell ref="AM364:AM369"/>
    <mergeCell ref="AN364:AN369"/>
    <mergeCell ref="AO364:AO369"/>
    <mergeCell ref="AP364:AP369"/>
    <mergeCell ref="AQ364:AQ369"/>
    <mergeCell ref="AR364:AR369"/>
    <mergeCell ref="AS364:AS369"/>
    <mergeCell ref="AK364:AK369"/>
    <mergeCell ref="AL364:AL369"/>
    <mergeCell ref="AR358:AR363"/>
    <mergeCell ref="AJ364:AJ369"/>
    <mergeCell ref="C358:C363"/>
    <mergeCell ref="C364:C369"/>
    <mergeCell ref="AF340:AF345"/>
    <mergeCell ref="AG340:AG345"/>
    <mergeCell ref="AH340:AH345"/>
    <mergeCell ref="AI340:AI345"/>
    <mergeCell ref="AJ340:AJ345"/>
    <mergeCell ref="AF334:AF339"/>
    <mergeCell ref="AG334:AG339"/>
    <mergeCell ref="AH334:AH339"/>
    <mergeCell ref="AI334:AI339"/>
    <mergeCell ref="AJ334:AJ339"/>
    <mergeCell ref="AY706:AY711"/>
    <mergeCell ref="AK706:AK711"/>
    <mergeCell ref="AL706:AL711"/>
    <mergeCell ref="AM706:AM711"/>
    <mergeCell ref="AN706:AN711"/>
    <mergeCell ref="AO706:AO711"/>
    <mergeCell ref="AP706:AP711"/>
    <mergeCell ref="AQ706:AQ711"/>
    <mergeCell ref="AH688:AH693"/>
    <mergeCell ref="AI688:AI693"/>
    <mergeCell ref="AJ688:AJ693"/>
    <mergeCell ref="AK688:AK693"/>
    <mergeCell ref="AH694:AH699"/>
    <mergeCell ref="AL688:AL693"/>
    <mergeCell ref="AI694:AI699"/>
    <mergeCell ref="AK694:AK699"/>
    <mergeCell ref="AL694:AL699"/>
    <mergeCell ref="AM694:AM699"/>
    <mergeCell ref="AN694:AN699"/>
    <mergeCell ref="AY694:AY699"/>
    <mergeCell ref="AP694:AP699"/>
    <mergeCell ref="AQ694:AQ699"/>
    <mergeCell ref="AT688:AT693"/>
    <mergeCell ref="AU688:AU693"/>
    <mergeCell ref="AV688:AV693"/>
    <mergeCell ref="AW688:AW693"/>
    <mergeCell ref="AX688:AX693"/>
    <mergeCell ref="AH706:AH711"/>
    <mergeCell ref="AY688:AY693"/>
    <mergeCell ref="AG676:AG681"/>
    <mergeCell ref="AH676:AH681"/>
    <mergeCell ref="AI676:AI681"/>
    <mergeCell ref="AH682:AH687"/>
    <mergeCell ref="AI682:AI687"/>
    <mergeCell ref="AI706:AI711"/>
    <mergeCell ref="AJ706:AJ711"/>
    <mergeCell ref="AY700:AY705"/>
    <mergeCell ref="AM700:AM705"/>
    <mergeCell ref="AN700:AN705"/>
    <mergeCell ref="AJ634:AJ639"/>
    <mergeCell ref="AK634:AK639"/>
    <mergeCell ref="AL634:AL639"/>
    <mergeCell ref="S640:S645"/>
    <mergeCell ref="S664:S675"/>
    <mergeCell ref="AL664:AL669"/>
    <mergeCell ref="S676:S711"/>
    <mergeCell ref="AG694:AG699"/>
    <mergeCell ref="AG700:AG705"/>
    <mergeCell ref="AH700:AH705"/>
    <mergeCell ref="AF634:AF639"/>
    <mergeCell ref="AF640:AF645"/>
    <mergeCell ref="AG652:AG657"/>
    <mergeCell ref="AH652:AH657"/>
    <mergeCell ref="AI652:AI657"/>
    <mergeCell ref="AJ652:AJ657"/>
    <mergeCell ref="AK652:AK657"/>
    <mergeCell ref="AG658:AG663"/>
    <mergeCell ref="AH658:AH663"/>
    <mergeCell ref="AI658:AI663"/>
    <mergeCell ref="AJ658:AJ663"/>
    <mergeCell ref="AI700:AI705"/>
    <mergeCell ref="AJ700:AJ705"/>
    <mergeCell ref="AK700:AK705"/>
    <mergeCell ref="AG634:AG639"/>
    <mergeCell ref="AH634:AH639"/>
    <mergeCell ref="AH670:AH675"/>
    <mergeCell ref="AI670:AI675"/>
    <mergeCell ref="AJ670:AJ675"/>
    <mergeCell ref="AK670:AK675"/>
    <mergeCell ref="AL670:AL675"/>
    <mergeCell ref="AH664:AH669"/>
    <mergeCell ref="AY616:AY621"/>
    <mergeCell ref="AM616:AM621"/>
    <mergeCell ref="AN616:AN621"/>
    <mergeCell ref="AO616:AO621"/>
    <mergeCell ref="AP616:AP621"/>
    <mergeCell ref="AQ616:AQ621"/>
    <mergeCell ref="AR616:AR621"/>
    <mergeCell ref="AS616:AS621"/>
    <mergeCell ref="AW658:AW663"/>
    <mergeCell ref="AX658:AX663"/>
    <mergeCell ref="AY658:AY663"/>
    <mergeCell ref="AN658:AN663"/>
    <mergeCell ref="AO658:AO663"/>
    <mergeCell ref="AP658:AP663"/>
    <mergeCell ref="AQ658:AQ663"/>
    <mergeCell ref="AR658:AR663"/>
    <mergeCell ref="AS658:AS663"/>
    <mergeCell ref="AT658:AT663"/>
    <mergeCell ref="AT628:AT633"/>
    <mergeCell ref="AU628:AU633"/>
    <mergeCell ref="AV628:AV633"/>
    <mergeCell ref="AW628:AW633"/>
    <mergeCell ref="AX628:AX633"/>
    <mergeCell ref="AY628:AY633"/>
    <mergeCell ref="AW634:AW639"/>
    <mergeCell ref="AX634:AX639"/>
    <mergeCell ref="AY634:AY639"/>
    <mergeCell ref="AO640:AO645"/>
    <mergeCell ref="AP640:AP645"/>
    <mergeCell ref="AQ640:AQ645"/>
    <mergeCell ref="AS652:AS657"/>
    <mergeCell ref="AT652:AT657"/>
    <mergeCell ref="AF616:AF621"/>
    <mergeCell ref="AG616:AG621"/>
    <mergeCell ref="AH616:AH621"/>
    <mergeCell ref="AI616:AI621"/>
    <mergeCell ref="AJ616:AJ621"/>
    <mergeCell ref="AK616:AK621"/>
    <mergeCell ref="AL616:AL621"/>
    <mergeCell ref="AT610:AT615"/>
    <mergeCell ref="AU610:AU615"/>
    <mergeCell ref="AV610:AV615"/>
    <mergeCell ref="AW610:AW615"/>
    <mergeCell ref="AX610:AX615"/>
    <mergeCell ref="AY610:AY615"/>
    <mergeCell ref="AM610:AM615"/>
    <mergeCell ref="AN610:AN615"/>
    <mergeCell ref="AO610:AO615"/>
    <mergeCell ref="AP610:AP615"/>
    <mergeCell ref="AQ610:AQ615"/>
    <mergeCell ref="AR610:AR615"/>
    <mergeCell ref="AS610:AS615"/>
    <mergeCell ref="AF610:AF615"/>
    <mergeCell ref="AG610:AG615"/>
    <mergeCell ref="AH610:AH615"/>
    <mergeCell ref="AI610:AI615"/>
    <mergeCell ref="AJ610:AJ615"/>
    <mergeCell ref="AK610:AK615"/>
    <mergeCell ref="AL610:AL615"/>
    <mergeCell ref="AT616:AT621"/>
    <mergeCell ref="AU616:AU621"/>
    <mergeCell ref="AV616:AV621"/>
    <mergeCell ref="AW616:AW621"/>
    <mergeCell ref="AX616:AX621"/>
    <mergeCell ref="AW604:AW609"/>
    <mergeCell ref="AX604:AX609"/>
    <mergeCell ref="AT598:AT603"/>
    <mergeCell ref="AU598:AU603"/>
    <mergeCell ref="AV598:AV603"/>
    <mergeCell ref="AW598:AW603"/>
    <mergeCell ref="AX598:AX603"/>
    <mergeCell ref="AY598:AY603"/>
    <mergeCell ref="AV604:AV609"/>
    <mergeCell ref="AY604:AY609"/>
    <mergeCell ref="AF604:AF609"/>
    <mergeCell ref="AG604:AG609"/>
    <mergeCell ref="AH604:AH609"/>
    <mergeCell ref="AI604:AI609"/>
    <mergeCell ref="AJ604:AJ609"/>
    <mergeCell ref="AK604:AK609"/>
    <mergeCell ref="AL604:AL609"/>
    <mergeCell ref="AT604:AT609"/>
    <mergeCell ref="AU604:AU609"/>
    <mergeCell ref="AM604:AM609"/>
    <mergeCell ref="AN604:AN609"/>
    <mergeCell ref="AO604:AO609"/>
    <mergeCell ref="AP604:AP609"/>
    <mergeCell ref="AQ604:AQ609"/>
    <mergeCell ref="AR604:AR609"/>
    <mergeCell ref="AS604:AS609"/>
    <mergeCell ref="AM598:AM603"/>
    <mergeCell ref="AN598:AN603"/>
    <mergeCell ref="AO598:AO603"/>
    <mergeCell ref="AP598:AP603"/>
    <mergeCell ref="AQ598:AQ603"/>
    <mergeCell ref="AR598:AR603"/>
    <mergeCell ref="AT592:AT597"/>
    <mergeCell ref="AU592:AU597"/>
    <mergeCell ref="AF586:AF591"/>
    <mergeCell ref="AG586:AG591"/>
    <mergeCell ref="AH586:AH591"/>
    <mergeCell ref="AI586:AI591"/>
    <mergeCell ref="AJ586:AJ591"/>
    <mergeCell ref="AK586:AK591"/>
    <mergeCell ref="AL586:AL591"/>
    <mergeCell ref="AV592:AV597"/>
    <mergeCell ref="AW592:AW597"/>
    <mergeCell ref="AX592:AX597"/>
    <mergeCell ref="AY592:AY597"/>
    <mergeCell ref="AM592:AM597"/>
    <mergeCell ref="AN592:AN597"/>
    <mergeCell ref="AO592:AO597"/>
    <mergeCell ref="AP592:AP597"/>
    <mergeCell ref="AQ592:AQ597"/>
    <mergeCell ref="AR592:AR597"/>
    <mergeCell ref="AS592:AS597"/>
    <mergeCell ref="AF592:AF597"/>
    <mergeCell ref="AG592:AG597"/>
    <mergeCell ref="AH592:AH597"/>
    <mergeCell ref="AI592:AI597"/>
    <mergeCell ref="AJ592:AJ597"/>
    <mergeCell ref="AK592:AK597"/>
    <mergeCell ref="AL592:AL597"/>
    <mergeCell ref="AY586:AY591"/>
    <mergeCell ref="AT586:AT591"/>
    <mergeCell ref="AU586:AU591"/>
    <mergeCell ref="AM586:AM591"/>
    <mergeCell ref="AN586:AN591"/>
    <mergeCell ref="AS598:AS603"/>
    <mergeCell ref="AF598:AF603"/>
    <mergeCell ref="AG598:AG603"/>
    <mergeCell ref="AH598:AH603"/>
    <mergeCell ref="AI598:AI603"/>
    <mergeCell ref="AJ598:AJ603"/>
    <mergeCell ref="AK598:AK603"/>
    <mergeCell ref="AL598:AL603"/>
    <mergeCell ref="AO574:AO579"/>
    <mergeCell ref="AP574:AP579"/>
    <mergeCell ref="AQ574:AQ579"/>
    <mergeCell ref="AR574:AR579"/>
    <mergeCell ref="AS574:AS579"/>
    <mergeCell ref="AW580:AW585"/>
    <mergeCell ref="AX580:AX585"/>
    <mergeCell ref="AV586:AV591"/>
    <mergeCell ref="AW586:AW591"/>
    <mergeCell ref="AX586:AX591"/>
    <mergeCell ref="AF574:AF579"/>
    <mergeCell ref="AG574:AG579"/>
    <mergeCell ref="AH574:AH579"/>
    <mergeCell ref="AI574:AI579"/>
    <mergeCell ref="AJ574:AJ579"/>
    <mergeCell ref="AK574:AK579"/>
    <mergeCell ref="AL574:AL579"/>
    <mergeCell ref="AF580:AF585"/>
    <mergeCell ref="AG580:AG585"/>
    <mergeCell ref="AH580:AH585"/>
    <mergeCell ref="AI580:AI585"/>
    <mergeCell ref="AJ580:AJ585"/>
    <mergeCell ref="AK580:AK585"/>
    <mergeCell ref="AL580:AL585"/>
    <mergeCell ref="AY580:AY585"/>
    <mergeCell ref="AM562:AM567"/>
    <mergeCell ref="AN562:AN567"/>
    <mergeCell ref="AJ550:AJ555"/>
    <mergeCell ref="AK550:AK555"/>
    <mergeCell ref="AJ556:AJ561"/>
    <mergeCell ref="AK556:AK561"/>
    <mergeCell ref="AL556:AL561"/>
    <mergeCell ref="AM556:AM561"/>
    <mergeCell ref="AN556:AN561"/>
    <mergeCell ref="AR556:AR561"/>
    <mergeCell ref="AS556:AS561"/>
    <mergeCell ref="AT556:AT561"/>
    <mergeCell ref="AU556:AU561"/>
    <mergeCell ref="AT562:AT567"/>
    <mergeCell ref="AU562:AU567"/>
    <mergeCell ref="AN550:AN555"/>
    <mergeCell ref="AO550:AO555"/>
    <mergeCell ref="AP550:AP555"/>
    <mergeCell ref="AW562:AW567"/>
    <mergeCell ref="AX562:AX567"/>
    <mergeCell ref="AY562:AY567"/>
    <mergeCell ref="AY568:AY573"/>
    <mergeCell ref="AL562:AL567"/>
    <mergeCell ref="AO562:AO567"/>
    <mergeCell ref="AX556:AX561"/>
    <mergeCell ref="AY556:AY561"/>
    <mergeCell ref="AV562:AV567"/>
    <mergeCell ref="AV574:AV579"/>
    <mergeCell ref="AW574:AW579"/>
    <mergeCell ref="AX574:AX579"/>
    <mergeCell ref="AY574:AY579"/>
    <mergeCell ref="AH550:AH555"/>
    <mergeCell ref="AI550:AI555"/>
    <mergeCell ref="AH556:AH561"/>
    <mergeCell ref="AI556:AI561"/>
    <mergeCell ref="AH562:AH567"/>
    <mergeCell ref="AI562:AI567"/>
    <mergeCell ref="AJ562:AJ567"/>
    <mergeCell ref="AM574:AM579"/>
    <mergeCell ref="AN574:AN579"/>
    <mergeCell ref="AT580:AT585"/>
    <mergeCell ref="AU580:AU585"/>
    <mergeCell ref="AM580:AM585"/>
    <mergeCell ref="AN580:AN585"/>
    <mergeCell ref="AO580:AO585"/>
    <mergeCell ref="AP580:AP585"/>
    <mergeCell ref="AQ580:AQ585"/>
    <mergeCell ref="AR580:AR585"/>
    <mergeCell ref="AS580:AS585"/>
    <mergeCell ref="AR550:AR555"/>
    <mergeCell ref="AO556:AO561"/>
    <mergeCell ref="AP556:AP561"/>
    <mergeCell ref="AQ556:AQ561"/>
    <mergeCell ref="AT574:AT579"/>
    <mergeCell ref="AU574:AU579"/>
    <mergeCell ref="AI568:AI573"/>
    <mergeCell ref="AV580:AV585"/>
    <mergeCell ref="AJ568:AJ573"/>
    <mergeCell ref="AK568:AK573"/>
    <mergeCell ref="AL568:AL573"/>
    <mergeCell ref="AM568:AM573"/>
    <mergeCell ref="AN568:AN573"/>
    <mergeCell ref="AO568:AO573"/>
    <mergeCell ref="AP568:AP573"/>
    <mergeCell ref="AQ568:AQ573"/>
    <mergeCell ref="AL550:AL555"/>
    <mergeCell ref="AM550:AM555"/>
    <mergeCell ref="AO586:AO591"/>
    <mergeCell ref="AP586:AP591"/>
    <mergeCell ref="AQ586:AQ591"/>
    <mergeCell ref="AR586:AR591"/>
    <mergeCell ref="AS586:AS591"/>
    <mergeCell ref="AV556:AV561"/>
    <mergeCell ref="AW556:AW561"/>
    <mergeCell ref="AP562:AP567"/>
    <mergeCell ref="AQ562:AQ567"/>
    <mergeCell ref="AR562:AR567"/>
    <mergeCell ref="AS562:AS567"/>
    <mergeCell ref="AR568:AR573"/>
    <mergeCell ref="AS568:AS573"/>
    <mergeCell ref="AT568:AT573"/>
    <mergeCell ref="AU568:AU573"/>
    <mergeCell ref="AV568:AV573"/>
    <mergeCell ref="AW568:AW573"/>
    <mergeCell ref="AX568:AX573"/>
    <mergeCell ref="AQ550:AQ555"/>
    <mergeCell ref="S568:S573"/>
    <mergeCell ref="AG544:AG549"/>
    <mergeCell ref="AG550:AG555"/>
    <mergeCell ref="AG556:AG561"/>
    <mergeCell ref="AF562:AF567"/>
    <mergeCell ref="AG562:AG567"/>
    <mergeCell ref="AF557:AF561"/>
    <mergeCell ref="AH544:AH549"/>
    <mergeCell ref="AI544:AI549"/>
    <mergeCell ref="AJ544:AJ549"/>
    <mergeCell ref="AK544:AK549"/>
    <mergeCell ref="AL544:AL549"/>
    <mergeCell ref="AM544:AM549"/>
    <mergeCell ref="S550:S555"/>
    <mergeCell ref="AS550:AS555"/>
    <mergeCell ref="AK562:AK567"/>
    <mergeCell ref="AF568:AF573"/>
    <mergeCell ref="AG568:AG573"/>
    <mergeCell ref="AH568:AH573"/>
    <mergeCell ref="AT538:AT543"/>
    <mergeCell ref="AU538:AU543"/>
    <mergeCell ref="AV538:AV543"/>
    <mergeCell ref="AW538:AW543"/>
    <mergeCell ref="AX538:AX543"/>
    <mergeCell ref="AY538:AY543"/>
    <mergeCell ref="AM538:AM543"/>
    <mergeCell ref="AN538:AN543"/>
    <mergeCell ref="AO538:AO543"/>
    <mergeCell ref="AP538:AP543"/>
    <mergeCell ref="AQ538:AQ543"/>
    <mergeCell ref="AR538:AR543"/>
    <mergeCell ref="AS538:AS543"/>
    <mergeCell ref="AT550:AT555"/>
    <mergeCell ref="AU550:AU555"/>
    <mergeCell ref="AV550:AV555"/>
    <mergeCell ref="AW550:AW555"/>
    <mergeCell ref="AX550:AX555"/>
    <mergeCell ref="AU544:AU549"/>
    <mergeCell ref="AV544:AV549"/>
    <mergeCell ref="AW544:AW549"/>
    <mergeCell ref="AX544:AX549"/>
    <mergeCell ref="AN544:AN549"/>
    <mergeCell ref="AO544:AO549"/>
    <mergeCell ref="AP544:AP549"/>
    <mergeCell ref="AQ544:AQ549"/>
    <mergeCell ref="AR544:AR549"/>
    <mergeCell ref="AS544:AS549"/>
    <mergeCell ref="AT544:AT549"/>
    <mergeCell ref="AF538:AF543"/>
    <mergeCell ref="AG538:AG543"/>
    <mergeCell ref="AH538:AH543"/>
    <mergeCell ref="AI538:AI543"/>
    <mergeCell ref="AJ538:AJ543"/>
    <mergeCell ref="AK538:AK543"/>
    <mergeCell ref="AL538:AL543"/>
    <mergeCell ref="AF532:AF537"/>
    <mergeCell ref="AG532:AG537"/>
    <mergeCell ref="AH532:AH537"/>
    <mergeCell ref="AI532:AI537"/>
    <mergeCell ref="AJ532:AJ537"/>
    <mergeCell ref="AK532:AK537"/>
    <mergeCell ref="AL532:AL537"/>
    <mergeCell ref="AF520:AF525"/>
    <mergeCell ref="AG520:AG525"/>
    <mergeCell ref="AH520:AH525"/>
    <mergeCell ref="AI520:AI525"/>
    <mergeCell ref="AJ520:AJ525"/>
    <mergeCell ref="AK520:AK525"/>
    <mergeCell ref="AL520:AL525"/>
    <mergeCell ref="AF526:AF531"/>
    <mergeCell ref="AG526:AG531"/>
    <mergeCell ref="AH526:AH531"/>
    <mergeCell ref="AI526:AI531"/>
    <mergeCell ref="AJ526:AJ531"/>
    <mergeCell ref="AK526:AK531"/>
    <mergeCell ref="AL526:AL531"/>
    <mergeCell ref="AN520:AN525"/>
    <mergeCell ref="AO520:AO525"/>
    <mergeCell ref="AP520:AP525"/>
    <mergeCell ref="AQ520:AQ525"/>
    <mergeCell ref="AR520:AR525"/>
    <mergeCell ref="AS520:AS525"/>
    <mergeCell ref="AW526:AW531"/>
    <mergeCell ref="AX526:AX531"/>
    <mergeCell ref="AV532:AV537"/>
    <mergeCell ref="AW532:AW537"/>
    <mergeCell ref="AX532:AX537"/>
    <mergeCell ref="AY532:AY537"/>
    <mergeCell ref="AT520:AT525"/>
    <mergeCell ref="AU520:AU525"/>
    <mergeCell ref="AV520:AV525"/>
    <mergeCell ref="AW520:AW525"/>
    <mergeCell ref="AX520:AX525"/>
    <mergeCell ref="AY520:AY525"/>
    <mergeCell ref="AV526:AV531"/>
    <mergeCell ref="AY526:AY531"/>
    <mergeCell ref="AT526:AT531"/>
    <mergeCell ref="AU526:AU531"/>
    <mergeCell ref="AF466:AF471"/>
    <mergeCell ref="AG466:AG471"/>
    <mergeCell ref="AT532:AT537"/>
    <mergeCell ref="AU532:AU537"/>
    <mergeCell ref="AM532:AM537"/>
    <mergeCell ref="AN532:AN537"/>
    <mergeCell ref="AO532:AO537"/>
    <mergeCell ref="AP532:AP537"/>
    <mergeCell ref="AQ532:AQ537"/>
    <mergeCell ref="AR532:AR537"/>
    <mergeCell ref="AS532:AS537"/>
    <mergeCell ref="AT514:AT519"/>
    <mergeCell ref="AU514:AU519"/>
    <mergeCell ref="AV514:AV519"/>
    <mergeCell ref="AW514:AW519"/>
    <mergeCell ref="AX514:AX519"/>
    <mergeCell ref="AY514:AY519"/>
    <mergeCell ref="AM514:AM519"/>
    <mergeCell ref="AN514:AN519"/>
    <mergeCell ref="AO514:AO519"/>
    <mergeCell ref="AP514:AP519"/>
    <mergeCell ref="AQ514:AQ519"/>
    <mergeCell ref="AR514:AR519"/>
    <mergeCell ref="AS514:AS519"/>
    <mergeCell ref="AF514:AF519"/>
    <mergeCell ref="AG514:AG519"/>
    <mergeCell ref="AH514:AH519"/>
    <mergeCell ref="AI514:AI519"/>
    <mergeCell ref="AJ514:AJ519"/>
    <mergeCell ref="AK514:AK519"/>
    <mergeCell ref="AL514:AL519"/>
    <mergeCell ref="AM520:AM525"/>
    <mergeCell ref="AW454:AW459"/>
    <mergeCell ref="AX454:AX459"/>
    <mergeCell ref="AY454:AY459"/>
    <mergeCell ref="AM454:AM459"/>
    <mergeCell ref="AN454:AN459"/>
    <mergeCell ref="AO454:AO459"/>
    <mergeCell ref="AP454:AP459"/>
    <mergeCell ref="AQ454:AQ459"/>
    <mergeCell ref="AR454:AR459"/>
    <mergeCell ref="AS454:AS459"/>
    <mergeCell ref="AF454:AF459"/>
    <mergeCell ref="AG454:AG459"/>
    <mergeCell ref="AH454:AH459"/>
    <mergeCell ref="AI454:AI459"/>
    <mergeCell ref="AJ454:AJ459"/>
    <mergeCell ref="AK454:AK459"/>
    <mergeCell ref="AL454:AL459"/>
    <mergeCell ref="AM460:AM465"/>
    <mergeCell ref="AN460:AN465"/>
    <mergeCell ref="AO460:AO465"/>
    <mergeCell ref="AP460:AP465"/>
    <mergeCell ref="AQ460:AQ465"/>
    <mergeCell ref="AR460:AR465"/>
    <mergeCell ref="AS460:AS465"/>
    <mergeCell ref="AF460:AF465"/>
    <mergeCell ref="AG460:AG465"/>
    <mergeCell ref="AH460:AH465"/>
    <mergeCell ref="AI460:AI465"/>
    <mergeCell ref="AJ460:AJ465"/>
    <mergeCell ref="AK460:AK465"/>
    <mergeCell ref="AL460:AL465"/>
    <mergeCell ref="AT448:AT453"/>
    <mergeCell ref="AU448:AU453"/>
    <mergeCell ref="AM448:AM453"/>
    <mergeCell ref="AN448:AN453"/>
    <mergeCell ref="AO448:AO453"/>
    <mergeCell ref="AP448:AP453"/>
    <mergeCell ref="AQ448:AQ453"/>
    <mergeCell ref="AR448:AR453"/>
    <mergeCell ref="AS448:AS453"/>
    <mergeCell ref="AT454:AT459"/>
    <mergeCell ref="AU454:AU459"/>
    <mergeCell ref="AT460:AT465"/>
    <mergeCell ref="AU460:AU465"/>
    <mergeCell ref="AF448:AF453"/>
    <mergeCell ref="AG448:AG453"/>
    <mergeCell ref="AH448:AH453"/>
    <mergeCell ref="AI448:AI453"/>
    <mergeCell ref="AJ448:AJ453"/>
    <mergeCell ref="AX448:AX453"/>
    <mergeCell ref="AT442:AT447"/>
    <mergeCell ref="AU442:AU447"/>
    <mergeCell ref="AV442:AV447"/>
    <mergeCell ref="AW442:AW447"/>
    <mergeCell ref="AX442:AX447"/>
    <mergeCell ref="AY442:AY447"/>
    <mergeCell ref="AV448:AV453"/>
    <mergeCell ref="AY448:AY453"/>
    <mergeCell ref="AV436:AV441"/>
    <mergeCell ref="AW436:AW441"/>
    <mergeCell ref="AX436:AX441"/>
    <mergeCell ref="AY436:AY441"/>
    <mergeCell ref="AM436:AM441"/>
    <mergeCell ref="AN436:AN441"/>
    <mergeCell ref="AO436:AO441"/>
    <mergeCell ref="AP436:AP441"/>
    <mergeCell ref="AQ436:AQ441"/>
    <mergeCell ref="AR436:AR441"/>
    <mergeCell ref="AS436:AS441"/>
    <mergeCell ref="AM442:AM447"/>
    <mergeCell ref="AN442:AN447"/>
    <mergeCell ref="AO442:AO447"/>
    <mergeCell ref="AP442:AP447"/>
    <mergeCell ref="AQ442:AQ447"/>
    <mergeCell ref="AR442:AR447"/>
    <mergeCell ref="AS442:AS447"/>
    <mergeCell ref="AF442:AF447"/>
    <mergeCell ref="AG442:AG447"/>
    <mergeCell ref="AH442:AH447"/>
    <mergeCell ref="AI442:AI447"/>
    <mergeCell ref="AJ442:AJ447"/>
    <mergeCell ref="AK442:AK447"/>
    <mergeCell ref="AL442:AL447"/>
    <mergeCell ref="AK448:AK453"/>
    <mergeCell ref="AL448:AL453"/>
    <mergeCell ref="AW448:AW453"/>
    <mergeCell ref="AT430:AT435"/>
    <mergeCell ref="AU430:AU435"/>
    <mergeCell ref="AM430:AM435"/>
    <mergeCell ref="AN430:AN435"/>
    <mergeCell ref="AO430:AO435"/>
    <mergeCell ref="AP430:AP435"/>
    <mergeCell ref="AQ430:AQ435"/>
    <mergeCell ref="AR430:AR435"/>
    <mergeCell ref="AS430:AS435"/>
    <mergeCell ref="AT436:AT441"/>
    <mergeCell ref="AU436:AU441"/>
    <mergeCell ref="AF430:AF435"/>
    <mergeCell ref="AG430:AG435"/>
    <mergeCell ref="AH430:AH435"/>
    <mergeCell ref="AI430:AI435"/>
    <mergeCell ref="AJ430:AJ435"/>
    <mergeCell ref="AK430:AK435"/>
    <mergeCell ref="AL430:AL435"/>
    <mergeCell ref="AF436:AF441"/>
    <mergeCell ref="AG436:AG441"/>
    <mergeCell ref="AH436:AH441"/>
    <mergeCell ref="AI436:AI441"/>
    <mergeCell ref="AJ436:AJ441"/>
    <mergeCell ref="AK436:AK441"/>
    <mergeCell ref="AL436:AL441"/>
    <mergeCell ref="AW430:AW435"/>
    <mergeCell ref="AX430:AX435"/>
    <mergeCell ref="AT424:AT429"/>
    <mergeCell ref="AU424:AU429"/>
    <mergeCell ref="AV424:AV429"/>
    <mergeCell ref="AW424:AW429"/>
    <mergeCell ref="AX424:AX429"/>
    <mergeCell ref="AY424:AY429"/>
    <mergeCell ref="AV430:AV435"/>
    <mergeCell ref="AY430:AY435"/>
    <mergeCell ref="S418:S423"/>
    <mergeCell ref="AF418:AF423"/>
    <mergeCell ref="AG418:AG423"/>
    <mergeCell ref="AH418:AH423"/>
    <mergeCell ref="AI418:AI423"/>
    <mergeCell ref="AJ418:AJ423"/>
    <mergeCell ref="AK418:AK423"/>
    <mergeCell ref="AS418:AS423"/>
    <mergeCell ref="AT418:AT423"/>
    <mergeCell ref="AU418:AU423"/>
    <mergeCell ref="AV418:AV423"/>
    <mergeCell ref="AW418:AW423"/>
    <mergeCell ref="AX418:AX423"/>
    <mergeCell ref="AY418:AY423"/>
    <mergeCell ref="AL418:AL423"/>
    <mergeCell ref="AM418:AM423"/>
    <mergeCell ref="AN418:AN423"/>
    <mergeCell ref="AO418:AO423"/>
    <mergeCell ref="AP418:AP423"/>
    <mergeCell ref="AQ418:AQ423"/>
    <mergeCell ref="AR418:AR423"/>
    <mergeCell ref="AM424:AM429"/>
    <mergeCell ref="AN424:AN429"/>
    <mergeCell ref="AO424:AO429"/>
    <mergeCell ref="AP424:AP429"/>
    <mergeCell ref="AQ424:AQ429"/>
    <mergeCell ref="AR424:AR429"/>
    <mergeCell ref="AS424:AS429"/>
    <mergeCell ref="AF424:AF429"/>
    <mergeCell ref="AG424:AG429"/>
    <mergeCell ref="AH424:AH429"/>
    <mergeCell ref="AI424:AI429"/>
    <mergeCell ref="AJ424:AJ429"/>
    <mergeCell ref="AK424:AK429"/>
    <mergeCell ref="AL424:AL429"/>
    <mergeCell ref="AV412:AV417"/>
    <mergeCell ref="AH412:AH417"/>
    <mergeCell ref="AI412:AI417"/>
    <mergeCell ref="AJ412:AJ417"/>
    <mergeCell ref="AK412:AK417"/>
    <mergeCell ref="AL412:AL417"/>
    <mergeCell ref="AM412:AM417"/>
    <mergeCell ref="AN412:AN417"/>
    <mergeCell ref="AW412:AW417"/>
    <mergeCell ref="AO412:AO417"/>
    <mergeCell ref="AP412:AP417"/>
    <mergeCell ref="AQ412:AQ417"/>
    <mergeCell ref="AR412:AR417"/>
    <mergeCell ref="AS412:AS417"/>
    <mergeCell ref="AT412:AT417"/>
    <mergeCell ref="AU412:AU417"/>
    <mergeCell ref="AX400:AX405"/>
    <mergeCell ref="AN394:AN399"/>
    <mergeCell ref="AO394:AO399"/>
    <mergeCell ref="AP394:AP399"/>
    <mergeCell ref="AQ394:AQ399"/>
    <mergeCell ref="AR394:AR399"/>
    <mergeCell ref="AS394:AS399"/>
    <mergeCell ref="AT394:AT399"/>
    <mergeCell ref="AG394:AG399"/>
    <mergeCell ref="AH394:AH399"/>
    <mergeCell ref="AI394:AI399"/>
    <mergeCell ref="AJ394:AJ399"/>
    <mergeCell ref="AK394:AK399"/>
    <mergeCell ref="AL394:AL399"/>
    <mergeCell ref="AM394:AM399"/>
    <mergeCell ref="AG400:AG405"/>
    <mergeCell ref="AH400:AH405"/>
    <mergeCell ref="AI400:AI405"/>
    <mergeCell ref="AJ400:AJ405"/>
    <mergeCell ref="AK400:AK405"/>
    <mergeCell ref="AL400:AL405"/>
    <mergeCell ref="AM400:AM405"/>
    <mergeCell ref="AU400:AU405"/>
    <mergeCell ref="AV400:AV405"/>
    <mergeCell ref="AN400:AN405"/>
    <mergeCell ref="AO400:AO405"/>
    <mergeCell ref="AP400:AP405"/>
    <mergeCell ref="AQ400:AQ405"/>
    <mergeCell ref="AR400:AR405"/>
    <mergeCell ref="AS400:AS405"/>
    <mergeCell ref="AT400:AT405"/>
    <mergeCell ref="AW400:AW405"/>
    <mergeCell ref="AX388:AX393"/>
    <mergeCell ref="AM388:AM393"/>
    <mergeCell ref="AN388:AN393"/>
    <mergeCell ref="AO388:AO393"/>
    <mergeCell ref="AP388:AP393"/>
    <mergeCell ref="AQ388:AQ393"/>
    <mergeCell ref="AR388:AR393"/>
    <mergeCell ref="AS388:AS393"/>
    <mergeCell ref="AF388:AF393"/>
    <mergeCell ref="AG388:AG393"/>
    <mergeCell ref="AH388:AH393"/>
    <mergeCell ref="AI388:AI393"/>
    <mergeCell ref="AJ388:AJ393"/>
    <mergeCell ref="AK388:AK393"/>
    <mergeCell ref="AL388:AL393"/>
    <mergeCell ref="AU394:AU399"/>
    <mergeCell ref="AV394:AV399"/>
    <mergeCell ref="AW394:AW399"/>
    <mergeCell ref="AX394:AX399"/>
    <mergeCell ref="AT388:AT393"/>
    <mergeCell ref="AU388:AU393"/>
    <mergeCell ref="AV388:AV393"/>
    <mergeCell ref="AW388:AW393"/>
    <mergeCell ref="AI370:AI375"/>
    <mergeCell ref="AJ370:AJ375"/>
    <mergeCell ref="AK370:AK375"/>
    <mergeCell ref="AL370:AL375"/>
    <mergeCell ref="AT376:AT381"/>
    <mergeCell ref="AU376:AU381"/>
    <mergeCell ref="AV376:AV381"/>
    <mergeCell ref="AW376:AW381"/>
    <mergeCell ref="AX376:AX381"/>
    <mergeCell ref="AV382:AV387"/>
    <mergeCell ref="AW382:AW387"/>
    <mergeCell ref="AX382:AX387"/>
    <mergeCell ref="AM376:AM381"/>
    <mergeCell ref="AN376:AN381"/>
    <mergeCell ref="AO376:AO381"/>
    <mergeCell ref="AP376:AP381"/>
    <mergeCell ref="AQ376:AQ381"/>
    <mergeCell ref="AR376:AR381"/>
    <mergeCell ref="AS376:AS381"/>
    <mergeCell ref="AT370:AT375"/>
    <mergeCell ref="AU370:AU375"/>
    <mergeCell ref="AV370:AV375"/>
    <mergeCell ref="AW370:AW375"/>
    <mergeCell ref="AX370:AX375"/>
    <mergeCell ref="AM370:AM375"/>
    <mergeCell ref="AN370:AN375"/>
    <mergeCell ref="AO370:AO375"/>
    <mergeCell ref="AP370:AP375"/>
    <mergeCell ref="AQ370:AQ375"/>
    <mergeCell ref="AR370:AR375"/>
    <mergeCell ref="AS370:AS375"/>
    <mergeCell ref="AF376:AF381"/>
    <mergeCell ref="AG376:AG381"/>
    <mergeCell ref="AH376:AH381"/>
    <mergeCell ref="AI376:AI381"/>
    <mergeCell ref="AJ376:AJ381"/>
    <mergeCell ref="AK376:AK381"/>
    <mergeCell ref="AL376:AL381"/>
    <mergeCell ref="AF382:AF387"/>
    <mergeCell ref="AG382:AG387"/>
    <mergeCell ref="AH382:AH387"/>
    <mergeCell ref="AT382:AT387"/>
    <mergeCell ref="AU382:AU387"/>
    <mergeCell ref="AM382:AM387"/>
    <mergeCell ref="AN382:AN387"/>
    <mergeCell ref="AO382:AO387"/>
    <mergeCell ref="AP382:AP387"/>
    <mergeCell ref="AQ382:AQ387"/>
    <mergeCell ref="AR382:AR387"/>
    <mergeCell ref="AS382:AS387"/>
    <mergeCell ref="AK340:AK345"/>
    <mergeCell ref="AL340:AL345"/>
    <mergeCell ref="AT346:AT351"/>
    <mergeCell ref="AU346:AU351"/>
    <mergeCell ref="AV346:AV351"/>
    <mergeCell ref="AW346:AW351"/>
    <mergeCell ref="AX346:AX351"/>
    <mergeCell ref="AV352:AV357"/>
    <mergeCell ref="AW352:AW357"/>
    <mergeCell ref="AX352:AX357"/>
    <mergeCell ref="AF352:AF357"/>
    <mergeCell ref="AG352:AG357"/>
    <mergeCell ref="AH352:AH357"/>
    <mergeCell ref="AI352:AI357"/>
    <mergeCell ref="AJ352:AJ357"/>
    <mergeCell ref="AK352:AK357"/>
    <mergeCell ref="AL352:AL357"/>
    <mergeCell ref="AM346:AM351"/>
    <mergeCell ref="AN346:AN351"/>
    <mergeCell ref="AO346:AO351"/>
    <mergeCell ref="AP346:AP351"/>
    <mergeCell ref="AQ346:AQ351"/>
    <mergeCell ref="AR346:AR351"/>
    <mergeCell ref="AS346:AS351"/>
    <mergeCell ref="AF346:AF351"/>
    <mergeCell ref="AG346:AG351"/>
    <mergeCell ref="AH346:AH351"/>
    <mergeCell ref="AI346:AI351"/>
    <mergeCell ref="AJ346:AJ351"/>
    <mergeCell ref="AK346:AK351"/>
    <mergeCell ref="AL346:AL351"/>
    <mergeCell ref="AT352:AT357"/>
    <mergeCell ref="AT334:AT339"/>
    <mergeCell ref="AU334:AU339"/>
    <mergeCell ref="AV334:AV339"/>
    <mergeCell ref="AW334:AW339"/>
    <mergeCell ref="AX334:AX339"/>
    <mergeCell ref="AM334:AM339"/>
    <mergeCell ref="AN334:AN339"/>
    <mergeCell ref="AO334:AO339"/>
    <mergeCell ref="AP334:AP339"/>
    <mergeCell ref="AQ334:AQ339"/>
    <mergeCell ref="AR334:AR339"/>
    <mergeCell ref="AS334:AS339"/>
    <mergeCell ref="AT340:AT345"/>
    <mergeCell ref="AU340:AU345"/>
    <mergeCell ref="AV340:AV345"/>
    <mergeCell ref="AW340:AW345"/>
    <mergeCell ref="AX340:AX345"/>
    <mergeCell ref="AM340:AM345"/>
    <mergeCell ref="AN340:AN345"/>
    <mergeCell ref="AO340:AO345"/>
    <mergeCell ref="AP340:AP345"/>
    <mergeCell ref="AQ340:AQ345"/>
    <mergeCell ref="AR340:AR345"/>
    <mergeCell ref="AS340:AS345"/>
    <mergeCell ref="AU352:AU357"/>
    <mergeCell ref="AM352:AM357"/>
    <mergeCell ref="AN352:AN357"/>
    <mergeCell ref="AO352:AO357"/>
    <mergeCell ref="AP352:AP357"/>
    <mergeCell ref="AQ352:AQ357"/>
    <mergeCell ref="AR352:AR357"/>
    <mergeCell ref="AS352:AS357"/>
    <mergeCell ref="AX280:AX285"/>
    <mergeCell ref="AM268:AM273"/>
    <mergeCell ref="AN268:AN273"/>
    <mergeCell ref="AO268:AO273"/>
    <mergeCell ref="AP268:AP273"/>
    <mergeCell ref="AQ268:AQ273"/>
    <mergeCell ref="AR268:AR273"/>
    <mergeCell ref="AS268:AS273"/>
    <mergeCell ref="AW286:AW291"/>
    <mergeCell ref="AX286:AX291"/>
    <mergeCell ref="AR286:AR291"/>
    <mergeCell ref="AS286:AS291"/>
    <mergeCell ref="AT328:AT333"/>
    <mergeCell ref="AU328:AU333"/>
    <mergeCell ref="AV328:AV333"/>
    <mergeCell ref="AW328:AW333"/>
    <mergeCell ref="AX328:AX333"/>
    <mergeCell ref="AT310:AT315"/>
    <mergeCell ref="AU310:AU315"/>
    <mergeCell ref="AV310:AV315"/>
    <mergeCell ref="AW310:AW315"/>
    <mergeCell ref="AX310:AX315"/>
    <mergeCell ref="AS310:AS315"/>
    <mergeCell ref="AM328:AM333"/>
    <mergeCell ref="AY250:AY291"/>
    <mergeCell ref="AW268:AW273"/>
    <mergeCell ref="AX268:AX273"/>
    <mergeCell ref="AW274:AW279"/>
    <mergeCell ref="AX274:AX279"/>
    <mergeCell ref="AV46:AV51"/>
    <mergeCell ref="AT268:AT273"/>
    <mergeCell ref="AU268:AU273"/>
    <mergeCell ref="AV268:AV273"/>
    <mergeCell ref="AF268:AF273"/>
    <mergeCell ref="AG268:AG273"/>
    <mergeCell ref="AH268:AH273"/>
    <mergeCell ref="AI268:AI273"/>
    <mergeCell ref="AJ268:AJ273"/>
    <mergeCell ref="AK268:AK273"/>
    <mergeCell ref="AL268:AL273"/>
    <mergeCell ref="AT274:AT279"/>
    <mergeCell ref="AU274:AU279"/>
    <mergeCell ref="AV274:AV279"/>
    <mergeCell ref="AV280:AV285"/>
    <mergeCell ref="AV286:AV291"/>
    <mergeCell ref="AW280:AW285"/>
    <mergeCell ref="AJ280:AJ285"/>
    <mergeCell ref="AK280:AK285"/>
    <mergeCell ref="AL280:AL285"/>
    <mergeCell ref="AT286:AT291"/>
    <mergeCell ref="AU286:AU291"/>
    <mergeCell ref="AM286:AM291"/>
    <mergeCell ref="AN286:AN291"/>
    <mergeCell ref="AO286:AO291"/>
    <mergeCell ref="AP286:AP291"/>
    <mergeCell ref="AQ286:AQ291"/>
    <mergeCell ref="AK334:AK339"/>
    <mergeCell ref="AL334:AL339"/>
    <mergeCell ref="AM274:AM279"/>
    <mergeCell ref="AN274:AN279"/>
    <mergeCell ref="AO274:AO279"/>
    <mergeCell ref="AP274:AP279"/>
    <mergeCell ref="AQ274:AQ279"/>
    <mergeCell ref="AR274:AR279"/>
    <mergeCell ref="AS274:AS279"/>
    <mergeCell ref="AF274:AF279"/>
    <mergeCell ref="AG274:AG279"/>
    <mergeCell ref="AH274:AH279"/>
    <mergeCell ref="AI274:AI279"/>
    <mergeCell ref="AJ274:AJ279"/>
    <mergeCell ref="AK274:AK279"/>
    <mergeCell ref="AL274:AL279"/>
    <mergeCell ref="AF286:AF291"/>
    <mergeCell ref="AG286:AG291"/>
    <mergeCell ref="AH286:AH291"/>
    <mergeCell ref="AI286:AI291"/>
    <mergeCell ref="AJ286:AJ291"/>
    <mergeCell ref="AK286:AK291"/>
    <mergeCell ref="AP304:AP309"/>
    <mergeCell ref="AQ304:AQ309"/>
    <mergeCell ref="AR304:AR309"/>
    <mergeCell ref="AS304:AS309"/>
    <mergeCell ref="AM310:AM315"/>
    <mergeCell ref="AN310:AN315"/>
    <mergeCell ref="AO310:AO315"/>
    <mergeCell ref="AP310:AP315"/>
    <mergeCell ref="AQ310:AQ315"/>
    <mergeCell ref="AR310:AR315"/>
    <mergeCell ref="AV298:AV303"/>
    <mergeCell ref="AW298:AW303"/>
    <mergeCell ref="AX298:AX303"/>
    <mergeCell ref="AV304:AV309"/>
    <mergeCell ref="AW304:AW309"/>
    <mergeCell ref="AX304:AX309"/>
    <mergeCell ref="AF304:AF309"/>
    <mergeCell ref="AG304:AG309"/>
    <mergeCell ref="AH304:AH309"/>
    <mergeCell ref="AI304:AI309"/>
    <mergeCell ref="AJ304:AJ309"/>
    <mergeCell ref="AK304:AK309"/>
    <mergeCell ref="AL304:AL309"/>
    <mergeCell ref="AM298:AM303"/>
    <mergeCell ref="AN298:AN303"/>
    <mergeCell ref="AO298:AO303"/>
    <mergeCell ref="AP298:AP303"/>
    <mergeCell ref="AQ298:AQ303"/>
    <mergeCell ref="AR298:AR303"/>
    <mergeCell ref="AS298:AS303"/>
    <mergeCell ref="AF298:AF303"/>
    <mergeCell ref="AG298:AG303"/>
    <mergeCell ref="AH298:AH303"/>
    <mergeCell ref="AI298:AI303"/>
    <mergeCell ref="AJ298:AJ303"/>
    <mergeCell ref="AK298:AK303"/>
    <mergeCell ref="AL298:AL303"/>
    <mergeCell ref="AN328:AN333"/>
    <mergeCell ref="AO328:AO333"/>
    <mergeCell ref="AP328:AP333"/>
    <mergeCell ref="AQ328:AQ333"/>
    <mergeCell ref="AR328:AR333"/>
    <mergeCell ref="AS328:AS333"/>
    <mergeCell ref="AF328:AF333"/>
    <mergeCell ref="AG328:AG333"/>
    <mergeCell ref="AH328:AH333"/>
    <mergeCell ref="AI328:AI333"/>
    <mergeCell ref="AJ328:AJ333"/>
    <mergeCell ref="AK328:AK333"/>
    <mergeCell ref="AL328:AL333"/>
    <mergeCell ref="AT304:AT309"/>
    <mergeCell ref="AU304:AU309"/>
    <mergeCell ref="AM304:AM309"/>
    <mergeCell ref="AN304:AN309"/>
    <mergeCell ref="AO304:AO309"/>
    <mergeCell ref="AG310:AG315"/>
    <mergeCell ref="AH310:AH315"/>
    <mergeCell ref="AI310:AI315"/>
    <mergeCell ref="AJ310:AJ315"/>
    <mergeCell ref="AK310:AK315"/>
    <mergeCell ref="AL310:AL315"/>
    <mergeCell ref="AF310:AF315"/>
    <mergeCell ref="AM316:AM321"/>
    <mergeCell ref="AN316:AN321"/>
    <mergeCell ref="AO316:AO321"/>
    <mergeCell ref="AP316:AP321"/>
    <mergeCell ref="AQ316:AQ321"/>
    <mergeCell ref="AR316:AR321"/>
    <mergeCell ref="AS316:AS321"/>
    <mergeCell ref="AV292:AV297"/>
    <mergeCell ref="AW292:AW297"/>
    <mergeCell ref="AX292:AX297"/>
    <mergeCell ref="AM292:AM297"/>
    <mergeCell ref="AN292:AN297"/>
    <mergeCell ref="AO292:AO297"/>
    <mergeCell ref="AP292:AP297"/>
    <mergeCell ref="AQ292:AQ297"/>
    <mergeCell ref="AR292:AR297"/>
    <mergeCell ref="AS292:AS297"/>
    <mergeCell ref="AF292:AF297"/>
    <mergeCell ref="AG292:AG297"/>
    <mergeCell ref="AH292:AH297"/>
    <mergeCell ref="AI292:AI297"/>
    <mergeCell ref="AJ292:AJ297"/>
    <mergeCell ref="AK292:AK297"/>
    <mergeCell ref="AL292:AL297"/>
    <mergeCell ref="AT280:AT285"/>
    <mergeCell ref="AU280:AU285"/>
    <mergeCell ref="AM280:AM285"/>
    <mergeCell ref="AN280:AN285"/>
    <mergeCell ref="AO280:AO285"/>
    <mergeCell ref="AP280:AP285"/>
    <mergeCell ref="AQ280:AQ285"/>
    <mergeCell ref="AR280:AR285"/>
    <mergeCell ref="AS280:AS285"/>
    <mergeCell ref="AT292:AT297"/>
    <mergeCell ref="AU292:AU297"/>
    <mergeCell ref="AT298:AT303"/>
    <mergeCell ref="AU298:AU303"/>
    <mergeCell ref="AL286:AL291"/>
    <mergeCell ref="AF280:AF285"/>
    <mergeCell ref="AG280:AG285"/>
    <mergeCell ref="AH280:AH285"/>
    <mergeCell ref="AI280:AI285"/>
    <mergeCell ref="AX244:AX249"/>
    <mergeCell ref="AO244:AO249"/>
    <mergeCell ref="AP244:AP249"/>
    <mergeCell ref="AQ244:AQ249"/>
    <mergeCell ref="AR244:AR249"/>
    <mergeCell ref="AS244:AS249"/>
    <mergeCell ref="AT244:AT249"/>
    <mergeCell ref="AU244:AU249"/>
    <mergeCell ref="AT250:AT255"/>
    <mergeCell ref="AU250:AU255"/>
    <mergeCell ref="AV250:AV255"/>
    <mergeCell ref="AW250:AW255"/>
    <mergeCell ref="AX250:AX255"/>
    <mergeCell ref="AI250:AI255"/>
    <mergeCell ref="AJ250:AJ255"/>
    <mergeCell ref="AO250:AO255"/>
    <mergeCell ref="AP250:AP255"/>
    <mergeCell ref="AQ250:AQ255"/>
    <mergeCell ref="AR250:AR255"/>
    <mergeCell ref="AS250:AS255"/>
    <mergeCell ref="AN250:AN255"/>
    <mergeCell ref="AI244:AI249"/>
    <mergeCell ref="AJ244:AJ249"/>
    <mergeCell ref="AK244:AK249"/>
    <mergeCell ref="AL244:AL249"/>
    <mergeCell ref="AM244:AM249"/>
    <mergeCell ref="AN244:AN249"/>
    <mergeCell ref="S250:S255"/>
    <mergeCell ref="AU220:AU225"/>
    <mergeCell ref="AV220:AV225"/>
    <mergeCell ref="AW220:AW225"/>
    <mergeCell ref="AX220:AX225"/>
    <mergeCell ref="AN220:AN225"/>
    <mergeCell ref="AO220:AO225"/>
    <mergeCell ref="AP220:AP225"/>
    <mergeCell ref="AQ220:AQ225"/>
    <mergeCell ref="AR220:AR225"/>
    <mergeCell ref="AS220:AS225"/>
    <mergeCell ref="AT220:AT225"/>
    <mergeCell ref="AU238:AU243"/>
    <mergeCell ref="AV238:AV243"/>
    <mergeCell ref="AW238:AW243"/>
    <mergeCell ref="AX238:AX243"/>
    <mergeCell ref="AN238:AN243"/>
    <mergeCell ref="AO238:AO243"/>
    <mergeCell ref="AP238:AP243"/>
    <mergeCell ref="AQ238:AQ243"/>
    <mergeCell ref="AR238:AR243"/>
    <mergeCell ref="AS238:AS243"/>
    <mergeCell ref="AT238:AT243"/>
    <mergeCell ref="AV244:AV249"/>
    <mergeCell ref="AW244:AW249"/>
    <mergeCell ref="AF226:AF231"/>
    <mergeCell ref="AG226:AG231"/>
    <mergeCell ref="AH226:AH231"/>
    <mergeCell ref="AI226:AI231"/>
    <mergeCell ref="AJ226:AJ231"/>
    <mergeCell ref="AK226:AK231"/>
    <mergeCell ref="AL226:AL231"/>
    <mergeCell ref="AM226:AM231"/>
    <mergeCell ref="AF232:AF237"/>
    <mergeCell ref="AG232:AG237"/>
    <mergeCell ref="AH244:AH249"/>
    <mergeCell ref="AF250:AF255"/>
    <mergeCell ref="AG250:AG255"/>
    <mergeCell ref="AH250:AH255"/>
    <mergeCell ref="AK250:AK255"/>
    <mergeCell ref="AL250:AL255"/>
    <mergeCell ref="AM250:AM255"/>
    <mergeCell ref="AF208:AF213"/>
    <mergeCell ref="AG208:AG213"/>
    <mergeCell ref="AH208:AH213"/>
    <mergeCell ref="AI208:AI213"/>
    <mergeCell ref="AJ208:AJ213"/>
    <mergeCell ref="AK208:AK213"/>
    <mergeCell ref="AL208:AL213"/>
    <mergeCell ref="AM208:AM213"/>
    <mergeCell ref="AF214:AF219"/>
    <mergeCell ref="AG214:AG219"/>
    <mergeCell ref="AH214:AH219"/>
    <mergeCell ref="AI214:AI219"/>
    <mergeCell ref="AJ214:AJ219"/>
    <mergeCell ref="AK214:AK219"/>
    <mergeCell ref="AL214:AL219"/>
    <mergeCell ref="AM214:AM219"/>
    <mergeCell ref="AF220:AF225"/>
    <mergeCell ref="AG220:AG225"/>
    <mergeCell ref="AH220:AH225"/>
    <mergeCell ref="AI220:AI225"/>
    <mergeCell ref="AJ220:AJ225"/>
    <mergeCell ref="AK220:AK225"/>
    <mergeCell ref="AM178:AM183"/>
    <mergeCell ref="AM220:AM225"/>
    <mergeCell ref="AK190:AK195"/>
    <mergeCell ref="AL190:AL195"/>
    <mergeCell ref="AM190:AM195"/>
    <mergeCell ref="AF196:AF201"/>
    <mergeCell ref="AG196:AG201"/>
    <mergeCell ref="AH196:AH201"/>
    <mergeCell ref="AI196:AI201"/>
    <mergeCell ref="AJ196:AJ201"/>
    <mergeCell ref="AK196:AK201"/>
    <mergeCell ref="AL196:AL201"/>
    <mergeCell ref="AM196:AM201"/>
    <mergeCell ref="AF202:AF207"/>
    <mergeCell ref="AG202:AG207"/>
    <mergeCell ref="AH202:AH207"/>
    <mergeCell ref="AI202:AI207"/>
    <mergeCell ref="AJ202:AJ207"/>
    <mergeCell ref="AK202:AK207"/>
    <mergeCell ref="AL202:AL207"/>
    <mergeCell ref="AM202:AM207"/>
    <mergeCell ref="AL220:AL225"/>
    <mergeCell ref="AG136:AG141"/>
    <mergeCell ref="AF142:AF147"/>
    <mergeCell ref="AG142:AG147"/>
    <mergeCell ref="AF148:AF153"/>
    <mergeCell ref="AG148:AG153"/>
    <mergeCell ref="AH148:AH153"/>
    <mergeCell ref="AI148:AI153"/>
    <mergeCell ref="AK148:AK153"/>
    <mergeCell ref="AL148:AL153"/>
    <mergeCell ref="AH136:AH141"/>
    <mergeCell ref="AF154:AF159"/>
    <mergeCell ref="AG154:AG159"/>
    <mergeCell ref="AH154:AH159"/>
    <mergeCell ref="AI154:AI159"/>
    <mergeCell ref="AJ154:AJ159"/>
    <mergeCell ref="AL160:AL165"/>
    <mergeCell ref="AF160:AF165"/>
    <mergeCell ref="AG160:AG165"/>
    <mergeCell ref="AH160:AH165"/>
    <mergeCell ref="AI160:AI165"/>
    <mergeCell ref="AJ160:AJ165"/>
    <mergeCell ref="AK160:AK165"/>
    <mergeCell ref="AL154:AL159"/>
    <mergeCell ref="S142:S249"/>
    <mergeCell ref="AM148:AM153"/>
    <mergeCell ref="AH232:AH237"/>
    <mergeCell ref="AI232:AI237"/>
    <mergeCell ref="AJ232:AJ237"/>
    <mergeCell ref="AK232:AK237"/>
    <mergeCell ref="AL232:AL237"/>
    <mergeCell ref="AM232:AM237"/>
    <mergeCell ref="AG238:AG243"/>
    <mergeCell ref="AH238:AH243"/>
    <mergeCell ref="AI238:AI243"/>
    <mergeCell ref="AJ238:AJ243"/>
    <mergeCell ref="AK238:AK243"/>
    <mergeCell ref="AL238:AL243"/>
    <mergeCell ref="AM238:AM243"/>
    <mergeCell ref="AG244:AG249"/>
    <mergeCell ref="AF166:AF171"/>
    <mergeCell ref="AG166:AG171"/>
    <mergeCell ref="AH166:AH171"/>
    <mergeCell ref="AI166:AI171"/>
    <mergeCell ref="AK166:AK171"/>
    <mergeCell ref="AL166:AL171"/>
    <mergeCell ref="AL172:AL177"/>
    <mergeCell ref="AM172:AM177"/>
    <mergeCell ref="AF178:AF183"/>
    <mergeCell ref="AG178:AG183"/>
    <mergeCell ref="AH178:AH183"/>
    <mergeCell ref="AI178:AI183"/>
    <mergeCell ref="AJ178:AJ183"/>
    <mergeCell ref="AK178:AK183"/>
    <mergeCell ref="AL178:AL183"/>
    <mergeCell ref="AK154:AK159"/>
    <mergeCell ref="AR196:AR201"/>
    <mergeCell ref="AU232:AU237"/>
    <mergeCell ref="AV232:AV237"/>
    <mergeCell ref="AW232:AW237"/>
    <mergeCell ref="AX232:AX237"/>
    <mergeCell ref="AN232:AN237"/>
    <mergeCell ref="AO232:AO237"/>
    <mergeCell ref="AP232:AP237"/>
    <mergeCell ref="AQ232:AQ237"/>
    <mergeCell ref="AR232:AR237"/>
    <mergeCell ref="AS232:AS237"/>
    <mergeCell ref="AT232:AT237"/>
    <mergeCell ref="AM166:AM171"/>
    <mergeCell ref="AF172:AF177"/>
    <mergeCell ref="AG172:AG177"/>
    <mergeCell ref="AH172:AH177"/>
    <mergeCell ref="AI172:AI177"/>
    <mergeCell ref="AJ172:AJ177"/>
    <mergeCell ref="AK172:AK177"/>
    <mergeCell ref="AF184:AF189"/>
    <mergeCell ref="AG184:AG189"/>
    <mergeCell ref="AH184:AH189"/>
    <mergeCell ref="AI184:AI189"/>
    <mergeCell ref="AJ184:AJ189"/>
    <mergeCell ref="AK184:AK189"/>
    <mergeCell ref="AL184:AL189"/>
    <mergeCell ref="AM184:AM189"/>
    <mergeCell ref="AF190:AF195"/>
    <mergeCell ref="AG190:AG195"/>
    <mergeCell ref="AH190:AH195"/>
    <mergeCell ref="AI190:AI195"/>
    <mergeCell ref="AJ190:AJ195"/>
    <mergeCell ref="AU208:AU213"/>
    <mergeCell ref="AV208:AV213"/>
    <mergeCell ref="AW208:AW213"/>
    <mergeCell ref="AX208:AX213"/>
    <mergeCell ref="AN208:AN213"/>
    <mergeCell ref="AO208:AO213"/>
    <mergeCell ref="AP208:AP213"/>
    <mergeCell ref="AQ208:AQ213"/>
    <mergeCell ref="AR208:AR213"/>
    <mergeCell ref="AS208:AS213"/>
    <mergeCell ref="AT208:AT213"/>
    <mergeCell ref="AU202:AU207"/>
    <mergeCell ref="AV202:AV207"/>
    <mergeCell ref="AW202:AW207"/>
    <mergeCell ref="AX202:AX207"/>
    <mergeCell ref="AN202:AN207"/>
    <mergeCell ref="AO202:AO207"/>
    <mergeCell ref="AP202:AP207"/>
    <mergeCell ref="AQ202:AQ207"/>
    <mergeCell ref="AR202:AR207"/>
    <mergeCell ref="AS202:AS207"/>
    <mergeCell ref="AT202:AT207"/>
    <mergeCell ref="AU226:AU231"/>
    <mergeCell ref="AV226:AV231"/>
    <mergeCell ref="AW226:AW231"/>
    <mergeCell ref="AX226:AX231"/>
    <mergeCell ref="AN226:AN231"/>
    <mergeCell ref="AO226:AO231"/>
    <mergeCell ref="AP226:AP231"/>
    <mergeCell ref="AQ226:AQ231"/>
    <mergeCell ref="AR226:AR231"/>
    <mergeCell ref="AS226:AS231"/>
    <mergeCell ref="AT226:AT231"/>
    <mergeCell ref="AU214:AU219"/>
    <mergeCell ref="AV214:AV219"/>
    <mergeCell ref="AW214:AW219"/>
    <mergeCell ref="AX214:AX219"/>
    <mergeCell ref="AN214:AN219"/>
    <mergeCell ref="AO214:AO219"/>
    <mergeCell ref="AP214:AP219"/>
    <mergeCell ref="AQ214:AQ219"/>
    <mergeCell ref="AR214:AR219"/>
    <mergeCell ref="AS214:AS219"/>
    <mergeCell ref="AT214:AT219"/>
    <mergeCell ref="AW178:AW183"/>
    <mergeCell ref="AX178:AX183"/>
    <mergeCell ref="AP178:AP183"/>
    <mergeCell ref="AQ178:AQ183"/>
    <mergeCell ref="AR178:AR183"/>
    <mergeCell ref="AS178:AS183"/>
    <mergeCell ref="AT178:AT183"/>
    <mergeCell ref="AU178:AU183"/>
    <mergeCell ref="AV178:AV183"/>
    <mergeCell ref="AN166:AN171"/>
    <mergeCell ref="AO166:AO171"/>
    <mergeCell ref="AP166:AP171"/>
    <mergeCell ref="AQ166:AQ171"/>
    <mergeCell ref="AR166:AR171"/>
    <mergeCell ref="AS166:AS171"/>
    <mergeCell ref="AT166:AT171"/>
    <mergeCell ref="AN178:AN183"/>
    <mergeCell ref="AO178:AO183"/>
    <mergeCell ref="AS196:AS201"/>
    <mergeCell ref="AT196:AT201"/>
    <mergeCell ref="AU184:AU189"/>
    <mergeCell ref="AV184:AV189"/>
    <mergeCell ref="AW184:AW189"/>
    <mergeCell ref="AX184:AX189"/>
    <mergeCell ref="AN184:AN189"/>
    <mergeCell ref="AO184:AO189"/>
    <mergeCell ref="AP184:AP189"/>
    <mergeCell ref="AQ184:AQ189"/>
    <mergeCell ref="AR184:AR189"/>
    <mergeCell ref="AS184:AS189"/>
    <mergeCell ref="AT184:AT189"/>
    <mergeCell ref="AU190:AU195"/>
    <mergeCell ref="AV190:AV195"/>
    <mergeCell ref="AW190:AW195"/>
    <mergeCell ref="AX190:AX195"/>
    <mergeCell ref="AN190:AN195"/>
    <mergeCell ref="AO190:AO195"/>
    <mergeCell ref="AP190:AP195"/>
    <mergeCell ref="AQ190:AQ195"/>
    <mergeCell ref="AR190:AR195"/>
    <mergeCell ref="AS190:AS195"/>
    <mergeCell ref="AT190:AT195"/>
    <mergeCell ref="AU196:AU201"/>
    <mergeCell ref="AV196:AV201"/>
    <mergeCell ref="AW196:AW201"/>
    <mergeCell ref="AX196:AX201"/>
    <mergeCell ref="AN196:AN201"/>
    <mergeCell ref="AO196:AO201"/>
    <mergeCell ref="AP196:AP201"/>
    <mergeCell ref="AQ196:AQ201"/>
    <mergeCell ref="AN154:AN159"/>
    <mergeCell ref="AO154:AO159"/>
    <mergeCell ref="AP154:AP159"/>
    <mergeCell ref="AQ154:AQ159"/>
    <mergeCell ref="AR154:AR159"/>
    <mergeCell ref="AU160:AU165"/>
    <mergeCell ref="AV160:AV165"/>
    <mergeCell ref="AW160:AW165"/>
    <mergeCell ref="AX160:AX165"/>
    <mergeCell ref="AN160:AN165"/>
    <mergeCell ref="AO160:AO165"/>
    <mergeCell ref="AP160:AP165"/>
    <mergeCell ref="AQ160:AQ165"/>
    <mergeCell ref="AR160:AR165"/>
    <mergeCell ref="AS160:AS165"/>
    <mergeCell ref="AT160:AT165"/>
    <mergeCell ref="AM160:AM165"/>
    <mergeCell ref="AM154:AM159"/>
    <mergeCell ref="AT148:AT153"/>
    <mergeCell ref="AU172:AU177"/>
    <mergeCell ref="AV172:AV177"/>
    <mergeCell ref="AW172:AW177"/>
    <mergeCell ref="AX172:AX177"/>
    <mergeCell ref="AN172:AN177"/>
    <mergeCell ref="AO172:AO177"/>
    <mergeCell ref="AP172:AP177"/>
    <mergeCell ref="AQ172:AQ177"/>
    <mergeCell ref="AR172:AR177"/>
    <mergeCell ref="AS172:AS177"/>
    <mergeCell ref="AT172:AT177"/>
    <mergeCell ref="AS154:AS159"/>
    <mergeCell ref="AT154:AT159"/>
    <mergeCell ref="AU154:AU159"/>
    <mergeCell ref="AV154:AV159"/>
    <mergeCell ref="AW154:AW159"/>
    <mergeCell ref="AX154:AX159"/>
    <mergeCell ref="AU166:AU171"/>
    <mergeCell ref="AV166:AV171"/>
    <mergeCell ref="AW166:AW171"/>
    <mergeCell ref="AX166:AX171"/>
    <mergeCell ref="AU148:AU153"/>
    <mergeCell ref="AV148:AV153"/>
    <mergeCell ref="AW148:AW153"/>
    <mergeCell ref="AX148:AX153"/>
    <mergeCell ref="AN148:AN153"/>
    <mergeCell ref="AO148:AO153"/>
    <mergeCell ref="AP148:AP153"/>
    <mergeCell ref="AQ148:AQ153"/>
    <mergeCell ref="AR148:AR153"/>
    <mergeCell ref="AS148:AS153"/>
    <mergeCell ref="AR130:AR135"/>
    <mergeCell ref="AS130:AS135"/>
    <mergeCell ref="AT130:AT135"/>
    <mergeCell ref="AU136:AU141"/>
    <mergeCell ref="AV136:AV141"/>
    <mergeCell ref="AW136:AW141"/>
    <mergeCell ref="AX136:AX141"/>
    <mergeCell ref="AN136:AN141"/>
    <mergeCell ref="AO136:AO141"/>
    <mergeCell ref="AP136:AP141"/>
    <mergeCell ref="AQ136:AQ141"/>
    <mergeCell ref="AR136:AR141"/>
    <mergeCell ref="AS136:AS141"/>
    <mergeCell ref="AT136:AT141"/>
    <mergeCell ref="AH142:AH147"/>
    <mergeCell ref="AI142:AI147"/>
    <mergeCell ref="AJ142:AJ147"/>
    <mergeCell ref="AK142:AK147"/>
    <mergeCell ref="AI136:AI141"/>
    <mergeCell ref="AJ136:AJ141"/>
    <mergeCell ref="AK136:AK141"/>
    <mergeCell ref="AL136:AL141"/>
    <mergeCell ref="AM136:AM141"/>
    <mergeCell ref="AU124:AU129"/>
    <mergeCell ref="AV124:AV129"/>
    <mergeCell ref="AW124:AW129"/>
    <mergeCell ref="AX124:AX129"/>
    <mergeCell ref="AW130:AW135"/>
    <mergeCell ref="AX130:AX135"/>
    <mergeCell ref="AG130:AG135"/>
    <mergeCell ref="AH130:AH135"/>
    <mergeCell ref="AI130:AI135"/>
    <mergeCell ref="AJ130:AJ135"/>
    <mergeCell ref="AK130:AK135"/>
    <mergeCell ref="AL130:AL135"/>
    <mergeCell ref="AM130:AM135"/>
    <mergeCell ref="AS142:AS147"/>
    <mergeCell ref="AT142:AT147"/>
    <mergeCell ref="AU142:AU147"/>
    <mergeCell ref="AV142:AV147"/>
    <mergeCell ref="AW142:AW147"/>
    <mergeCell ref="AX142:AX147"/>
    <mergeCell ref="AL142:AL147"/>
    <mergeCell ref="AM142:AM147"/>
    <mergeCell ref="AN142:AN147"/>
    <mergeCell ref="AO142:AO147"/>
    <mergeCell ref="AP142:AP147"/>
    <mergeCell ref="AQ142:AQ147"/>
    <mergeCell ref="AR142:AR147"/>
    <mergeCell ref="AU130:AU135"/>
    <mergeCell ref="AV130:AV135"/>
    <mergeCell ref="AN130:AN135"/>
    <mergeCell ref="AO130:AO135"/>
    <mergeCell ref="AP130:AP135"/>
    <mergeCell ref="AQ130:AQ135"/>
    <mergeCell ref="AQ112:AQ117"/>
    <mergeCell ref="AR112:AR117"/>
    <mergeCell ref="AS112:AS117"/>
    <mergeCell ref="AT112:AT117"/>
    <mergeCell ref="AU118:AU123"/>
    <mergeCell ref="AV118:AV123"/>
    <mergeCell ref="AW118:AW123"/>
    <mergeCell ref="AX118:AX123"/>
    <mergeCell ref="AN118:AN123"/>
    <mergeCell ref="AO118:AO123"/>
    <mergeCell ref="AP118:AP123"/>
    <mergeCell ref="AQ118:AQ123"/>
    <mergeCell ref="AR118:AR123"/>
    <mergeCell ref="AS118:AS123"/>
    <mergeCell ref="AT118:AT123"/>
    <mergeCell ref="AF118:AF123"/>
    <mergeCell ref="AG118:AG123"/>
    <mergeCell ref="AH118:AH123"/>
    <mergeCell ref="AI118:AI123"/>
    <mergeCell ref="AK118:AK123"/>
    <mergeCell ref="AL118:AL123"/>
    <mergeCell ref="AM118:AM123"/>
    <mergeCell ref="AU106:AU111"/>
    <mergeCell ref="AV106:AV111"/>
    <mergeCell ref="AW106:AW111"/>
    <mergeCell ref="AX106:AX111"/>
    <mergeCell ref="AW112:AW117"/>
    <mergeCell ref="AX112:AX117"/>
    <mergeCell ref="AF112:AF117"/>
    <mergeCell ref="AG112:AG117"/>
    <mergeCell ref="AH112:AH117"/>
    <mergeCell ref="AI112:AI117"/>
    <mergeCell ref="AK112:AK117"/>
    <mergeCell ref="AL112:AL117"/>
    <mergeCell ref="AM112:AM117"/>
    <mergeCell ref="AN124:AN129"/>
    <mergeCell ref="AO124:AO129"/>
    <mergeCell ref="AP124:AP129"/>
    <mergeCell ref="AQ124:AQ129"/>
    <mergeCell ref="AR124:AR129"/>
    <mergeCell ref="AS124:AS129"/>
    <mergeCell ref="AT124:AT129"/>
    <mergeCell ref="AF124:AF129"/>
    <mergeCell ref="AG124:AG129"/>
    <mergeCell ref="AH124:AH129"/>
    <mergeCell ref="AI124:AI129"/>
    <mergeCell ref="AK124:AK129"/>
    <mergeCell ref="AL124:AL129"/>
    <mergeCell ref="AM124:AM129"/>
    <mergeCell ref="AU112:AU117"/>
    <mergeCell ref="AV112:AV117"/>
    <mergeCell ref="AN112:AN117"/>
    <mergeCell ref="AO112:AO117"/>
    <mergeCell ref="AP112:AP117"/>
    <mergeCell ref="AQ94:AQ99"/>
    <mergeCell ref="AR94:AR99"/>
    <mergeCell ref="AS94:AS99"/>
    <mergeCell ref="AT94:AT99"/>
    <mergeCell ref="AU100:AU105"/>
    <mergeCell ref="AV100:AV105"/>
    <mergeCell ref="AW100:AW105"/>
    <mergeCell ref="AX100:AX105"/>
    <mergeCell ref="AN100:AN105"/>
    <mergeCell ref="AO100:AO105"/>
    <mergeCell ref="AP100:AP105"/>
    <mergeCell ref="AQ100:AQ105"/>
    <mergeCell ref="AR100:AR105"/>
    <mergeCell ref="AS100:AS105"/>
    <mergeCell ref="AT100:AT105"/>
    <mergeCell ref="AF100:AF105"/>
    <mergeCell ref="AG100:AG105"/>
    <mergeCell ref="AH100:AH105"/>
    <mergeCell ref="AI100:AI105"/>
    <mergeCell ref="AK100:AK105"/>
    <mergeCell ref="AL100:AL105"/>
    <mergeCell ref="AM100:AM105"/>
    <mergeCell ref="AU88:AU93"/>
    <mergeCell ref="AV88:AV93"/>
    <mergeCell ref="AW88:AW93"/>
    <mergeCell ref="AX88:AX93"/>
    <mergeCell ref="AW94:AW99"/>
    <mergeCell ref="AX94:AX99"/>
    <mergeCell ref="AF94:AF99"/>
    <mergeCell ref="AG94:AG99"/>
    <mergeCell ref="AH94:AH99"/>
    <mergeCell ref="AI94:AI99"/>
    <mergeCell ref="AK94:AK99"/>
    <mergeCell ref="AL94:AL99"/>
    <mergeCell ref="AM94:AM99"/>
    <mergeCell ref="AN106:AN111"/>
    <mergeCell ref="AO106:AO111"/>
    <mergeCell ref="AP106:AP111"/>
    <mergeCell ref="AQ106:AQ111"/>
    <mergeCell ref="AR106:AR111"/>
    <mergeCell ref="AS106:AS111"/>
    <mergeCell ref="AT106:AT111"/>
    <mergeCell ref="AF106:AF111"/>
    <mergeCell ref="AG106:AG111"/>
    <mergeCell ref="AH106:AH111"/>
    <mergeCell ref="AI106:AI111"/>
    <mergeCell ref="AK106:AK111"/>
    <mergeCell ref="AL106:AL111"/>
    <mergeCell ref="AM106:AM111"/>
    <mergeCell ref="AU94:AU99"/>
    <mergeCell ref="AV94:AV99"/>
    <mergeCell ref="AN94:AN99"/>
    <mergeCell ref="AO94:AO99"/>
    <mergeCell ref="AP94:AP99"/>
    <mergeCell ref="AU82:AU87"/>
    <mergeCell ref="AV82:AV87"/>
    <mergeCell ref="AW82:AW87"/>
    <mergeCell ref="AX82:AX87"/>
    <mergeCell ref="AN82:AN87"/>
    <mergeCell ref="AO82:AO87"/>
    <mergeCell ref="AP82:AP87"/>
    <mergeCell ref="AQ82:AQ87"/>
    <mergeCell ref="AR82:AR87"/>
    <mergeCell ref="AS82:AS87"/>
    <mergeCell ref="AT82:AT87"/>
    <mergeCell ref="AF82:AF87"/>
    <mergeCell ref="AG82:AG87"/>
    <mergeCell ref="AH82:AH87"/>
    <mergeCell ref="AI82:AI87"/>
    <mergeCell ref="AK82:AK87"/>
    <mergeCell ref="AL82:AL87"/>
    <mergeCell ref="AM82:AM87"/>
    <mergeCell ref="AN88:AN93"/>
    <mergeCell ref="AO88:AO93"/>
    <mergeCell ref="AP88:AP93"/>
    <mergeCell ref="AQ88:AQ93"/>
    <mergeCell ref="AR88:AR93"/>
    <mergeCell ref="AS88:AS93"/>
    <mergeCell ref="AT88:AT93"/>
    <mergeCell ref="AF88:AF93"/>
    <mergeCell ref="AG88:AG93"/>
    <mergeCell ref="AH88:AH93"/>
    <mergeCell ref="AI88:AI93"/>
    <mergeCell ref="AK88:AK93"/>
    <mergeCell ref="AL88:AL93"/>
    <mergeCell ref="AM88:AM93"/>
    <mergeCell ref="AN46:AN51"/>
    <mergeCell ref="AO46:AO51"/>
    <mergeCell ref="AF46:AF51"/>
    <mergeCell ref="AG46:AG51"/>
    <mergeCell ref="AH46:AH51"/>
    <mergeCell ref="AI46:AI51"/>
    <mergeCell ref="AK46:AK51"/>
    <mergeCell ref="AL46:AL51"/>
    <mergeCell ref="AM46:AM51"/>
    <mergeCell ref="AN58:AN63"/>
    <mergeCell ref="AO58:AO63"/>
    <mergeCell ref="AF58:AF63"/>
    <mergeCell ref="AG58:AG63"/>
    <mergeCell ref="AH58:AH63"/>
    <mergeCell ref="AI58:AI63"/>
    <mergeCell ref="AK58:AK63"/>
    <mergeCell ref="AL58:AL63"/>
    <mergeCell ref="AM58:AM63"/>
    <mergeCell ref="AW76:AW81"/>
    <mergeCell ref="AX76:AX81"/>
    <mergeCell ref="AO70:AO75"/>
    <mergeCell ref="AP70:AP75"/>
    <mergeCell ref="AQ70:AQ75"/>
    <mergeCell ref="AR70:AR75"/>
    <mergeCell ref="AS70:AS75"/>
    <mergeCell ref="AT70:AT75"/>
    <mergeCell ref="AU70:AU75"/>
    <mergeCell ref="AF76:AF81"/>
    <mergeCell ref="AG76:AG81"/>
    <mergeCell ref="AH76:AH81"/>
    <mergeCell ref="AI76:AI81"/>
    <mergeCell ref="AK76:AK81"/>
    <mergeCell ref="AL76:AL81"/>
    <mergeCell ref="AM76:AM81"/>
    <mergeCell ref="AF70:AF75"/>
    <mergeCell ref="AG70:AG75"/>
    <mergeCell ref="AH70:AH75"/>
    <mergeCell ref="AI70:AI75"/>
    <mergeCell ref="AK70:AK75"/>
    <mergeCell ref="AL70:AL75"/>
    <mergeCell ref="AM70:AM75"/>
    <mergeCell ref="AU76:AU81"/>
    <mergeCell ref="AV76:AV81"/>
    <mergeCell ref="AN76:AN81"/>
    <mergeCell ref="AO76:AO81"/>
    <mergeCell ref="AP76:AP81"/>
    <mergeCell ref="AQ76:AQ81"/>
    <mergeCell ref="AR76:AR81"/>
    <mergeCell ref="AS76:AS81"/>
    <mergeCell ref="AT76:AT81"/>
    <mergeCell ref="AW64:AW69"/>
    <mergeCell ref="AX64:AX69"/>
    <mergeCell ref="AN64:AN69"/>
    <mergeCell ref="AO64:AO69"/>
    <mergeCell ref="AP64:AP69"/>
    <mergeCell ref="AQ64:AQ69"/>
    <mergeCell ref="AR64:AR69"/>
    <mergeCell ref="AS64:AS69"/>
    <mergeCell ref="AT64:AT69"/>
    <mergeCell ref="AF64:AF69"/>
    <mergeCell ref="AG64:AG69"/>
    <mergeCell ref="AH64:AH69"/>
    <mergeCell ref="AI64:AI69"/>
    <mergeCell ref="AK64:AK69"/>
    <mergeCell ref="AL64:AL69"/>
    <mergeCell ref="AM64:AM69"/>
    <mergeCell ref="AW70:AW75"/>
    <mergeCell ref="AX70:AX75"/>
    <mergeCell ref="AV70:AV75"/>
    <mergeCell ref="AU64:AU69"/>
    <mergeCell ref="AV64:AV69"/>
    <mergeCell ref="AN70:AN75"/>
    <mergeCell ref="AK34:AK39"/>
    <mergeCell ref="AL34:AL39"/>
    <mergeCell ref="AM34:AM39"/>
    <mergeCell ref="AU40:AU45"/>
    <mergeCell ref="AV40:AV45"/>
    <mergeCell ref="AN40:AN45"/>
    <mergeCell ref="AO40:AO45"/>
    <mergeCell ref="AP40:AP45"/>
    <mergeCell ref="AQ40:AQ45"/>
    <mergeCell ref="AR40:AR45"/>
    <mergeCell ref="AS40:AS45"/>
    <mergeCell ref="AT40:AT45"/>
    <mergeCell ref="AV52:AV57"/>
    <mergeCell ref="AN52:AN57"/>
    <mergeCell ref="AO52:AO57"/>
    <mergeCell ref="AP52:AP57"/>
    <mergeCell ref="AU28:AU33"/>
    <mergeCell ref="AV28:AV33"/>
    <mergeCell ref="AQ52:AQ57"/>
    <mergeCell ref="AR52:AR57"/>
    <mergeCell ref="AS52:AS57"/>
    <mergeCell ref="AT52:AT57"/>
    <mergeCell ref="AR46:AR51"/>
    <mergeCell ref="AS46:AS51"/>
    <mergeCell ref="AT46:AT51"/>
    <mergeCell ref="AU46:AU51"/>
    <mergeCell ref="AU52:AU57"/>
    <mergeCell ref="AX28:AX33"/>
    <mergeCell ref="AL28:AL33"/>
    <mergeCell ref="AM28:AM33"/>
    <mergeCell ref="AN28:AN33"/>
    <mergeCell ref="AO28:AO33"/>
    <mergeCell ref="AP28:AP33"/>
    <mergeCell ref="AQ28:AQ33"/>
    <mergeCell ref="AR28:AR33"/>
    <mergeCell ref="AU34:AU39"/>
    <mergeCell ref="AV34:AV39"/>
    <mergeCell ref="AN34:AN39"/>
    <mergeCell ref="AO34:AO39"/>
    <mergeCell ref="AP34:AP39"/>
    <mergeCell ref="AQ34:AQ39"/>
    <mergeCell ref="AR34:AR39"/>
    <mergeCell ref="AS34:AS39"/>
    <mergeCell ref="AT34:AT39"/>
    <mergeCell ref="AW34:AW39"/>
    <mergeCell ref="AX34:AX39"/>
    <mergeCell ref="AW40:AW45"/>
    <mergeCell ref="AX40:AX45"/>
    <mergeCell ref="AI10:AI15"/>
    <mergeCell ref="AJ10:AJ15"/>
    <mergeCell ref="AF16:AF21"/>
    <mergeCell ref="AG16:AG21"/>
    <mergeCell ref="AH16:AH21"/>
    <mergeCell ref="AI16:AI21"/>
    <mergeCell ref="AF22:AF27"/>
    <mergeCell ref="AI22:AI27"/>
    <mergeCell ref="AG22:AG27"/>
    <mergeCell ref="AH22:AH27"/>
    <mergeCell ref="AF28:AF33"/>
    <mergeCell ref="AG28:AG33"/>
    <mergeCell ref="AH28:AH33"/>
    <mergeCell ref="AI28:AI33"/>
    <mergeCell ref="AK28:AK33"/>
    <mergeCell ref="AS28:AS33"/>
    <mergeCell ref="AT28:AT33"/>
    <mergeCell ref="AQ10:AQ15"/>
    <mergeCell ref="AR10:AR15"/>
    <mergeCell ref="AS10:AS15"/>
    <mergeCell ref="AT10:AT15"/>
    <mergeCell ref="AS16:AS21"/>
    <mergeCell ref="AT16:AT21"/>
    <mergeCell ref="AU16:AU21"/>
    <mergeCell ref="AV16:AV21"/>
    <mergeCell ref="AW16:AW21"/>
    <mergeCell ref="AX16:AX21"/>
    <mergeCell ref="AO10:AO15"/>
    <mergeCell ref="AP10:AP15"/>
    <mergeCell ref="AW28:AW33"/>
    <mergeCell ref="AY10:AY21"/>
    <mergeCell ref="AO16:AO21"/>
    <mergeCell ref="AP16:AP21"/>
    <mergeCell ref="AQ16:AQ21"/>
    <mergeCell ref="AR16:AR21"/>
    <mergeCell ref="AK10:AK15"/>
    <mergeCell ref="AL10:AL15"/>
    <mergeCell ref="AK16:AK21"/>
    <mergeCell ref="AL16:AL21"/>
    <mergeCell ref="AK22:AK27"/>
    <mergeCell ref="AL22:AL27"/>
    <mergeCell ref="AM10:AM15"/>
    <mergeCell ref="AN10:AN15"/>
    <mergeCell ref="AM16:AM21"/>
    <mergeCell ref="AN16:AN21"/>
    <mergeCell ref="AM22:AM27"/>
    <mergeCell ref="AN22:AN27"/>
    <mergeCell ref="AO22:AO27"/>
    <mergeCell ref="AU10:AU15"/>
    <mergeCell ref="AV10:AV15"/>
    <mergeCell ref="AW10:AW15"/>
    <mergeCell ref="AX10:AX15"/>
    <mergeCell ref="AV322:AV327"/>
    <mergeCell ref="AW322:AW327"/>
    <mergeCell ref="AX322:AX327"/>
    <mergeCell ref="C322:C327"/>
    <mergeCell ref="AF322:AF327"/>
    <mergeCell ref="AG322:AG327"/>
    <mergeCell ref="AH322:AH327"/>
    <mergeCell ref="AI322:AI327"/>
    <mergeCell ref="AJ322:AJ327"/>
    <mergeCell ref="AK322:AK327"/>
    <mergeCell ref="AL322:AL327"/>
    <mergeCell ref="AM322:AM327"/>
    <mergeCell ref="AN322:AN327"/>
    <mergeCell ref="AO322:AO327"/>
    <mergeCell ref="AP322:AP327"/>
    <mergeCell ref="AQ322:AQ327"/>
    <mergeCell ref="AR322:AR327"/>
    <mergeCell ref="AS322:AS327"/>
    <mergeCell ref="AT322:AT327"/>
    <mergeCell ref="AU322:AU327"/>
  </mergeCells>
  <hyperlinks>
    <hyperlink ref="AJ646" r:id="rId1" display="https://drive.google.com/drive/u/5/folders/10wh8yqPM8JcQG2cE0Y5SWP_Xfk1Pgibw" xr:uid="{00000000-0004-0000-0300-000000000000}"/>
    <hyperlink ref="AJ604" r:id="rId2" display="https://drive.google.com/drive/u/5/folders/10wh8yqPM8JcQG2cE0Y5SWP_Xfk1Pgibw" xr:uid="{00000000-0004-0000-0300-000001000000}"/>
    <hyperlink ref="AJ20" r:id="rId3" xr:uid="{00000000-0004-0000-0300-000002000000}"/>
    <hyperlink ref="AJ26" r:id="rId4" xr:uid="{00000000-0004-0000-0300-000003000000}"/>
    <hyperlink ref="AJ32" r:id="rId5" xr:uid="{00000000-0004-0000-0300-000004000000}"/>
    <hyperlink ref="AJ38" r:id="rId6" xr:uid="{00000000-0004-0000-0300-000005000000}"/>
    <hyperlink ref="AJ44" r:id="rId7" xr:uid="{00000000-0004-0000-0300-000006000000}"/>
    <hyperlink ref="AJ50" r:id="rId8" xr:uid="{00000000-0004-0000-0300-000007000000}"/>
    <hyperlink ref="AJ56" r:id="rId9" xr:uid="{00000000-0004-0000-0300-000008000000}"/>
    <hyperlink ref="AJ62" r:id="rId10" xr:uid="{00000000-0004-0000-0300-000009000000}"/>
    <hyperlink ref="AJ68" r:id="rId11" xr:uid="{00000000-0004-0000-0300-00000A000000}"/>
    <hyperlink ref="AJ74" r:id="rId12" xr:uid="{00000000-0004-0000-0300-00000B000000}"/>
    <hyperlink ref="AJ80" r:id="rId13" xr:uid="{00000000-0004-0000-0300-00000C000000}"/>
    <hyperlink ref="AJ86" r:id="rId14" xr:uid="{00000000-0004-0000-0300-00000D000000}"/>
    <hyperlink ref="AJ92" r:id="rId15" xr:uid="{00000000-0004-0000-0300-00000E000000}"/>
    <hyperlink ref="AJ98" r:id="rId16" xr:uid="{00000000-0004-0000-0300-00000F000000}"/>
    <hyperlink ref="AJ104" r:id="rId17" xr:uid="{00000000-0004-0000-0300-000010000000}"/>
    <hyperlink ref="AJ110" r:id="rId18" xr:uid="{00000000-0004-0000-0300-000011000000}"/>
    <hyperlink ref="AJ116" r:id="rId19" xr:uid="{00000000-0004-0000-0300-000012000000}"/>
    <hyperlink ref="AJ122" r:id="rId20" xr:uid="{00000000-0004-0000-0300-000013000000}"/>
    <hyperlink ref="AJ128" r:id="rId21" xr:uid="{00000000-0004-0000-0300-000014000000}"/>
    <hyperlink ref="AJ152" r:id="rId22" xr:uid="{00000000-0004-0000-0300-000015000000}"/>
    <hyperlink ref="AJ170" r:id="rId23" xr:uid="{00000000-0004-0000-0300-000016000000}"/>
  </hyperlinks>
  <pageMargins left="0.7" right="0.7" top="0.75" bottom="0.75" header="0" footer="0"/>
  <pageSetup orientation="landscape" r:id="rId24"/>
  <drawing r:id="rId25"/>
  <legacyDrawing r:id="rId2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130"/>
  <sheetViews>
    <sheetView showGridLines="0" zoomScale="69" zoomScaleNormal="69" workbookViewId="0">
      <selection activeCell="E30" sqref="E30"/>
    </sheetView>
  </sheetViews>
  <sheetFormatPr baseColWidth="10" defaultColWidth="14.42578125" defaultRowHeight="15" customHeight="1" x14ac:dyDescent="0.25"/>
  <cols>
    <col min="1" max="1" width="24.140625" customWidth="1"/>
    <col min="2" max="2" width="24.42578125" customWidth="1"/>
    <col min="3" max="3" width="25.140625" customWidth="1"/>
    <col min="4" max="4" width="32.140625" customWidth="1"/>
    <col min="5" max="5" width="29.42578125" customWidth="1"/>
    <col min="6" max="6" width="25" customWidth="1"/>
    <col min="7" max="7" width="24.5703125" customWidth="1"/>
    <col min="8" max="8" width="34.42578125" customWidth="1"/>
    <col min="9" max="9" width="18.42578125" customWidth="1"/>
    <col min="10" max="10" width="15.140625" customWidth="1"/>
    <col min="11" max="11" width="21.7109375" customWidth="1"/>
    <col min="12" max="12" width="14.42578125" customWidth="1"/>
    <col min="13" max="13" width="14.140625" customWidth="1"/>
    <col min="14" max="14" width="64.42578125" customWidth="1"/>
    <col min="15" max="34" width="10.7109375" customWidth="1"/>
  </cols>
  <sheetData>
    <row r="1" spans="1:34" ht="29.25" customHeight="1" x14ac:dyDescent="0.25">
      <c r="A1" s="735"/>
      <c r="B1" s="687"/>
      <c r="C1" s="863" t="s">
        <v>0</v>
      </c>
      <c r="D1" s="695"/>
      <c r="E1" s="695"/>
      <c r="F1" s="695"/>
      <c r="G1" s="695"/>
      <c r="H1" s="695"/>
      <c r="I1" s="695"/>
      <c r="J1" s="695"/>
      <c r="K1" s="695"/>
      <c r="L1" s="695"/>
      <c r="M1" s="695"/>
      <c r="N1" s="736"/>
    </row>
    <row r="2" spans="1:34" ht="33.75" customHeight="1" x14ac:dyDescent="0.25">
      <c r="A2" s="688"/>
      <c r="B2" s="690"/>
      <c r="C2" s="864" t="s">
        <v>698</v>
      </c>
      <c r="D2" s="738"/>
      <c r="E2" s="738"/>
      <c r="F2" s="738"/>
      <c r="G2" s="738"/>
      <c r="H2" s="738"/>
      <c r="I2" s="738"/>
      <c r="J2" s="738"/>
      <c r="K2" s="738"/>
      <c r="L2" s="738"/>
      <c r="M2" s="738"/>
      <c r="N2" s="739"/>
    </row>
    <row r="3" spans="1:34" ht="26.25" x14ac:dyDescent="0.4">
      <c r="A3" s="691"/>
      <c r="B3" s="693"/>
      <c r="C3" s="865" t="s">
        <v>378</v>
      </c>
      <c r="D3" s="698"/>
      <c r="E3" s="698"/>
      <c r="F3" s="698"/>
      <c r="G3" s="698"/>
      <c r="H3" s="866" t="s">
        <v>421</v>
      </c>
      <c r="I3" s="701"/>
      <c r="J3" s="701"/>
      <c r="K3" s="701"/>
      <c r="L3" s="701"/>
      <c r="M3" s="701"/>
      <c r="N3" s="704"/>
    </row>
    <row r="4" spans="1:34" ht="26.25" customHeight="1" x14ac:dyDescent="0.25">
      <c r="A4" s="867" t="s">
        <v>4</v>
      </c>
      <c r="B4" s="744"/>
      <c r="C4" s="846" t="s">
        <v>205</v>
      </c>
      <c r="D4" s="701"/>
      <c r="E4" s="701"/>
      <c r="F4" s="701"/>
      <c r="G4" s="701"/>
      <c r="H4" s="701"/>
      <c r="I4" s="701"/>
      <c r="J4" s="701"/>
      <c r="K4" s="701"/>
      <c r="L4" s="701"/>
      <c r="M4" s="701"/>
      <c r="N4" s="701"/>
      <c r="O4" s="701"/>
      <c r="P4" s="701"/>
      <c r="Q4" s="701"/>
      <c r="R4" s="701"/>
      <c r="S4" s="701"/>
      <c r="T4" s="701"/>
      <c r="U4" s="701"/>
      <c r="V4" s="701"/>
      <c r="W4" s="701"/>
      <c r="X4" s="701"/>
      <c r="Y4" s="701"/>
      <c r="Z4" s="701"/>
      <c r="AA4" s="701"/>
      <c r="AB4" s="701"/>
      <c r="AC4" s="701"/>
      <c r="AD4" s="701"/>
      <c r="AE4" s="701"/>
      <c r="AF4" s="701"/>
      <c r="AG4" s="701"/>
      <c r="AH4" s="868"/>
    </row>
    <row r="5" spans="1:34" ht="54.75" customHeight="1" x14ac:dyDescent="0.25">
      <c r="A5" s="869" t="s">
        <v>5</v>
      </c>
      <c r="B5" s="704"/>
      <c r="C5" s="848" t="s">
        <v>422</v>
      </c>
      <c r="D5" s="701"/>
      <c r="E5" s="701"/>
      <c r="F5" s="701"/>
      <c r="G5" s="701"/>
      <c r="H5" s="701"/>
      <c r="I5" s="701"/>
      <c r="J5" s="701"/>
      <c r="K5" s="701"/>
      <c r="L5" s="701"/>
      <c r="M5" s="701"/>
      <c r="N5" s="701"/>
      <c r="O5" s="701"/>
      <c r="P5" s="701"/>
      <c r="Q5" s="701"/>
      <c r="R5" s="701"/>
      <c r="S5" s="701"/>
      <c r="T5" s="701"/>
      <c r="U5" s="701"/>
      <c r="V5" s="701"/>
      <c r="W5" s="701"/>
      <c r="X5" s="701"/>
      <c r="Y5" s="701"/>
      <c r="Z5" s="701"/>
      <c r="AA5" s="701"/>
      <c r="AB5" s="701"/>
      <c r="AC5" s="701"/>
      <c r="AD5" s="701"/>
      <c r="AE5" s="701"/>
      <c r="AF5" s="701"/>
      <c r="AG5" s="701"/>
      <c r="AH5" s="868"/>
    </row>
    <row r="6" spans="1:34" x14ac:dyDescent="0.25">
      <c r="B6" s="196"/>
      <c r="C6" s="197"/>
      <c r="D6" s="197"/>
      <c r="J6" s="120"/>
      <c r="N6" s="197"/>
    </row>
    <row r="7" spans="1:34" ht="28.5" customHeight="1" x14ac:dyDescent="0.25">
      <c r="A7" s="870" t="s">
        <v>699</v>
      </c>
      <c r="B7" s="695"/>
      <c r="C7" s="695"/>
      <c r="D7" s="695"/>
      <c r="E7" s="695"/>
      <c r="F7" s="695"/>
      <c r="G7" s="695"/>
      <c r="H7" s="736"/>
      <c r="J7" s="120"/>
      <c r="N7" s="197"/>
    </row>
    <row r="8" spans="1:34" ht="35.25" customHeight="1" x14ac:dyDescent="0.25">
      <c r="A8" s="198" t="s">
        <v>24</v>
      </c>
      <c r="B8" s="199" t="s">
        <v>700</v>
      </c>
      <c r="C8" s="199" t="s">
        <v>701</v>
      </c>
      <c r="D8" s="199" t="s">
        <v>702</v>
      </c>
      <c r="E8" s="199" t="s">
        <v>703</v>
      </c>
      <c r="F8" s="199" t="s">
        <v>704</v>
      </c>
      <c r="G8" s="199" t="s">
        <v>705</v>
      </c>
      <c r="H8" s="200" t="s">
        <v>706</v>
      </c>
      <c r="J8" s="120"/>
      <c r="N8" s="197"/>
    </row>
    <row r="9" spans="1:34" ht="16.5" customHeight="1" x14ac:dyDescent="0.25">
      <c r="A9" s="201" t="s">
        <v>707</v>
      </c>
      <c r="B9" s="202"/>
      <c r="C9" s="203"/>
      <c r="D9" s="203"/>
      <c r="E9" s="175"/>
      <c r="F9" s="175"/>
      <c r="G9" s="175"/>
      <c r="H9" s="204" t="e">
        <f t="shared" ref="H9:H14" si="0">G9/E9</f>
        <v>#DIV/0!</v>
      </c>
      <c r="J9" s="120"/>
      <c r="N9" s="197"/>
    </row>
    <row r="10" spans="1:34" ht="16.5" customHeight="1" x14ac:dyDescent="0.25">
      <c r="A10" s="201" t="s">
        <v>708</v>
      </c>
      <c r="B10" s="202"/>
      <c r="C10" s="203"/>
      <c r="D10" s="203"/>
      <c r="E10" s="175"/>
      <c r="F10" s="175"/>
      <c r="G10" s="175"/>
      <c r="H10" s="204" t="e">
        <f t="shared" si="0"/>
        <v>#DIV/0!</v>
      </c>
      <c r="J10" s="120"/>
      <c r="N10" s="197"/>
    </row>
    <row r="11" spans="1:34" ht="16.5" customHeight="1" x14ac:dyDescent="0.25">
      <c r="A11" s="201" t="s">
        <v>709</v>
      </c>
      <c r="B11" s="202"/>
      <c r="C11" s="203"/>
      <c r="D11" s="203"/>
      <c r="E11" s="175"/>
      <c r="F11" s="175"/>
      <c r="G11" s="175"/>
      <c r="H11" s="204" t="e">
        <f t="shared" si="0"/>
        <v>#DIV/0!</v>
      </c>
      <c r="J11" s="120"/>
      <c r="N11" s="197"/>
    </row>
    <row r="12" spans="1:34" ht="16.5" customHeight="1" x14ac:dyDescent="0.25">
      <c r="A12" s="201" t="s">
        <v>710</v>
      </c>
      <c r="B12" s="202" t="s">
        <v>711</v>
      </c>
      <c r="C12" s="205">
        <v>2520913490</v>
      </c>
      <c r="D12" s="205">
        <v>2520913490</v>
      </c>
      <c r="E12" s="206">
        <v>1755277922</v>
      </c>
      <c r="F12" s="206">
        <v>368710252</v>
      </c>
      <c r="G12" s="206">
        <v>368710252</v>
      </c>
      <c r="H12" s="207">
        <f t="shared" si="0"/>
        <v>0.21005804686467194</v>
      </c>
      <c r="J12" s="120"/>
      <c r="N12" s="197"/>
    </row>
    <row r="13" spans="1:34" ht="16.5" customHeight="1" x14ac:dyDescent="0.25">
      <c r="A13" s="201" t="s">
        <v>712</v>
      </c>
      <c r="B13" s="202" t="s">
        <v>711</v>
      </c>
      <c r="C13" s="205">
        <v>2520913490</v>
      </c>
      <c r="D13" s="205">
        <v>2520913490</v>
      </c>
      <c r="E13" s="206">
        <v>1926726271</v>
      </c>
      <c r="F13" s="206">
        <v>774456097</v>
      </c>
      <c r="G13" s="206">
        <v>774456097</v>
      </c>
      <c r="H13" s="207">
        <f t="shared" si="0"/>
        <v>0.40195439728864318</v>
      </c>
      <c r="J13" s="120"/>
      <c r="N13" s="197"/>
    </row>
    <row r="14" spans="1:34" ht="16.5" customHeight="1" x14ac:dyDescent="0.25">
      <c r="A14" s="208" t="s">
        <v>713</v>
      </c>
      <c r="B14" s="202" t="s">
        <v>711</v>
      </c>
      <c r="C14" s="205">
        <v>2520913490</v>
      </c>
      <c r="D14" s="205">
        <v>2520913490</v>
      </c>
      <c r="E14" s="206">
        <v>2444467440</v>
      </c>
      <c r="F14" s="206">
        <v>1650914867</v>
      </c>
      <c r="G14" s="206">
        <v>1650914867</v>
      </c>
      <c r="H14" s="207">
        <f t="shared" si="0"/>
        <v>0.67536791040260291</v>
      </c>
      <c r="J14" s="120"/>
      <c r="N14" s="197"/>
    </row>
    <row r="15" spans="1:34" ht="16.5" customHeight="1" x14ac:dyDescent="0.25">
      <c r="B15" s="196"/>
      <c r="C15" s="197"/>
      <c r="D15" s="197"/>
      <c r="J15" s="120"/>
      <c r="N15" s="197"/>
    </row>
    <row r="16" spans="1:34" ht="26.25" customHeight="1" x14ac:dyDescent="0.25">
      <c r="A16" s="870" t="s">
        <v>714</v>
      </c>
      <c r="B16" s="695"/>
      <c r="C16" s="695"/>
      <c r="D16" s="695"/>
      <c r="E16" s="695"/>
      <c r="F16" s="695"/>
      <c r="G16" s="695"/>
      <c r="H16" s="736"/>
      <c r="J16" s="120"/>
      <c r="N16" s="197"/>
    </row>
    <row r="17" spans="1:14" ht="25.5" customHeight="1" x14ac:dyDescent="0.25">
      <c r="A17" s="198" t="s">
        <v>25</v>
      </c>
      <c r="B17" s="199" t="s">
        <v>700</v>
      </c>
      <c r="C17" s="199" t="s">
        <v>701</v>
      </c>
      <c r="D17" s="199" t="s">
        <v>702</v>
      </c>
      <c r="E17" s="199" t="s">
        <v>703</v>
      </c>
      <c r="F17" s="199" t="s">
        <v>704</v>
      </c>
      <c r="G17" s="199" t="s">
        <v>705</v>
      </c>
      <c r="H17" s="200" t="s">
        <v>706</v>
      </c>
      <c r="J17" s="120"/>
      <c r="N17" s="197"/>
    </row>
    <row r="18" spans="1:14" ht="16.5" customHeight="1" x14ac:dyDescent="0.25">
      <c r="A18" s="209" t="s">
        <v>715</v>
      </c>
      <c r="B18" s="202" t="s">
        <v>711</v>
      </c>
      <c r="C18" s="210">
        <v>3459505000</v>
      </c>
      <c r="D18" s="210">
        <v>3459505000</v>
      </c>
      <c r="E18" s="211">
        <v>0</v>
      </c>
      <c r="F18" s="211">
        <v>0</v>
      </c>
      <c r="G18" s="211">
        <v>0</v>
      </c>
      <c r="H18" s="204" t="e">
        <f t="shared" ref="H18:H29" si="1">G18/E18</f>
        <v>#DIV/0!</v>
      </c>
      <c r="J18" s="120"/>
      <c r="N18" s="197"/>
    </row>
    <row r="19" spans="1:14" ht="16.5" customHeight="1" x14ac:dyDescent="0.25">
      <c r="A19" s="209" t="s">
        <v>716</v>
      </c>
      <c r="B19" s="202" t="s">
        <v>711</v>
      </c>
      <c r="C19" s="210">
        <v>3459505000</v>
      </c>
      <c r="D19" s="210">
        <v>3459505000</v>
      </c>
      <c r="E19" s="211">
        <v>1382696694</v>
      </c>
      <c r="F19" s="211">
        <v>5482052</v>
      </c>
      <c r="G19" s="211">
        <v>5482052</v>
      </c>
      <c r="H19" s="212">
        <f t="shared" si="1"/>
        <v>3.9647538204065453E-3</v>
      </c>
      <c r="J19" s="120"/>
      <c r="N19" s="197"/>
    </row>
    <row r="20" spans="1:14" ht="16.5" customHeight="1" x14ac:dyDescent="0.25">
      <c r="A20" s="209" t="s">
        <v>717</v>
      </c>
      <c r="B20" s="202" t="s">
        <v>711</v>
      </c>
      <c r="C20" s="210">
        <v>3459505000</v>
      </c>
      <c r="D20" s="210">
        <v>3459505000</v>
      </c>
      <c r="E20" s="211">
        <v>2485583694</v>
      </c>
      <c r="F20" s="211">
        <v>75353695</v>
      </c>
      <c r="G20" s="211">
        <v>75353695</v>
      </c>
      <c r="H20" s="212">
        <f t="shared" si="1"/>
        <v>3.03162976092488E-2</v>
      </c>
      <c r="J20" s="120"/>
      <c r="N20" s="197"/>
    </row>
    <row r="21" spans="1:14" ht="16.5" customHeight="1" x14ac:dyDescent="0.25">
      <c r="A21" s="209" t="s">
        <v>718</v>
      </c>
      <c r="B21" s="202" t="s">
        <v>711</v>
      </c>
      <c r="C21" s="210">
        <v>2933065449</v>
      </c>
      <c r="D21" s="210">
        <v>2933065449</v>
      </c>
      <c r="E21" s="211">
        <v>2693464694</v>
      </c>
      <c r="F21" s="211">
        <v>266041894</v>
      </c>
      <c r="G21" s="211">
        <v>266041894</v>
      </c>
      <c r="H21" s="212">
        <f t="shared" si="1"/>
        <v>9.8773113526469711E-2</v>
      </c>
      <c r="J21" s="120"/>
      <c r="N21" s="197"/>
    </row>
    <row r="22" spans="1:14" ht="16.5" customHeight="1" x14ac:dyDescent="0.25">
      <c r="A22" s="209" t="s">
        <v>719</v>
      </c>
      <c r="B22" s="202" t="s">
        <v>711</v>
      </c>
      <c r="C22" s="210">
        <v>2933065449</v>
      </c>
      <c r="D22" s="210">
        <v>2933065449</v>
      </c>
      <c r="E22" s="211">
        <v>2693464694</v>
      </c>
      <c r="F22" s="211">
        <v>567682495</v>
      </c>
      <c r="G22" s="211">
        <v>567682495</v>
      </c>
      <c r="H22" s="212">
        <f t="shared" si="1"/>
        <v>0.21076292414917394</v>
      </c>
      <c r="J22" s="120"/>
      <c r="N22" s="197"/>
    </row>
    <row r="23" spans="1:14" ht="16.5" customHeight="1" x14ac:dyDescent="0.25">
      <c r="A23" s="209" t="s">
        <v>720</v>
      </c>
      <c r="B23" s="202" t="s">
        <v>711</v>
      </c>
      <c r="C23" s="210">
        <v>2933065449</v>
      </c>
      <c r="D23" s="210">
        <v>2933065449</v>
      </c>
      <c r="E23" s="211">
        <v>2822093894</v>
      </c>
      <c r="F23" s="211">
        <v>883801395</v>
      </c>
      <c r="G23" s="211">
        <v>883801395</v>
      </c>
      <c r="H23" s="212">
        <f t="shared" si="1"/>
        <v>0.31317221474417745</v>
      </c>
      <c r="J23" s="120"/>
      <c r="N23" s="197"/>
    </row>
    <row r="24" spans="1:14" ht="16.5" customHeight="1" x14ac:dyDescent="0.25">
      <c r="A24" s="209" t="s">
        <v>707</v>
      </c>
      <c r="B24" s="202" t="s">
        <v>711</v>
      </c>
      <c r="C24" s="210">
        <v>2933065449</v>
      </c>
      <c r="D24" s="210">
        <v>2933065449</v>
      </c>
      <c r="E24" s="211">
        <v>2822872804</v>
      </c>
      <c r="F24" s="211">
        <v>1202397838</v>
      </c>
      <c r="G24" s="211">
        <v>1202397838</v>
      </c>
      <c r="H24" s="212">
        <f t="shared" si="1"/>
        <v>0.42594828796260564</v>
      </c>
      <c r="J24" s="120"/>
      <c r="N24" s="197"/>
    </row>
    <row r="25" spans="1:14" ht="16.5" customHeight="1" x14ac:dyDescent="0.25">
      <c r="A25" s="209" t="s">
        <v>708</v>
      </c>
      <c r="B25" s="202" t="s">
        <v>711</v>
      </c>
      <c r="C25" s="210">
        <v>3454840816</v>
      </c>
      <c r="D25" s="210">
        <v>3454840816</v>
      </c>
      <c r="E25" s="211">
        <v>2866414804</v>
      </c>
      <c r="F25" s="211">
        <v>1512926698</v>
      </c>
      <c r="G25" s="211">
        <v>1512926698</v>
      </c>
      <c r="H25" s="212">
        <f t="shared" si="1"/>
        <v>0.52781150023672563</v>
      </c>
      <c r="J25" s="120"/>
      <c r="N25" s="197"/>
    </row>
    <row r="26" spans="1:14" ht="16.5" customHeight="1" x14ac:dyDescent="0.25">
      <c r="A26" s="209" t="s">
        <v>709</v>
      </c>
      <c r="B26" s="202" t="s">
        <v>711</v>
      </c>
      <c r="C26" s="210">
        <v>3454840816</v>
      </c>
      <c r="D26" s="210">
        <v>3454840816</v>
      </c>
      <c r="E26" s="211">
        <v>3132235804</v>
      </c>
      <c r="F26" s="211">
        <v>1807136965</v>
      </c>
      <c r="G26" s="211">
        <v>1807136965</v>
      </c>
      <c r="H26" s="212">
        <f t="shared" si="1"/>
        <v>0.5769479305141102</v>
      </c>
      <c r="J26" s="120"/>
      <c r="N26" s="197"/>
    </row>
    <row r="27" spans="1:14" ht="16.5" customHeight="1" x14ac:dyDescent="0.25">
      <c r="A27" s="209" t="s">
        <v>710</v>
      </c>
      <c r="B27" s="202" t="s">
        <v>711</v>
      </c>
      <c r="C27" s="210">
        <v>3454840816</v>
      </c>
      <c r="D27" s="210">
        <v>3454840816</v>
      </c>
      <c r="E27" s="211">
        <v>3169950704</v>
      </c>
      <c r="F27" s="206">
        <v>2131892495</v>
      </c>
      <c r="G27" s="206">
        <v>2131892495</v>
      </c>
      <c r="H27" s="212">
        <f t="shared" si="1"/>
        <v>0.67253175019721068</v>
      </c>
      <c r="J27" s="120"/>
      <c r="N27" s="197"/>
    </row>
    <row r="28" spans="1:14" ht="16.5" customHeight="1" x14ac:dyDescent="0.25">
      <c r="A28" s="209" t="s">
        <v>712</v>
      </c>
      <c r="B28" s="202" t="s">
        <v>711</v>
      </c>
      <c r="C28" s="210">
        <v>3454840816</v>
      </c>
      <c r="D28" s="210">
        <v>3454840816</v>
      </c>
      <c r="E28" s="211">
        <v>3286319931</v>
      </c>
      <c r="F28" s="206">
        <v>2513857523</v>
      </c>
      <c r="G28" s="206">
        <v>2513857523</v>
      </c>
      <c r="H28" s="212">
        <f t="shared" si="1"/>
        <v>0.7649460721357868</v>
      </c>
      <c r="J28" s="120"/>
      <c r="N28" s="197"/>
    </row>
    <row r="29" spans="1:14" ht="16.5" customHeight="1" x14ac:dyDescent="0.25">
      <c r="A29" s="213" t="s">
        <v>713</v>
      </c>
      <c r="B29" s="202" t="s">
        <v>711</v>
      </c>
      <c r="C29" s="210">
        <v>3454840816</v>
      </c>
      <c r="D29" s="210">
        <v>3454840816</v>
      </c>
      <c r="E29" s="211">
        <v>3342341664</v>
      </c>
      <c r="F29" s="206">
        <v>2973631264</v>
      </c>
      <c r="G29" s="206">
        <v>2973631264</v>
      </c>
      <c r="H29" s="212">
        <f t="shared" si="1"/>
        <v>0.88968500618253965</v>
      </c>
      <c r="J29" s="120"/>
      <c r="N29" s="197"/>
    </row>
    <row r="30" spans="1:14" ht="16.5" customHeight="1" x14ac:dyDescent="0.25">
      <c r="B30" s="196"/>
      <c r="C30" s="197"/>
      <c r="D30" s="197"/>
      <c r="J30" s="120"/>
      <c r="N30" s="197"/>
    </row>
    <row r="31" spans="1:14" ht="24.75" customHeight="1" x14ac:dyDescent="0.25">
      <c r="A31" s="870" t="s">
        <v>721</v>
      </c>
      <c r="B31" s="695"/>
      <c r="C31" s="695"/>
      <c r="D31" s="695"/>
      <c r="E31" s="695"/>
      <c r="F31" s="695"/>
      <c r="G31" s="695"/>
      <c r="H31" s="736"/>
      <c r="J31" s="120"/>
      <c r="N31" s="197"/>
    </row>
    <row r="32" spans="1:14" ht="25.5" customHeight="1" x14ac:dyDescent="0.25">
      <c r="A32" s="198" t="s">
        <v>26</v>
      </c>
      <c r="B32" s="199" t="s">
        <v>700</v>
      </c>
      <c r="C32" s="199" t="s">
        <v>701</v>
      </c>
      <c r="D32" s="199" t="s">
        <v>702</v>
      </c>
      <c r="E32" s="199" t="s">
        <v>703</v>
      </c>
      <c r="F32" s="199" t="s">
        <v>704</v>
      </c>
      <c r="G32" s="199" t="s">
        <v>705</v>
      </c>
      <c r="H32" s="200" t="s">
        <v>706</v>
      </c>
      <c r="J32" s="120"/>
      <c r="N32" s="197"/>
    </row>
    <row r="33" spans="1:14" ht="16.5" customHeight="1" x14ac:dyDescent="0.25">
      <c r="A33" s="209" t="s">
        <v>715</v>
      </c>
      <c r="B33" s="202" t="s">
        <v>722</v>
      </c>
      <c r="C33" s="205">
        <v>3695776000</v>
      </c>
      <c r="D33" s="205">
        <v>3695776000</v>
      </c>
      <c r="E33" s="206">
        <v>3356030000</v>
      </c>
      <c r="F33" s="206">
        <v>0</v>
      </c>
      <c r="G33" s="206">
        <v>0</v>
      </c>
      <c r="H33" s="214">
        <f t="shared" ref="H33:H44" si="2">G33/E33</f>
        <v>0</v>
      </c>
      <c r="J33" s="120"/>
      <c r="N33" s="197"/>
    </row>
    <row r="34" spans="1:14" ht="16.5" customHeight="1" x14ac:dyDescent="0.25">
      <c r="A34" s="209" t="s">
        <v>716</v>
      </c>
      <c r="B34" s="202" t="s">
        <v>722</v>
      </c>
      <c r="C34" s="215">
        <v>3695776000</v>
      </c>
      <c r="D34" s="215">
        <v>3695776000</v>
      </c>
      <c r="E34" s="215">
        <v>3356030000</v>
      </c>
      <c r="F34" s="216">
        <v>21266766</v>
      </c>
      <c r="G34" s="216">
        <v>21266766</v>
      </c>
      <c r="H34" s="214">
        <f t="shared" si="2"/>
        <v>6.3368819706617644E-3</v>
      </c>
      <c r="J34" s="120"/>
      <c r="N34" s="197"/>
    </row>
    <row r="35" spans="1:14" ht="16.5" customHeight="1" x14ac:dyDescent="0.25">
      <c r="A35" s="209" t="s">
        <v>717</v>
      </c>
      <c r="B35" s="202" t="s">
        <v>722</v>
      </c>
      <c r="C35" s="205">
        <v>3695776000</v>
      </c>
      <c r="D35" s="205">
        <v>3695776000</v>
      </c>
      <c r="E35" s="206">
        <v>3358487000</v>
      </c>
      <c r="F35" s="206">
        <v>306346734</v>
      </c>
      <c r="G35" s="206">
        <v>306346734</v>
      </c>
      <c r="H35" s="207">
        <f t="shared" si="2"/>
        <v>9.1215697425656259E-2</v>
      </c>
      <c r="J35" s="120"/>
      <c r="N35" s="197"/>
    </row>
    <row r="36" spans="1:14" ht="16.5" customHeight="1" x14ac:dyDescent="0.25">
      <c r="A36" s="209" t="s">
        <v>718</v>
      </c>
      <c r="B36" s="202" t="s">
        <v>722</v>
      </c>
      <c r="C36" s="205">
        <v>3695776000</v>
      </c>
      <c r="D36" s="215">
        <v>3695776000</v>
      </c>
      <c r="E36" s="216">
        <v>3360027000</v>
      </c>
      <c r="F36" s="206">
        <v>602425567</v>
      </c>
      <c r="G36" s="206">
        <v>602425567</v>
      </c>
      <c r="H36" s="207">
        <f t="shared" si="2"/>
        <v>0.17929188277356103</v>
      </c>
      <c r="J36" s="120"/>
      <c r="N36" s="197"/>
    </row>
    <row r="37" spans="1:14" ht="16.5" customHeight="1" x14ac:dyDescent="0.25">
      <c r="A37" s="209" t="s">
        <v>719</v>
      </c>
      <c r="B37" s="202" t="s">
        <v>722</v>
      </c>
      <c r="C37" s="205">
        <v>3695776000</v>
      </c>
      <c r="D37" s="215">
        <v>3695776000</v>
      </c>
      <c r="E37" s="216">
        <v>3360027000</v>
      </c>
      <c r="F37" s="206">
        <v>947602567</v>
      </c>
      <c r="G37" s="206">
        <v>947602567</v>
      </c>
      <c r="H37" s="207">
        <f t="shared" si="2"/>
        <v>0.28202230726122141</v>
      </c>
      <c r="J37" s="120"/>
      <c r="N37" s="197"/>
    </row>
    <row r="38" spans="1:14" ht="16.5" customHeight="1" x14ac:dyDescent="0.25">
      <c r="A38" s="209" t="s">
        <v>720</v>
      </c>
      <c r="B38" s="202" t="s">
        <v>722</v>
      </c>
      <c r="C38" s="205">
        <v>3695776000</v>
      </c>
      <c r="D38" s="215">
        <v>3695776000</v>
      </c>
      <c r="E38" s="206">
        <v>3416425000</v>
      </c>
      <c r="F38" s="206">
        <v>1261473567</v>
      </c>
      <c r="G38" s="206">
        <v>1261473567</v>
      </c>
      <c r="H38" s="207">
        <f t="shared" si="2"/>
        <v>0.36923789253386213</v>
      </c>
      <c r="J38" s="120"/>
      <c r="N38" s="197"/>
    </row>
    <row r="39" spans="1:14" ht="16.5" customHeight="1" x14ac:dyDescent="0.25">
      <c r="A39" s="209" t="s">
        <v>707</v>
      </c>
      <c r="B39" s="202" t="s">
        <v>722</v>
      </c>
      <c r="C39" s="205">
        <v>3695776000</v>
      </c>
      <c r="D39" s="215">
        <v>3695776000</v>
      </c>
      <c r="E39" s="206">
        <v>3564585573</v>
      </c>
      <c r="F39" s="206">
        <v>1624249773</v>
      </c>
      <c r="G39" s="206">
        <v>1624249773</v>
      </c>
      <c r="H39" s="207">
        <f t="shared" si="2"/>
        <v>0.45566300478319305</v>
      </c>
      <c r="J39" s="120"/>
      <c r="N39" s="197"/>
    </row>
    <row r="40" spans="1:14" ht="16.5" customHeight="1" x14ac:dyDescent="0.25">
      <c r="A40" s="209" t="s">
        <v>708</v>
      </c>
      <c r="B40" s="202" t="s">
        <v>722</v>
      </c>
      <c r="C40" s="205">
        <v>3695776000</v>
      </c>
      <c r="D40" s="205">
        <v>3895776000</v>
      </c>
      <c r="E40" s="206">
        <v>3564585573</v>
      </c>
      <c r="F40" s="206">
        <v>1920259363</v>
      </c>
      <c r="G40" s="206">
        <v>1920259363</v>
      </c>
      <c r="H40" s="207">
        <f t="shared" si="2"/>
        <v>0.53870480135054954</v>
      </c>
      <c r="J40" s="120"/>
      <c r="N40" s="197"/>
    </row>
    <row r="41" spans="1:14" ht="16.5" customHeight="1" x14ac:dyDescent="0.25">
      <c r="A41" s="209" t="s">
        <v>709</v>
      </c>
      <c r="B41" s="202" t="s">
        <v>722</v>
      </c>
      <c r="C41" s="205">
        <v>3695776000</v>
      </c>
      <c r="D41" s="205">
        <v>4157031762</v>
      </c>
      <c r="E41" s="206">
        <v>3731016930</v>
      </c>
      <c r="F41" s="206">
        <v>2242538999</v>
      </c>
      <c r="G41" s="206">
        <v>2242538999</v>
      </c>
      <c r="H41" s="207">
        <f t="shared" si="2"/>
        <v>0.60105302148816564</v>
      </c>
      <c r="J41" s="120"/>
      <c r="N41" s="197"/>
    </row>
    <row r="42" spans="1:14" ht="16.5" customHeight="1" x14ac:dyDescent="0.25">
      <c r="A42" s="209" t="s">
        <v>710</v>
      </c>
      <c r="B42" s="202" t="s">
        <v>722</v>
      </c>
      <c r="C42" s="205">
        <v>3695776000</v>
      </c>
      <c r="D42" s="205">
        <v>4252031762</v>
      </c>
      <c r="E42" s="216">
        <v>3774894759</v>
      </c>
      <c r="F42" s="206">
        <v>2563833963</v>
      </c>
      <c r="G42" s="206">
        <v>2563833963</v>
      </c>
      <c r="H42" s="207">
        <f t="shared" si="2"/>
        <v>0.67918024916784181</v>
      </c>
      <c r="J42" s="120"/>
      <c r="N42" s="197"/>
    </row>
    <row r="43" spans="1:14" ht="16.5" customHeight="1" x14ac:dyDescent="0.25">
      <c r="A43" s="209" t="s">
        <v>712</v>
      </c>
      <c r="B43" s="202" t="s">
        <v>722</v>
      </c>
      <c r="C43" s="205">
        <v>3695776001</v>
      </c>
      <c r="D43" s="205">
        <v>4252031762</v>
      </c>
      <c r="E43" s="206">
        <v>3887653258</v>
      </c>
      <c r="F43" s="206">
        <v>2905329195</v>
      </c>
      <c r="G43" s="206">
        <v>2905329195</v>
      </c>
      <c r="H43" s="207">
        <f t="shared" si="2"/>
        <v>0.74732209952660344</v>
      </c>
      <c r="J43" s="120"/>
      <c r="N43" s="197"/>
    </row>
    <row r="44" spans="1:14" ht="16.5" customHeight="1" x14ac:dyDescent="0.25">
      <c r="A44" s="213" t="s">
        <v>713</v>
      </c>
      <c r="B44" s="202" t="s">
        <v>722</v>
      </c>
      <c r="C44" s="205">
        <v>3695776001</v>
      </c>
      <c r="D44" s="205">
        <v>4252031762</v>
      </c>
      <c r="E44" s="206">
        <v>3973098913</v>
      </c>
      <c r="F44" s="206">
        <v>3322461950</v>
      </c>
      <c r="G44" s="206">
        <v>3322461950</v>
      </c>
      <c r="H44" s="207">
        <f t="shared" si="2"/>
        <v>0.83623942488038427</v>
      </c>
      <c r="J44" s="120"/>
      <c r="N44" s="197"/>
    </row>
    <row r="45" spans="1:14" ht="16.5" customHeight="1" x14ac:dyDescent="0.25">
      <c r="B45" s="196"/>
      <c r="C45" s="197"/>
      <c r="D45" s="197"/>
      <c r="J45" s="120"/>
      <c r="N45" s="197"/>
    </row>
    <row r="46" spans="1:14" ht="27.75" customHeight="1" x14ac:dyDescent="0.25">
      <c r="A46" s="870" t="s">
        <v>723</v>
      </c>
      <c r="B46" s="695"/>
      <c r="C46" s="695"/>
      <c r="D46" s="695"/>
      <c r="E46" s="695"/>
      <c r="F46" s="695"/>
      <c r="G46" s="695"/>
      <c r="H46" s="736"/>
      <c r="J46" s="120"/>
      <c r="N46" s="197"/>
    </row>
    <row r="47" spans="1:14" ht="25.5" customHeight="1" x14ac:dyDescent="0.25">
      <c r="A47" s="198" t="s">
        <v>27</v>
      </c>
      <c r="B47" s="199" t="s">
        <v>700</v>
      </c>
      <c r="C47" s="199" t="s">
        <v>701</v>
      </c>
      <c r="D47" s="199" t="s">
        <v>702</v>
      </c>
      <c r="E47" s="199" t="s">
        <v>703</v>
      </c>
      <c r="F47" s="199" t="s">
        <v>704</v>
      </c>
      <c r="G47" s="199" t="s">
        <v>705</v>
      </c>
      <c r="H47" s="200" t="s">
        <v>706</v>
      </c>
      <c r="J47" s="120"/>
      <c r="N47" s="197"/>
    </row>
    <row r="48" spans="1:14" ht="16.5" customHeight="1" x14ac:dyDescent="0.25">
      <c r="A48" s="209" t="s">
        <v>715</v>
      </c>
      <c r="B48" s="202" t="s">
        <v>722</v>
      </c>
      <c r="C48" s="217">
        <v>4845293000</v>
      </c>
      <c r="D48" s="217">
        <v>4845293000</v>
      </c>
      <c r="E48" s="218">
        <v>727612000</v>
      </c>
      <c r="F48" s="219">
        <v>0</v>
      </c>
      <c r="G48" s="219">
        <v>0</v>
      </c>
      <c r="H48" s="204">
        <f t="shared" ref="H48:H59" si="3">G48/E48</f>
        <v>0</v>
      </c>
      <c r="J48" s="120"/>
      <c r="N48" s="197"/>
    </row>
    <row r="49" spans="1:34" ht="16.5" customHeight="1" x14ac:dyDescent="0.25">
      <c r="A49" s="209" t="s">
        <v>716</v>
      </c>
      <c r="B49" s="202" t="s">
        <v>722</v>
      </c>
      <c r="C49" s="217">
        <v>4845293000</v>
      </c>
      <c r="D49" s="217">
        <v>4845293000</v>
      </c>
      <c r="E49" s="218">
        <v>2952186000</v>
      </c>
      <c r="F49" s="175">
        <v>0</v>
      </c>
      <c r="G49" s="175">
        <v>0</v>
      </c>
      <c r="H49" s="204">
        <f t="shared" si="3"/>
        <v>0</v>
      </c>
      <c r="J49" s="120"/>
      <c r="N49" s="197"/>
    </row>
    <row r="50" spans="1:34" ht="16.5" customHeight="1" x14ac:dyDescent="0.25">
      <c r="A50" s="209" t="s">
        <v>717</v>
      </c>
      <c r="B50" s="202" t="s">
        <v>722</v>
      </c>
      <c r="C50" s="217">
        <v>4845293000</v>
      </c>
      <c r="D50" s="217">
        <v>4845293000</v>
      </c>
      <c r="E50" s="218">
        <v>3223395526</v>
      </c>
      <c r="F50" s="220">
        <v>104990725</v>
      </c>
      <c r="G50" s="220">
        <v>104990725</v>
      </c>
      <c r="H50" s="221">
        <f t="shared" si="3"/>
        <v>3.2571468239979189E-2</v>
      </c>
      <c r="J50" s="120"/>
      <c r="N50" s="197"/>
    </row>
    <row r="51" spans="1:34" ht="16.5" customHeight="1" x14ac:dyDescent="0.25">
      <c r="A51" s="209" t="s">
        <v>718</v>
      </c>
      <c r="B51" s="202" t="s">
        <v>722</v>
      </c>
      <c r="C51" s="217">
        <v>4845293000</v>
      </c>
      <c r="D51" s="217">
        <v>4845293000</v>
      </c>
      <c r="E51" s="218">
        <v>3306450136</v>
      </c>
      <c r="F51" s="220">
        <v>373086236</v>
      </c>
      <c r="G51" s="220">
        <v>373086236</v>
      </c>
      <c r="H51" s="221">
        <f t="shared" si="3"/>
        <v>0.11283588763003199</v>
      </c>
      <c r="J51" s="120"/>
      <c r="N51" s="197"/>
    </row>
    <row r="52" spans="1:34" ht="16.5" customHeight="1" x14ac:dyDescent="0.25">
      <c r="A52" s="209" t="s">
        <v>719</v>
      </c>
      <c r="B52" s="202" t="s">
        <v>722</v>
      </c>
      <c r="C52" s="217">
        <v>4845293000</v>
      </c>
      <c r="D52" s="217">
        <v>4845293000</v>
      </c>
      <c r="E52" s="218">
        <v>3332315746</v>
      </c>
      <c r="F52" s="220">
        <v>658669246</v>
      </c>
      <c r="G52" s="220">
        <v>658669246</v>
      </c>
      <c r="H52" s="221">
        <f t="shared" si="3"/>
        <v>0.19766111503408537</v>
      </c>
      <c r="J52" s="120"/>
      <c r="N52" s="197"/>
    </row>
    <row r="53" spans="1:34" ht="16.5" customHeight="1" x14ac:dyDescent="0.25">
      <c r="A53" s="209" t="s">
        <v>720</v>
      </c>
      <c r="B53" s="202" t="s">
        <v>722</v>
      </c>
      <c r="C53" s="217">
        <v>4845293000</v>
      </c>
      <c r="D53" s="217">
        <v>4845293000</v>
      </c>
      <c r="E53" s="218">
        <v>3349366212</v>
      </c>
      <c r="F53" s="220">
        <v>1075780900</v>
      </c>
      <c r="G53" s="220">
        <v>1075780900</v>
      </c>
      <c r="H53" s="221">
        <f t="shared" si="3"/>
        <v>0.32118939283071746</v>
      </c>
      <c r="J53" s="120"/>
      <c r="N53" s="197"/>
    </row>
    <row r="54" spans="1:34" ht="16.5" customHeight="1" x14ac:dyDescent="0.25">
      <c r="A54" s="222" t="s">
        <v>707</v>
      </c>
      <c r="B54" s="223" t="s">
        <v>722</v>
      </c>
      <c r="C54" s="224">
        <v>4845293000</v>
      </c>
      <c r="D54" s="224">
        <v>4845293000</v>
      </c>
      <c r="E54" s="218">
        <v>3895264300</v>
      </c>
      <c r="F54" s="225">
        <v>1427614970</v>
      </c>
      <c r="G54" s="225">
        <v>1427614970</v>
      </c>
      <c r="H54" s="226">
        <f t="shared" si="3"/>
        <v>0.36650015507291767</v>
      </c>
      <c r="I54" s="1"/>
      <c r="J54" s="227"/>
      <c r="K54" s="1"/>
      <c r="L54" s="1"/>
      <c r="M54" s="1"/>
      <c r="N54" s="228"/>
      <c r="O54" s="1"/>
      <c r="P54" s="1"/>
      <c r="Q54" s="1"/>
      <c r="R54" s="1"/>
      <c r="S54" s="1"/>
      <c r="T54" s="1"/>
      <c r="U54" s="1"/>
      <c r="V54" s="1"/>
      <c r="W54" s="1"/>
      <c r="X54" s="1"/>
      <c r="Y54" s="1"/>
      <c r="Z54" s="1"/>
      <c r="AA54" s="1"/>
      <c r="AB54" s="1"/>
      <c r="AC54" s="1"/>
      <c r="AD54" s="1"/>
      <c r="AE54" s="1"/>
      <c r="AF54" s="1"/>
      <c r="AG54" s="1"/>
      <c r="AH54" s="1"/>
    </row>
    <row r="55" spans="1:34" ht="16.5" customHeight="1" x14ac:dyDescent="0.25">
      <c r="A55" s="209" t="s">
        <v>708</v>
      </c>
      <c r="B55" s="202" t="s">
        <v>722</v>
      </c>
      <c r="C55" s="217">
        <v>4845293000</v>
      </c>
      <c r="D55" s="217">
        <v>4845293000</v>
      </c>
      <c r="E55" s="219">
        <v>4059532388</v>
      </c>
      <c r="F55" s="220">
        <v>1789461200</v>
      </c>
      <c r="G55" s="220">
        <v>1789461200</v>
      </c>
      <c r="H55" s="221">
        <f t="shared" si="3"/>
        <v>0.44080475999887503</v>
      </c>
      <c r="J55" s="120"/>
      <c r="N55" s="197"/>
    </row>
    <row r="56" spans="1:34" ht="16.5" customHeight="1" x14ac:dyDescent="0.25">
      <c r="A56" s="222" t="s">
        <v>709</v>
      </c>
      <c r="B56" s="223" t="s">
        <v>722</v>
      </c>
      <c r="C56" s="224">
        <v>4845293000</v>
      </c>
      <c r="D56" s="224">
        <v>4845293000</v>
      </c>
      <c r="E56" s="218">
        <v>4163439476</v>
      </c>
      <c r="F56" s="225">
        <v>2138316684</v>
      </c>
      <c r="G56" s="225">
        <v>2138316684</v>
      </c>
      <c r="H56" s="226">
        <f t="shared" si="3"/>
        <v>0.51359379578501163</v>
      </c>
      <c r="I56" s="1"/>
      <c r="J56" s="227"/>
      <c r="K56" s="1"/>
      <c r="L56" s="1"/>
      <c r="M56" s="1"/>
      <c r="N56" s="228"/>
      <c r="O56" s="1"/>
      <c r="P56" s="1"/>
      <c r="Q56" s="1"/>
      <c r="R56" s="1"/>
      <c r="S56" s="1"/>
      <c r="T56" s="1"/>
      <c r="U56" s="1"/>
      <c r="V56" s="1"/>
      <c r="W56" s="1"/>
      <c r="X56" s="1"/>
      <c r="Y56" s="1"/>
      <c r="Z56" s="1"/>
      <c r="AA56" s="1"/>
      <c r="AB56" s="1"/>
      <c r="AC56" s="1"/>
      <c r="AD56" s="1"/>
      <c r="AE56" s="1"/>
      <c r="AF56" s="1"/>
      <c r="AG56" s="1"/>
      <c r="AH56" s="1"/>
    </row>
    <row r="57" spans="1:34" ht="16.5" customHeight="1" x14ac:dyDescent="0.25">
      <c r="A57" s="222" t="s">
        <v>710</v>
      </c>
      <c r="B57" s="223" t="s">
        <v>722</v>
      </c>
      <c r="C57" s="224">
        <v>4845293000</v>
      </c>
      <c r="D57" s="224">
        <v>4845293000</v>
      </c>
      <c r="E57" s="218">
        <v>4164174000</v>
      </c>
      <c r="F57" s="225">
        <v>2566499574</v>
      </c>
      <c r="G57" s="225">
        <v>2566499574</v>
      </c>
      <c r="H57" s="226">
        <f t="shared" si="3"/>
        <v>0.61632861018775875</v>
      </c>
      <c r="I57" s="1"/>
      <c r="J57" s="227"/>
      <c r="K57" s="1"/>
      <c r="L57" s="1"/>
      <c r="M57" s="1"/>
      <c r="N57" s="228"/>
      <c r="O57" s="1"/>
      <c r="P57" s="1"/>
      <c r="Q57" s="1"/>
      <c r="R57" s="1"/>
      <c r="S57" s="1"/>
      <c r="T57" s="1"/>
      <c r="U57" s="1"/>
      <c r="V57" s="1"/>
      <c r="W57" s="1"/>
      <c r="X57" s="1"/>
      <c r="Y57" s="1"/>
      <c r="Z57" s="1"/>
      <c r="AA57" s="1"/>
      <c r="AB57" s="1"/>
      <c r="AC57" s="1"/>
      <c r="AD57" s="1"/>
      <c r="AE57" s="1"/>
      <c r="AF57" s="1"/>
      <c r="AG57" s="1"/>
      <c r="AH57" s="1"/>
    </row>
    <row r="58" spans="1:34" ht="16.5" customHeight="1" x14ac:dyDescent="0.25">
      <c r="A58" s="229" t="s">
        <v>712</v>
      </c>
      <c r="B58" s="230" t="s">
        <v>722</v>
      </c>
      <c r="C58" s="224">
        <v>4845293000</v>
      </c>
      <c r="D58" s="231">
        <v>4756346000</v>
      </c>
      <c r="E58" s="232">
        <v>4199569000</v>
      </c>
      <c r="F58" s="233">
        <v>2907610406</v>
      </c>
      <c r="G58" s="233">
        <v>2907610406</v>
      </c>
      <c r="H58" s="234">
        <f t="shared" si="3"/>
        <v>0.69235924115069902</v>
      </c>
      <c r="I58" s="235"/>
      <c r="J58" s="236"/>
      <c r="K58" s="235"/>
      <c r="L58" s="235"/>
      <c r="M58" s="235"/>
      <c r="N58" s="237"/>
      <c r="O58" s="235"/>
      <c r="P58" s="235"/>
      <c r="Q58" s="235"/>
      <c r="R58" s="235"/>
      <c r="S58" s="235"/>
      <c r="T58" s="235"/>
      <c r="U58" s="235"/>
      <c r="V58" s="235"/>
      <c r="W58" s="235"/>
      <c r="X58" s="235"/>
      <c r="Y58" s="235"/>
      <c r="Z58" s="235"/>
      <c r="AA58" s="235"/>
      <c r="AB58" s="235"/>
      <c r="AC58" s="235"/>
      <c r="AD58" s="235"/>
      <c r="AE58" s="235"/>
      <c r="AF58" s="235"/>
      <c r="AG58" s="235"/>
      <c r="AH58" s="235"/>
    </row>
    <row r="59" spans="1:34" s="569" customFormat="1" ht="16.5" customHeight="1" x14ac:dyDescent="0.25">
      <c r="A59" s="574" t="s">
        <v>713</v>
      </c>
      <c r="B59" s="575" t="s">
        <v>722</v>
      </c>
      <c r="C59" s="576">
        <v>4845293000</v>
      </c>
      <c r="D59" s="577">
        <v>4722788000</v>
      </c>
      <c r="E59" s="578">
        <v>4467587035</v>
      </c>
      <c r="F59" s="579">
        <v>3453466846</v>
      </c>
      <c r="G59" s="579">
        <v>3453466846</v>
      </c>
      <c r="H59" s="580">
        <f t="shared" si="3"/>
        <v>0.77300493956689087</v>
      </c>
      <c r="I59" s="581"/>
      <c r="J59" s="582"/>
      <c r="K59" s="581"/>
      <c r="L59" s="581"/>
      <c r="M59" s="581"/>
      <c r="N59" s="583"/>
      <c r="O59" s="581"/>
      <c r="P59" s="581"/>
      <c r="Q59" s="581"/>
      <c r="R59" s="581"/>
      <c r="S59" s="581"/>
      <c r="T59" s="581"/>
      <c r="U59" s="581"/>
      <c r="V59" s="581"/>
      <c r="W59" s="581"/>
      <c r="X59" s="581"/>
      <c r="Y59" s="581"/>
      <c r="Z59" s="581"/>
      <c r="AA59" s="581"/>
      <c r="AB59" s="581"/>
      <c r="AC59" s="581"/>
      <c r="AD59" s="581"/>
      <c r="AE59" s="581"/>
      <c r="AF59" s="581"/>
      <c r="AG59" s="581"/>
      <c r="AH59" s="581"/>
    </row>
    <row r="60" spans="1:34" ht="16.5" customHeight="1" x14ac:dyDescent="0.25">
      <c r="B60" s="196"/>
      <c r="C60" s="197"/>
      <c r="D60" s="197"/>
      <c r="J60" s="120"/>
      <c r="N60" s="197"/>
    </row>
    <row r="61" spans="1:34" ht="23.25" customHeight="1" x14ac:dyDescent="0.25">
      <c r="A61" s="870" t="s">
        <v>724</v>
      </c>
      <c r="B61" s="695"/>
      <c r="C61" s="695"/>
      <c r="D61" s="695"/>
      <c r="E61" s="695"/>
      <c r="F61" s="695"/>
      <c r="G61" s="695"/>
      <c r="H61" s="736"/>
      <c r="J61" s="120"/>
      <c r="N61" s="197"/>
    </row>
    <row r="62" spans="1:34" ht="25.5" customHeight="1" x14ac:dyDescent="0.25">
      <c r="A62" s="198" t="s">
        <v>28</v>
      </c>
      <c r="B62" s="199" t="s">
        <v>700</v>
      </c>
      <c r="C62" s="199" t="s">
        <v>701</v>
      </c>
      <c r="D62" s="199" t="s">
        <v>702</v>
      </c>
      <c r="E62" s="199" t="s">
        <v>703</v>
      </c>
      <c r="F62" s="199" t="s">
        <v>704</v>
      </c>
      <c r="G62" s="199" t="s">
        <v>705</v>
      </c>
      <c r="H62" s="200" t="s">
        <v>706</v>
      </c>
      <c r="J62" s="120"/>
      <c r="N62" s="197"/>
    </row>
    <row r="63" spans="1:34" s="569" customFormat="1" ht="16.5" customHeight="1" x14ac:dyDescent="0.25">
      <c r="A63" s="632" t="s">
        <v>715</v>
      </c>
      <c r="B63" s="633" t="s">
        <v>722</v>
      </c>
      <c r="C63" s="634">
        <v>5811812000</v>
      </c>
      <c r="D63" s="634">
        <v>5811812000</v>
      </c>
      <c r="E63" s="588">
        <v>219470000</v>
      </c>
      <c r="F63" s="588">
        <v>0</v>
      </c>
      <c r="G63" s="588">
        <v>0</v>
      </c>
      <c r="H63" s="635">
        <f t="shared" ref="H63:H74" si="4">G63/E63</f>
        <v>0</v>
      </c>
      <c r="J63" s="636"/>
      <c r="N63" s="637"/>
    </row>
    <row r="64" spans="1:34" ht="16.5" customHeight="1" x14ac:dyDescent="0.25">
      <c r="A64" s="209" t="s">
        <v>716</v>
      </c>
      <c r="B64" s="202" t="s">
        <v>722</v>
      </c>
      <c r="C64" s="203">
        <v>5811812000</v>
      </c>
      <c r="D64" s="203">
        <v>5811812000</v>
      </c>
      <c r="E64" s="175">
        <v>765595760</v>
      </c>
      <c r="F64" s="175">
        <v>9722059</v>
      </c>
      <c r="G64" s="175">
        <v>9722059</v>
      </c>
      <c r="H64" s="679">
        <f t="shared" si="4"/>
        <v>1.2698684485922441E-2</v>
      </c>
      <c r="J64" s="120"/>
      <c r="N64" s="197"/>
    </row>
    <row r="65" spans="1:14" ht="16.5" customHeight="1" x14ac:dyDescent="0.25">
      <c r="A65" s="209" t="s">
        <v>717</v>
      </c>
      <c r="B65" s="202" t="s">
        <v>722</v>
      </c>
      <c r="C65" s="203">
        <v>5811812000</v>
      </c>
      <c r="D65" s="203">
        <v>5811812000</v>
      </c>
      <c r="E65" s="175">
        <v>1253188640</v>
      </c>
      <c r="F65" s="175">
        <v>123396638</v>
      </c>
      <c r="G65" s="175">
        <v>123396638</v>
      </c>
      <c r="H65" s="684">
        <f t="shared" si="4"/>
        <v>9.8466131962383574E-2</v>
      </c>
      <c r="J65" s="120"/>
      <c r="N65" s="197"/>
    </row>
    <row r="66" spans="1:14" ht="16.5" customHeight="1" x14ac:dyDescent="0.25">
      <c r="A66" s="209" t="s">
        <v>718</v>
      </c>
      <c r="B66" s="202"/>
      <c r="C66" s="203"/>
      <c r="D66" s="203"/>
      <c r="E66" s="175"/>
      <c r="F66" s="175"/>
      <c r="G66" s="175"/>
      <c r="H66" s="204" t="e">
        <f t="shared" si="4"/>
        <v>#DIV/0!</v>
      </c>
      <c r="J66" s="120"/>
      <c r="N66" s="197"/>
    </row>
    <row r="67" spans="1:14" ht="16.5" customHeight="1" x14ac:dyDescent="0.25">
      <c r="A67" s="209" t="s">
        <v>719</v>
      </c>
      <c r="B67" s="202"/>
      <c r="C67" s="203"/>
      <c r="D67" s="203"/>
      <c r="E67" s="175"/>
      <c r="F67" s="175"/>
      <c r="G67" s="175"/>
      <c r="H67" s="204" t="e">
        <f t="shared" si="4"/>
        <v>#DIV/0!</v>
      </c>
      <c r="J67" s="120"/>
      <c r="N67" s="197"/>
    </row>
    <row r="68" spans="1:14" ht="16.5" customHeight="1" x14ac:dyDescent="0.25">
      <c r="A68" s="209" t="s">
        <v>720</v>
      </c>
      <c r="B68" s="202"/>
      <c r="C68" s="203"/>
      <c r="D68" s="203"/>
      <c r="E68" s="175"/>
      <c r="F68" s="175"/>
      <c r="G68" s="175"/>
      <c r="H68" s="204" t="e">
        <f t="shared" si="4"/>
        <v>#DIV/0!</v>
      </c>
      <c r="J68" s="120"/>
      <c r="N68" s="197"/>
    </row>
    <row r="69" spans="1:14" ht="16.5" customHeight="1" x14ac:dyDescent="0.25">
      <c r="A69" s="209" t="s">
        <v>707</v>
      </c>
      <c r="B69" s="202"/>
      <c r="C69" s="203"/>
      <c r="D69" s="203"/>
      <c r="E69" s="175"/>
      <c r="F69" s="175"/>
      <c r="G69" s="175"/>
      <c r="H69" s="204" t="e">
        <f t="shared" si="4"/>
        <v>#DIV/0!</v>
      </c>
      <c r="J69" s="120"/>
      <c r="N69" s="197"/>
    </row>
    <row r="70" spans="1:14" ht="16.5" customHeight="1" x14ac:dyDescent="0.25">
      <c r="A70" s="209" t="s">
        <v>708</v>
      </c>
      <c r="B70" s="202"/>
      <c r="C70" s="203"/>
      <c r="D70" s="203"/>
      <c r="E70" s="175"/>
      <c r="F70" s="175"/>
      <c r="G70" s="175"/>
      <c r="H70" s="204" t="e">
        <f t="shared" si="4"/>
        <v>#DIV/0!</v>
      </c>
      <c r="J70" s="120"/>
      <c r="N70" s="197"/>
    </row>
    <row r="71" spans="1:14" ht="16.5" customHeight="1" x14ac:dyDescent="0.25">
      <c r="A71" s="209" t="s">
        <v>709</v>
      </c>
      <c r="B71" s="202"/>
      <c r="C71" s="203"/>
      <c r="D71" s="203"/>
      <c r="E71" s="175"/>
      <c r="F71" s="175"/>
      <c r="G71" s="175"/>
      <c r="H71" s="204" t="e">
        <f t="shared" si="4"/>
        <v>#DIV/0!</v>
      </c>
      <c r="J71" s="120"/>
      <c r="N71" s="197"/>
    </row>
    <row r="72" spans="1:14" ht="16.5" customHeight="1" x14ac:dyDescent="0.25">
      <c r="A72" s="209" t="s">
        <v>710</v>
      </c>
      <c r="B72" s="202"/>
      <c r="C72" s="203"/>
      <c r="D72" s="203"/>
      <c r="E72" s="175"/>
      <c r="F72" s="175"/>
      <c r="G72" s="175"/>
      <c r="H72" s="204" t="e">
        <f t="shared" si="4"/>
        <v>#DIV/0!</v>
      </c>
      <c r="J72" s="120"/>
      <c r="N72" s="197"/>
    </row>
    <row r="73" spans="1:14" ht="16.5" customHeight="1" x14ac:dyDescent="0.25">
      <c r="A73" s="209" t="s">
        <v>712</v>
      </c>
      <c r="B73" s="202"/>
      <c r="C73" s="203"/>
      <c r="D73" s="203"/>
      <c r="E73" s="175"/>
      <c r="F73" s="175"/>
      <c r="G73" s="175"/>
      <c r="H73" s="204" t="e">
        <f t="shared" si="4"/>
        <v>#DIV/0!</v>
      </c>
      <c r="J73" s="120"/>
      <c r="N73" s="197"/>
    </row>
    <row r="74" spans="1:14" ht="16.5" customHeight="1" x14ac:dyDescent="0.25">
      <c r="A74" s="213" t="s">
        <v>713</v>
      </c>
      <c r="B74" s="238"/>
      <c r="C74" s="239"/>
      <c r="D74" s="239"/>
      <c r="E74" s="240"/>
      <c r="F74" s="240"/>
      <c r="G74" s="240"/>
      <c r="H74" s="204" t="e">
        <f t="shared" si="4"/>
        <v>#DIV/0!</v>
      </c>
      <c r="J74" s="120"/>
      <c r="N74" s="197"/>
    </row>
    <row r="75" spans="1:14" ht="16.5" customHeight="1" x14ac:dyDescent="0.25">
      <c r="B75" s="196"/>
      <c r="C75" s="197"/>
      <c r="D75" s="197"/>
      <c r="J75" s="120"/>
      <c r="N75" s="197"/>
    </row>
    <row r="76" spans="1:14" ht="23.25" customHeight="1" x14ac:dyDescent="0.25">
      <c r="A76" s="870" t="s">
        <v>725</v>
      </c>
      <c r="B76" s="695"/>
      <c r="C76" s="695"/>
      <c r="D76" s="695"/>
      <c r="E76" s="695"/>
      <c r="F76" s="695"/>
      <c r="G76" s="695"/>
      <c r="H76" s="695"/>
      <c r="I76" s="695"/>
      <c r="J76" s="695"/>
      <c r="K76" s="695"/>
      <c r="L76" s="695"/>
      <c r="M76" s="695"/>
      <c r="N76" s="736"/>
    </row>
    <row r="77" spans="1:14" ht="44.25" customHeight="1" x14ac:dyDescent="0.25">
      <c r="A77" s="198" t="s">
        <v>24</v>
      </c>
      <c r="B77" s="199" t="s">
        <v>726</v>
      </c>
      <c r="C77" s="199" t="s">
        <v>727</v>
      </c>
      <c r="D77" s="199" t="s">
        <v>728</v>
      </c>
      <c r="E77" s="199" t="s">
        <v>729</v>
      </c>
      <c r="F77" s="199" t="s">
        <v>730</v>
      </c>
      <c r="G77" s="199" t="s">
        <v>731</v>
      </c>
      <c r="H77" s="199" t="s">
        <v>732</v>
      </c>
      <c r="I77" s="199" t="s">
        <v>733</v>
      </c>
      <c r="J77" s="241" t="s">
        <v>734</v>
      </c>
      <c r="K77" s="199" t="s">
        <v>735</v>
      </c>
      <c r="L77" s="199" t="s">
        <v>736</v>
      </c>
      <c r="M77" s="199" t="s">
        <v>737</v>
      </c>
      <c r="N77" s="200" t="s">
        <v>738</v>
      </c>
    </row>
    <row r="78" spans="1:14" ht="15.75" customHeight="1" x14ac:dyDescent="0.25">
      <c r="A78" s="201" t="s">
        <v>707</v>
      </c>
      <c r="B78" s="202"/>
      <c r="C78" s="203"/>
      <c r="D78" s="203"/>
      <c r="E78" s="175"/>
      <c r="F78" s="175"/>
      <c r="G78" s="175"/>
      <c r="H78" s="175"/>
      <c r="I78" s="175"/>
      <c r="J78" s="242" t="e">
        <f t="shared" ref="J78:J92" si="5">I78/H78</f>
        <v>#DIV/0!</v>
      </c>
      <c r="K78" s="175"/>
      <c r="L78" s="175"/>
      <c r="M78" s="175" t="e">
        <f t="shared" ref="M78:M92" si="6">L78/K78</f>
        <v>#DIV/0!</v>
      </c>
      <c r="N78" s="243"/>
    </row>
    <row r="79" spans="1:14" ht="15.75" customHeight="1" x14ac:dyDescent="0.25">
      <c r="A79" s="201" t="s">
        <v>708</v>
      </c>
      <c r="B79" s="202"/>
      <c r="C79" s="203"/>
      <c r="D79" s="203"/>
      <c r="E79" s="175"/>
      <c r="F79" s="175"/>
      <c r="G79" s="175"/>
      <c r="H79" s="175"/>
      <c r="I79" s="175"/>
      <c r="J79" s="242" t="e">
        <f t="shared" si="5"/>
        <v>#DIV/0!</v>
      </c>
      <c r="K79" s="175"/>
      <c r="L79" s="175"/>
      <c r="M79" s="175" t="e">
        <f t="shared" si="6"/>
        <v>#DIV/0!</v>
      </c>
      <c r="N79" s="243"/>
    </row>
    <row r="80" spans="1:14" ht="15.75" customHeight="1" x14ac:dyDescent="0.25">
      <c r="A80" s="244" t="s">
        <v>709</v>
      </c>
      <c r="B80" s="245"/>
      <c r="C80" s="246"/>
      <c r="D80" s="246"/>
      <c r="E80" s="247"/>
      <c r="F80" s="247"/>
      <c r="G80" s="247"/>
      <c r="H80" s="247"/>
      <c r="I80" s="247"/>
      <c r="J80" s="248" t="e">
        <f t="shared" si="5"/>
        <v>#DIV/0!</v>
      </c>
      <c r="K80" s="247"/>
      <c r="L80" s="247"/>
      <c r="M80" s="247" t="e">
        <f t="shared" si="6"/>
        <v>#DIV/0!</v>
      </c>
      <c r="N80" s="249"/>
    </row>
    <row r="81" spans="1:34" ht="143.25" customHeight="1" x14ac:dyDescent="0.25">
      <c r="A81" s="871" t="s">
        <v>710</v>
      </c>
      <c r="B81" s="250" t="s">
        <v>739</v>
      </c>
      <c r="C81" s="251" t="s">
        <v>740</v>
      </c>
      <c r="D81" s="251" t="s">
        <v>741</v>
      </c>
      <c r="E81" s="252" t="s">
        <v>176</v>
      </c>
      <c r="F81" s="252">
        <v>25</v>
      </c>
      <c r="G81" s="252">
        <v>1000</v>
      </c>
      <c r="H81" s="252">
        <v>86</v>
      </c>
      <c r="I81" s="252">
        <v>50</v>
      </c>
      <c r="J81" s="253">
        <f t="shared" si="5"/>
        <v>0.58139534883720934</v>
      </c>
      <c r="K81" s="252">
        <v>0</v>
      </c>
      <c r="L81" s="252">
        <v>0</v>
      </c>
      <c r="M81" s="252" t="e">
        <f t="shared" si="6"/>
        <v>#DIV/0!</v>
      </c>
      <c r="N81" s="254" t="s">
        <v>742</v>
      </c>
      <c r="O81" s="255"/>
      <c r="P81" s="255"/>
      <c r="Q81" s="255"/>
      <c r="R81" s="255"/>
      <c r="S81" s="255"/>
      <c r="T81" s="255"/>
      <c r="U81" s="255"/>
      <c r="V81" s="255"/>
      <c r="W81" s="255"/>
      <c r="X81" s="255"/>
      <c r="Y81" s="255"/>
      <c r="Z81" s="255"/>
      <c r="AA81" s="255"/>
      <c r="AB81" s="255"/>
      <c r="AC81" s="255"/>
      <c r="AD81" s="255"/>
      <c r="AE81" s="255"/>
      <c r="AF81" s="255"/>
      <c r="AG81" s="255"/>
      <c r="AH81" s="255"/>
    </row>
    <row r="82" spans="1:34" ht="143.25" customHeight="1" x14ac:dyDescent="0.25">
      <c r="A82" s="829"/>
      <c r="B82" s="30" t="s">
        <v>743</v>
      </c>
      <c r="C82" s="256" t="s">
        <v>744</v>
      </c>
      <c r="D82" s="256" t="s">
        <v>745</v>
      </c>
      <c r="E82" s="257" t="s">
        <v>176</v>
      </c>
      <c r="F82" s="257">
        <v>25</v>
      </c>
      <c r="G82" s="257">
        <v>100</v>
      </c>
      <c r="H82" s="257">
        <v>10</v>
      </c>
      <c r="I82" s="257">
        <v>8</v>
      </c>
      <c r="J82" s="258">
        <f t="shared" si="5"/>
        <v>0.8</v>
      </c>
      <c r="K82" s="257">
        <v>0</v>
      </c>
      <c r="L82" s="257">
        <v>0</v>
      </c>
      <c r="M82" s="257" t="e">
        <f t="shared" si="6"/>
        <v>#DIV/0!</v>
      </c>
      <c r="N82" s="259" t="s">
        <v>746</v>
      </c>
      <c r="O82" s="255"/>
      <c r="P82" s="255"/>
      <c r="Q82" s="255"/>
      <c r="R82" s="255"/>
      <c r="S82" s="255"/>
      <c r="T82" s="255"/>
      <c r="U82" s="255"/>
      <c r="V82" s="255"/>
      <c r="W82" s="255"/>
      <c r="X82" s="255"/>
      <c r="Y82" s="255"/>
      <c r="Z82" s="255"/>
      <c r="AA82" s="255"/>
      <c r="AB82" s="255"/>
      <c r="AC82" s="255"/>
      <c r="AD82" s="255"/>
      <c r="AE82" s="255"/>
      <c r="AF82" s="255"/>
      <c r="AG82" s="255"/>
      <c r="AH82" s="255"/>
    </row>
    <row r="83" spans="1:34" ht="143.25" customHeight="1" x14ac:dyDescent="0.25">
      <c r="A83" s="829"/>
      <c r="B83" s="30" t="s">
        <v>747</v>
      </c>
      <c r="C83" s="256" t="s">
        <v>748</v>
      </c>
      <c r="D83" s="256" t="s">
        <v>749</v>
      </c>
      <c r="E83" s="257" t="s">
        <v>176</v>
      </c>
      <c r="F83" s="257">
        <v>25</v>
      </c>
      <c r="G83" s="257">
        <v>9</v>
      </c>
      <c r="H83" s="257">
        <v>0.5</v>
      </c>
      <c r="I83" s="257">
        <v>0.17</v>
      </c>
      <c r="J83" s="258">
        <f t="shared" si="5"/>
        <v>0.34</v>
      </c>
      <c r="K83" s="257">
        <v>0</v>
      </c>
      <c r="L83" s="257">
        <v>0</v>
      </c>
      <c r="M83" s="257" t="e">
        <f t="shared" si="6"/>
        <v>#DIV/0!</v>
      </c>
      <c r="N83" s="259" t="s">
        <v>750</v>
      </c>
      <c r="O83" s="255"/>
      <c r="P83" s="255"/>
      <c r="Q83" s="255"/>
      <c r="R83" s="255"/>
      <c r="S83" s="255"/>
      <c r="T83" s="255"/>
      <c r="U83" s="255"/>
      <c r="V83" s="255"/>
      <c r="W83" s="255"/>
      <c r="X83" s="255"/>
      <c r="Y83" s="255"/>
      <c r="Z83" s="255"/>
      <c r="AA83" s="255"/>
      <c r="AB83" s="255"/>
      <c r="AC83" s="255"/>
      <c r="AD83" s="255"/>
      <c r="AE83" s="255"/>
      <c r="AF83" s="255"/>
      <c r="AG83" s="255"/>
      <c r="AH83" s="255"/>
    </row>
    <row r="84" spans="1:34" ht="143.25" customHeight="1" x14ac:dyDescent="0.25">
      <c r="A84" s="872"/>
      <c r="B84" s="260" t="s">
        <v>751</v>
      </c>
      <c r="C84" s="261" t="s">
        <v>752</v>
      </c>
      <c r="D84" s="261" t="s">
        <v>753</v>
      </c>
      <c r="E84" s="262" t="s">
        <v>176</v>
      </c>
      <c r="F84" s="262">
        <v>25</v>
      </c>
      <c r="G84" s="262">
        <v>1</v>
      </c>
      <c r="H84" s="262">
        <v>0.5</v>
      </c>
      <c r="I84" s="262">
        <v>0.33</v>
      </c>
      <c r="J84" s="263">
        <f t="shared" si="5"/>
        <v>0.66</v>
      </c>
      <c r="K84" s="262">
        <v>0</v>
      </c>
      <c r="L84" s="262">
        <v>0</v>
      </c>
      <c r="M84" s="262" t="e">
        <f t="shared" si="6"/>
        <v>#DIV/0!</v>
      </c>
      <c r="N84" s="264" t="s">
        <v>754</v>
      </c>
      <c r="O84" s="255"/>
      <c r="P84" s="255"/>
      <c r="Q84" s="255"/>
      <c r="R84" s="255"/>
      <c r="S84" s="255"/>
      <c r="T84" s="255"/>
      <c r="U84" s="255"/>
      <c r="V84" s="255"/>
      <c r="W84" s="255"/>
      <c r="X84" s="255"/>
      <c r="Y84" s="255"/>
      <c r="Z84" s="255"/>
      <c r="AA84" s="255"/>
      <c r="AB84" s="255"/>
      <c r="AC84" s="255"/>
      <c r="AD84" s="255"/>
      <c r="AE84" s="255"/>
      <c r="AF84" s="255"/>
      <c r="AG84" s="255"/>
      <c r="AH84" s="255"/>
    </row>
    <row r="85" spans="1:34" ht="90" customHeight="1" x14ac:dyDescent="0.25">
      <c r="A85" s="871" t="s">
        <v>712</v>
      </c>
      <c r="B85" s="250" t="s">
        <v>739</v>
      </c>
      <c r="C85" s="251" t="s">
        <v>740</v>
      </c>
      <c r="D85" s="251" t="s">
        <v>741</v>
      </c>
      <c r="E85" s="252" t="s">
        <v>176</v>
      </c>
      <c r="F85" s="252">
        <v>25</v>
      </c>
      <c r="G85" s="252">
        <v>1000</v>
      </c>
      <c r="H85" s="252">
        <v>86</v>
      </c>
      <c r="I85" s="265">
        <v>67</v>
      </c>
      <c r="J85" s="266">
        <f t="shared" si="5"/>
        <v>0.77906976744186052</v>
      </c>
      <c r="K85" s="265">
        <v>0</v>
      </c>
      <c r="L85" s="265">
        <v>0</v>
      </c>
      <c r="M85" s="265" t="e">
        <f t="shared" si="6"/>
        <v>#DIV/0!</v>
      </c>
      <c r="N85" s="267" t="s">
        <v>755</v>
      </c>
    </row>
    <row r="86" spans="1:34" ht="15.75" customHeight="1" x14ac:dyDescent="0.25">
      <c r="A86" s="829"/>
      <c r="B86" s="30" t="s">
        <v>743</v>
      </c>
      <c r="C86" s="256" t="s">
        <v>744</v>
      </c>
      <c r="D86" s="256" t="s">
        <v>745</v>
      </c>
      <c r="E86" s="257" t="s">
        <v>176</v>
      </c>
      <c r="F86" s="257">
        <v>25</v>
      </c>
      <c r="G86" s="257">
        <v>100</v>
      </c>
      <c r="H86" s="257">
        <v>10</v>
      </c>
      <c r="I86" s="268">
        <v>9</v>
      </c>
      <c r="J86" s="269">
        <f t="shared" si="5"/>
        <v>0.9</v>
      </c>
      <c r="K86" s="268">
        <v>0</v>
      </c>
      <c r="L86" s="268">
        <v>0</v>
      </c>
      <c r="M86" s="268" t="e">
        <f t="shared" si="6"/>
        <v>#DIV/0!</v>
      </c>
      <c r="N86" s="270" t="s">
        <v>756</v>
      </c>
    </row>
    <row r="87" spans="1:34" ht="15.75" customHeight="1" x14ac:dyDescent="0.25">
      <c r="A87" s="829"/>
      <c r="B87" s="30" t="s">
        <v>747</v>
      </c>
      <c r="C87" s="256" t="s">
        <v>748</v>
      </c>
      <c r="D87" s="256" t="s">
        <v>749</v>
      </c>
      <c r="E87" s="257" t="s">
        <v>176</v>
      </c>
      <c r="F87" s="257">
        <v>25</v>
      </c>
      <c r="G87" s="257">
        <v>9</v>
      </c>
      <c r="H87" s="257">
        <v>0.5</v>
      </c>
      <c r="I87" s="268">
        <v>0.34</v>
      </c>
      <c r="J87" s="269">
        <f t="shared" si="5"/>
        <v>0.68</v>
      </c>
      <c r="K87" s="268">
        <v>0</v>
      </c>
      <c r="L87" s="268">
        <v>0</v>
      </c>
      <c r="M87" s="268" t="e">
        <f t="shared" si="6"/>
        <v>#DIV/0!</v>
      </c>
      <c r="N87" s="270" t="s">
        <v>757</v>
      </c>
    </row>
    <row r="88" spans="1:34" ht="15.75" customHeight="1" x14ac:dyDescent="0.25">
      <c r="A88" s="872"/>
      <c r="B88" s="260" t="s">
        <v>751</v>
      </c>
      <c r="C88" s="261" t="s">
        <v>752</v>
      </c>
      <c r="D88" s="261" t="s">
        <v>753</v>
      </c>
      <c r="E88" s="262" t="s">
        <v>176</v>
      </c>
      <c r="F88" s="262">
        <v>25</v>
      </c>
      <c r="G88" s="262">
        <v>1</v>
      </c>
      <c r="H88" s="262">
        <v>0.5</v>
      </c>
      <c r="I88" s="271">
        <v>0.42</v>
      </c>
      <c r="J88" s="272">
        <f t="shared" si="5"/>
        <v>0.84</v>
      </c>
      <c r="K88" s="271">
        <v>0</v>
      </c>
      <c r="L88" s="271">
        <v>0</v>
      </c>
      <c r="M88" s="271" t="e">
        <f t="shared" si="6"/>
        <v>#DIV/0!</v>
      </c>
      <c r="N88" s="273" t="s">
        <v>758</v>
      </c>
    </row>
    <row r="89" spans="1:34" ht="15.75" customHeight="1" x14ac:dyDescent="0.25">
      <c r="A89" s="873" t="s">
        <v>713</v>
      </c>
      <c r="B89" s="250" t="s">
        <v>739</v>
      </c>
      <c r="C89" s="251" t="s">
        <v>740</v>
      </c>
      <c r="D89" s="251" t="s">
        <v>741</v>
      </c>
      <c r="E89" s="252" t="s">
        <v>176</v>
      </c>
      <c r="F89" s="252">
        <v>25</v>
      </c>
      <c r="G89" s="252">
        <v>1000</v>
      </c>
      <c r="H89" s="252">
        <v>86</v>
      </c>
      <c r="I89" s="265">
        <v>86</v>
      </c>
      <c r="J89" s="266">
        <f t="shared" si="5"/>
        <v>1</v>
      </c>
      <c r="K89" s="265">
        <v>0</v>
      </c>
      <c r="L89" s="265">
        <v>0</v>
      </c>
      <c r="M89" s="265" t="e">
        <f t="shared" si="6"/>
        <v>#DIV/0!</v>
      </c>
      <c r="N89" s="267" t="s">
        <v>759</v>
      </c>
    </row>
    <row r="90" spans="1:34" ht="15.75" customHeight="1" x14ac:dyDescent="0.25">
      <c r="A90" s="822"/>
      <c r="B90" s="30" t="s">
        <v>743</v>
      </c>
      <c r="C90" s="256" t="s">
        <v>744</v>
      </c>
      <c r="D90" s="256" t="s">
        <v>745</v>
      </c>
      <c r="E90" s="257" t="s">
        <v>176</v>
      </c>
      <c r="F90" s="257">
        <v>25</v>
      </c>
      <c r="G90" s="257">
        <v>100</v>
      </c>
      <c r="H90" s="257">
        <v>10</v>
      </c>
      <c r="I90" s="268">
        <v>10</v>
      </c>
      <c r="J90" s="269">
        <f t="shared" si="5"/>
        <v>1</v>
      </c>
      <c r="K90" s="268">
        <v>0</v>
      </c>
      <c r="L90" s="268">
        <v>0</v>
      </c>
      <c r="M90" s="268" t="e">
        <f t="shared" si="6"/>
        <v>#DIV/0!</v>
      </c>
      <c r="N90" s="270" t="s">
        <v>760</v>
      </c>
    </row>
    <row r="91" spans="1:34" ht="15.75" customHeight="1" x14ac:dyDescent="0.25">
      <c r="A91" s="822"/>
      <c r="B91" s="30" t="s">
        <v>747</v>
      </c>
      <c r="C91" s="256" t="s">
        <v>748</v>
      </c>
      <c r="D91" s="256" t="s">
        <v>749</v>
      </c>
      <c r="E91" s="257" t="s">
        <v>176</v>
      </c>
      <c r="F91" s="257">
        <v>25</v>
      </c>
      <c r="G91" s="257">
        <v>9</v>
      </c>
      <c r="H91" s="257">
        <v>0.5</v>
      </c>
      <c r="I91" s="268">
        <v>0.5</v>
      </c>
      <c r="J91" s="269">
        <f t="shared" si="5"/>
        <v>1</v>
      </c>
      <c r="K91" s="268">
        <v>0</v>
      </c>
      <c r="L91" s="268">
        <v>0</v>
      </c>
      <c r="M91" s="268" t="e">
        <f t="shared" si="6"/>
        <v>#DIV/0!</v>
      </c>
      <c r="N91" s="270" t="s">
        <v>761</v>
      </c>
    </row>
    <row r="92" spans="1:34" ht="15.75" customHeight="1" x14ac:dyDescent="0.25">
      <c r="A92" s="822"/>
      <c r="B92" s="260" t="s">
        <v>751</v>
      </c>
      <c r="C92" s="261" t="s">
        <v>752</v>
      </c>
      <c r="D92" s="261" t="s">
        <v>753</v>
      </c>
      <c r="E92" s="262" t="s">
        <v>176</v>
      </c>
      <c r="F92" s="262">
        <v>25</v>
      </c>
      <c r="G92" s="262">
        <v>1</v>
      </c>
      <c r="H92" s="262">
        <v>0.5</v>
      </c>
      <c r="I92" s="271">
        <v>0.5</v>
      </c>
      <c r="J92" s="272">
        <f t="shared" si="5"/>
        <v>1</v>
      </c>
      <c r="K92" s="271">
        <v>0</v>
      </c>
      <c r="L92" s="271">
        <v>0</v>
      </c>
      <c r="M92" s="271" t="e">
        <f t="shared" si="6"/>
        <v>#DIV/0!</v>
      </c>
      <c r="N92" s="273" t="s">
        <v>762</v>
      </c>
    </row>
    <row r="93" spans="1:34" ht="15.75" customHeight="1" x14ac:dyDescent="0.25">
      <c r="A93" s="274"/>
      <c r="B93" s="196"/>
      <c r="C93" s="197"/>
      <c r="D93" s="197"/>
      <c r="I93" s="1"/>
      <c r="J93" s="227"/>
      <c r="K93" s="1"/>
      <c r="L93" s="1"/>
      <c r="M93" s="1"/>
      <c r="N93" s="228"/>
    </row>
    <row r="94" spans="1:34" ht="15.75" customHeight="1" x14ac:dyDescent="0.25">
      <c r="A94" s="274"/>
      <c r="B94" s="196"/>
      <c r="C94" s="197"/>
      <c r="D94" s="197"/>
      <c r="I94" s="1"/>
      <c r="J94" s="227"/>
      <c r="K94" s="1"/>
      <c r="L94" s="1"/>
      <c r="M94" s="1"/>
      <c r="N94" s="228"/>
    </row>
    <row r="95" spans="1:34" ht="15.75" customHeight="1" x14ac:dyDescent="0.25">
      <c r="B95" s="196"/>
      <c r="C95" s="197"/>
      <c r="D95" s="197"/>
      <c r="J95" s="120"/>
      <c r="N95" s="197"/>
    </row>
    <row r="96" spans="1:34" ht="15.75" customHeight="1" x14ac:dyDescent="0.25">
      <c r="A96" s="870" t="s">
        <v>763</v>
      </c>
      <c r="B96" s="695"/>
      <c r="C96" s="695"/>
      <c r="D96" s="695"/>
      <c r="E96" s="695"/>
      <c r="F96" s="695"/>
      <c r="G96" s="695"/>
      <c r="H96" s="695"/>
      <c r="I96" s="695"/>
      <c r="J96" s="695"/>
      <c r="K96" s="695"/>
      <c r="L96" s="695"/>
      <c r="M96" s="695"/>
      <c r="N96" s="736"/>
    </row>
    <row r="97" spans="1:14" ht="44.25" customHeight="1" x14ac:dyDescent="0.25">
      <c r="A97" s="198" t="s">
        <v>25</v>
      </c>
      <c r="B97" s="199" t="s">
        <v>726</v>
      </c>
      <c r="C97" s="199" t="s">
        <v>727</v>
      </c>
      <c r="D97" s="199" t="s">
        <v>728</v>
      </c>
      <c r="E97" s="199" t="s">
        <v>729</v>
      </c>
      <c r="F97" s="199" t="s">
        <v>764</v>
      </c>
      <c r="G97" s="199" t="s">
        <v>731</v>
      </c>
      <c r="H97" s="199" t="s">
        <v>765</v>
      </c>
      <c r="I97" s="199" t="s">
        <v>766</v>
      </c>
      <c r="J97" s="241" t="s">
        <v>767</v>
      </c>
      <c r="K97" s="199" t="s">
        <v>735</v>
      </c>
      <c r="L97" s="199" t="s">
        <v>736</v>
      </c>
      <c r="M97" s="199" t="s">
        <v>737</v>
      </c>
      <c r="N97" s="200" t="s">
        <v>738</v>
      </c>
    </row>
    <row r="98" spans="1:14" ht="75.75" customHeight="1" x14ac:dyDescent="0.25">
      <c r="A98" s="874" t="s">
        <v>715</v>
      </c>
      <c r="B98" s="250" t="s">
        <v>739</v>
      </c>
      <c r="C98" s="251" t="s">
        <v>740</v>
      </c>
      <c r="D98" s="251" t="s">
        <v>741</v>
      </c>
      <c r="E98" s="252" t="s">
        <v>176</v>
      </c>
      <c r="F98" s="252">
        <v>25</v>
      </c>
      <c r="G98" s="252">
        <v>1000</v>
      </c>
      <c r="H98" s="175">
        <v>186</v>
      </c>
      <c r="I98" s="175">
        <v>10</v>
      </c>
      <c r="J98" s="242">
        <f t="shared" ref="J98:J145" si="7">I98/H98</f>
        <v>5.3763440860215055E-2</v>
      </c>
      <c r="K98" s="175">
        <v>0</v>
      </c>
      <c r="L98" s="175">
        <v>0</v>
      </c>
      <c r="M98" s="175" t="e">
        <f t="shared" ref="M98:M145" si="8">L98/K98</f>
        <v>#DIV/0!</v>
      </c>
      <c r="N98" s="243" t="s">
        <v>768</v>
      </c>
    </row>
    <row r="99" spans="1:14" ht="75.75" customHeight="1" x14ac:dyDescent="0.25">
      <c r="A99" s="829"/>
      <c r="B99" s="30" t="s">
        <v>743</v>
      </c>
      <c r="C99" s="256" t="s">
        <v>744</v>
      </c>
      <c r="D99" s="256" t="s">
        <v>745</v>
      </c>
      <c r="E99" s="257" t="s">
        <v>176</v>
      </c>
      <c r="F99" s="257">
        <v>25</v>
      </c>
      <c r="G99" s="257">
        <v>100</v>
      </c>
      <c r="H99" s="175">
        <v>20</v>
      </c>
      <c r="I99" s="175">
        <v>1</v>
      </c>
      <c r="J99" s="242">
        <f t="shared" si="7"/>
        <v>0.05</v>
      </c>
      <c r="K99" s="175">
        <v>0</v>
      </c>
      <c r="L99" s="175">
        <v>0</v>
      </c>
      <c r="M99" s="175" t="e">
        <f t="shared" si="8"/>
        <v>#DIV/0!</v>
      </c>
      <c r="N99" s="243" t="s">
        <v>769</v>
      </c>
    </row>
    <row r="100" spans="1:14" ht="75.75" customHeight="1" x14ac:dyDescent="0.25">
      <c r="A100" s="829"/>
      <c r="B100" s="30" t="s">
        <v>747</v>
      </c>
      <c r="C100" s="256" t="s">
        <v>748</v>
      </c>
      <c r="D100" s="256" t="s">
        <v>749</v>
      </c>
      <c r="E100" s="257" t="s">
        <v>176</v>
      </c>
      <c r="F100" s="257">
        <v>25</v>
      </c>
      <c r="G100" s="257">
        <v>9</v>
      </c>
      <c r="H100" s="175">
        <v>1.4</v>
      </c>
      <c r="I100" s="175">
        <v>0</v>
      </c>
      <c r="J100" s="242">
        <f t="shared" si="7"/>
        <v>0</v>
      </c>
      <c r="K100" s="175">
        <v>0</v>
      </c>
      <c r="L100" s="175">
        <v>0</v>
      </c>
      <c r="M100" s="175" t="e">
        <f t="shared" si="8"/>
        <v>#DIV/0!</v>
      </c>
      <c r="N100" s="275" t="s">
        <v>770</v>
      </c>
    </row>
    <row r="101" spans="1:14" ht="75.75" customHeight="1" x14ac:dyDescent="0.25">
      <c r="A101" s="823"/>
      <c r="B101" s="260" t="s">
        <v>751</v>
      </c>
      <c r="C101" s="261" t="s">
        <v>752</v>
      </c>
      <c r="D101" s="261" t="s">
        <v>753</v>
      </c>
      <c r="E101" s="262" t="s">
        <v>176</v>
      </c>
      <c r="F101" s="262">
        <v>25</v>
      </c>
      <c r="G101" s="262">
        <v>1</v>
      </c>
      <c r="H101" s="175">
        <v>0.1</v>
      </c>
      <c r="I101" s="175">
        <v>0.01</v>
      </c>
      <c r="J101" s="242">
        <f t="shared" si="7"/>
        <v>9.9999999999999992E-2</v>
      </c>
      <c r="K101" s="175">
        <v>0</v>
      </c>
      <c r="L101" s="175">
        <v>0</v>
      </c>
      <c r="M101" s="175" t="e">
        <f t="shared" si="8"/>
        <v>#DIV/0!</v>
      </c>
      <c r="N101" s="276" t="s">
        <v>771</v>
      </c>
    </row>
    <row r="102" spans="1:14" ht="63" customHeight="1" x14ac:dyDescent="0.25">
      <c r="A102" s="874" t="s">
        <v>716</v>
      </c>
      <c r="B102" s="250" t="s">
        <v>739</v>
      </c>
      <c r="C102" s="251" t="s">
        <v>740</v>
      </c>
      <c r="D102" s="251" t="s">
        <v>741</v>
      </c>
      <c r="E102" s="262" t="s">
        <v>176</v>
      </c>
      <c r="F102" s="252">
        <v>25</v>
      </c>
      <c r="G102" s="252">
        <v>1000</v>
      </c>
      <c r="H102" s="175">
        <v>186</v>
      </c>
      <c r="I102" s="175">
        <v>24</v>
      </c>
      <c r="J102" s="242">
        <f t="shared" si="7"/>
        <v>0.12903225806451613</v>
      </c>
      <c r="K102" s="175">
        <v>0</v>
      </c>
      <c r="L102" s="175">
        <v>0</v>
      </c>
      <c r="M102" s="175" t="e">
        <f t="shared" si="8"/>
        <v>#DIV/0!</v>
      </c>
      <c r="N102" s="277" t="s">
        <v>772</v>
      </c>
    </row>
    <row r="103" spans="1:14" ht="85.5" customHeight="1" x14ac:dyDescent="0.25">
      <c r="A103" s="829"/>
      <c r="B103" s="30" t="s">
        <v>743</v>
      </c>
      <c r="C103" s="256" t="s">
        <v>744</v>
      </c>
      <c r="D103" s="256" t="s">
        <v>745</v>
      </c>
      <c r="E103" s="262" t="s">
        <v>176</v>
      </c>
      <c r="F103" s="257">
        <v>25</v>
      </c>
      <c r="G103" s="257">
        <v>100</v>
      </c>
      <c r="H103" s="175">
        <v>20</v>
      </c>
      <c r="I103" s="175">
        <v>2</v>
      </c>
      <c r="J103" s="242">
        <f t="shared" si="7"/>
        <v>0.1</v>
      </c>
      <c r="K103" s="175">
        <v>0</v>
      </c>
      <c r="L103" s="175">
        <v>0</v>
      </c>
      <c r="M103" s="175" t="e">
        <f t="shared" si="8"/>
        <v>#DIV/0!</v>
      </c>
      <c r="N103" s="243" t="s">
        <v>773</v>
      </c>
    </row>
    <row r="104" spans="1:14" ht="15.75" customHeight="1" x14ac:dyDescent="0.25">
      <c r="A104" s="829"/>
      <c r="B104" s="30" t="s">
        <v>747</v>
      </c>
      <c r="C104" s="256" t="s">
        <v>748</v>
      </c>
      <c r="D104" s="256" t="s">
        <v>749</v>
      </c>
      <c r="E104" s="262" t="s">
        <v>176</v>
      </c>
      <c r="F104" s="257">
        <v>25</v>
      </c>
      <c r="G104" s="257">
        <v>9</v>
      </c>
      <c r="H104" s="175">
        <v>1.4</v>
      </c>
      <c r="I104" s="175">
        <v>0.126</v>
      </c>
      <c r="J104" s="242">
        <f t="shared" si="7"/>
        <v>9.0000000000000011E-2</v>
      </c>
      <c r="K104" s="175">
        <v>0</v>
      </c>
      <c r="L104" s="175">
        <v>0</v>
      </c>
      <c r="M104" s="175" t="e">
        <f t="shared" si="8"/>
        <v>#DIV/0!</v>
      </c>
      <c r="N104" s="243" t="s">
        <v>774</v>
      </c>
    </row>
    <row r="105" spans="1:14" ht="15.75" customHeight="1" x14ac:dyDescent="0.25">
      <c r="A105" s="823"/>
      <c r="B105" s="260" t="s">
        <v>775</v>
      </c>
      <c r="C105" s="261" t="s">
        <v>752</v>
      </c>
      <c r="D105" s="261" t="s">
        <v>753</v>
      </c>
      <c r="E105" s="262" t="s">
        <v>176</v>
      </c>
      <c r="F105" s="262">
        <v>25</v>
      </c>
      <c r="G105" s="262">
        <v>1</v>
      </c>
      <c r="H105" s="175">
        <v>0.1</v>
      </c>
      <c r="I105" s="175">
        <v>0.02</v>
      </c>
      <c r="J105" s="242">
        <f t="shared" si="7"/>
        <v>0.19999999999999998</v>
      </c>
      <c r="K105" s="175">
        <v>0</v>
      </c>
      <c r="L105" s="175">
        <v>0</v>
      </c>
      <c r="M105" s="175" t="e">
        <f t="shared" si="8"/>
        <v>#DIV/0!</v>
      </c>
      <c r="N105" s="243" t="s">
        <v>771</v>
      </c>
    </row>
    <row r="106" spans="1:14" ht="15.75" customHeight="1" x14ac:dyDescent="0.25">
      <c r="A106" s="874" t="s">
        <v>717</v>
      </c>
      <c r="B106" s="250" t="s">
        <v>739</v>
      </c>
      <c r="C106" s="251" t="s">
        <v>740</v>
      </c>
      <c r="D106" s="251" t="s">
        <v>741</v>
      </c>
      <c r="E106" s="262" t="s">
        <v>176</v>
      </c>
      <c r="F106" s="252">
        <v>25</v>
      </c>
      <c r="G106" s="252">
        <v>1000</v>
      </c>
      <c r="H106" s="175">
        <v>186</v>
      </c>
      <c r="I106" s="175">
        <v>41</v>
      </c>
      <c r="J106" s="242">
        <f t="shared" si="7"/>
        <v>0.22043010752688172</v>
      </c>
      <c r="K106" s="175">
        <v>0</v>
      </c>
      <c r="L106" s="175">
        <v>0</v>
      </c>
      <c r="M106" s="175" t="e">
        <f t="shared" si="8"/>
        <v>#DIV/0!</v>
      </c>
      <c r="N106" s="277" t="s">
        <v>776</v>
      </c>
    </row>
    <row r="107" spans="1:14" ht="15.75" customHeight="1" x14ac:dyDescent="0.25">
      <c r="A107" s="829"/>
      <c r="B107" s="30" t="s">
        <v>743</v>
      </c>
      <c r="C107" s="256" t="s">
        <v>744</v>
      </c>
      <c r="D107" s="256" t="s">
        <v>745</v>
      </c>
      <c r="E107" s="262" t="s">
        <v>176</v>
      </c>
      <c r="F107" s="257">
        <v>25</v>
      </c>
      <c r="G107" s="257">
        <v>100</v>
      </c>
      <c r="H107" s="175">
        <v>20</v>
      </c>
      <c r="I107" s="175">
        <v>1</v>
      </c>
      <c r="J107" s="242">
        <f t="shared" si="7"/>
        <v>0.05</v>
      </c>
      <c r="K107" s="175">
        <v>0</v>
      </c>
      <c r="L107" s="175">
        <v>0</v>
      </c>
      <c r="M107" s="175" t="e">
        <f t="shared" si="8"/>
        <v>#DIV/0!</v>
      </c>
      <c r="N107" s="243" t="s">
        <v>777</v>
      </c>
    </row>
    <row r="108" spans="1:14" ht="15.75" customHeight="1" x14ac:dyDescent="0.25">
      <c r="A108" s="829"/>
      <c r="B108" s="30" t="s">
        <v>747</v>
      </c>
      <c r="C108" s="256" t="s">
        <v>748</v>
      </c>
      <c r="D108" s="256" t="s">
        <v>749</v>
      </c>
      <c r="E108" s="262" t="s">
        <v>176</v>
      </c>
      <c r="F108" s="257">
        <v>25</v>
      </c>
      <c r="G108" s="257">
        <v>9</v>
      </c>
      <c r="H108" s="175">
        <v>1.4</v>
      </c>
      <c r="I108" s="170">
        <v>0.252</v>
      </c>
      <c r="J108" s="242">
        <f t="shared" si="7"/>
        <v>0.18000000000000002</v>
      </c>
      <c r="K108" s="175">
        <v>0</v>
      </c>
      <c r="L108" s="175">
        <v>0</v>
      </c>
      <c r="M108" s="175" t="e">
        <f t="shared" si="8"/>
        <v>#DIV/0!</v>
      </c>
      <c r="N108" s="278" t="s">
        <v>778</v>
      </c>
    </row>
    <row r="109" spans="1:14" ht="15.75" customHeight="1" x14ac:dyDescent="0.25">
      <c r="A109" s="823"/>
      <c r="B109" s="260" t="s">
        <v>775</v>
      </c>
      <c r="C109" s="261" t="s">
        <v>752</v>
      </c>
      <c r="D109" s="261" t="s">
        <v>753</v>
      </c>
      <c r="E109" s="262" t="s">
        <v>176</v>
      </c>
      <c r="F109" s="262">
        <v>25</v>
      </c>
      <c r="G109" s="262">
        <v>1</v>
      </c>
      <c r="H109" s="175">
        <v>0.1</v>
      </c>
      <c r="I109" s="175">
        <v>2.8000000000000001E-2</v>
      </c>
      <c r="J109" s="242">
        <f t="shared" si="7"/>
        <v>0.27999999999999997</v>
      </c>
      <c r="K109" s="175">
        <v>0</v>
      </c>
      <c r="L109" s="175">
        <v>0</v>
      </c>
      <c r="M109" s="175" t="e">
        <f t="shared" si="8"/>
        <v>#DIV/0!</v>
      </c>
      <c r="N109" s="243" t="s">
        <v>779</v>
      </c>
    </row>
    <row r="110" spans="1:14" ht="15.75" customHeight="1" x14ac:dyDescent="0.25">
      <c r="A110" s="874" t="s">
        <v>718</v>
      </c>
      <c r="B110" s="250" t="s">
        <v>739</v>
      </c>
      <c r="C110" s="251" t="s">
        <v>740</v>
      </c>
      <c r="D110" s="251" t="s">
        <v>741</v>
      </c>
      <c r="E110" s="262" t="s">
        <v>176</v>
      </c>
      <c r="F110" s="252">
        <v>25</v>
      </c>
      <c r="G110" s="252">
        <v>1000</v>
      </c>
      <c r="H110" s="175">
        <v>186</v>
      </c>
      <c r="I110" s="175">
        <v>58</v>
      </c>
      <c r="J110" s="242">
        <f t="shared" si="7"/>
        <v>0.31182795698924731</v>
      </c>
      <c r="K110" s="175">
        <v>0</v>
      </c>
      <c r="L110" s="175">
        <v>0</v>
      </c>
      <c r="M110" s="175" t="e">
        <f t="shared" si="8"/>
        <v>#DIV/0!</v>
      </c>
      <c r="N110" s="277" t="s">
        <v>780</v>
      </c>
    </row>
    <row r="111" spans="1:14" ht="15.75" customHeight="1" x14ac:dyDescent="0.25">
      <c r="A111" s="829"/>
      <c r="B111" s="30" t="s">
        <v>743</v>
      </c>
      <c r="C111" s="256" t="s">
        <v>744</v>
      </c>
      <c r="D111" s="256" t="s">
        <v>745</v>
      </c>
      <c r="E111" s="262" t="s">
        <v>176</v>
      </c>
      <c r="F111" s="257">
        <v>25</v>
      </c>
      <c r="G111" s="257">
        <v>100</v>
      </c>
      <c r="H111" s="175">
        <v>20</v>
      </c>
      <c r="I111" s="175">
        <v>5</v>
      </c>
      <c r="J111" s="242">
        <f t="shared" si="7"/>
        <v>0.25</v>
      </c>
      <c r="K111" s="175">
        <v>0</v>
      </c>
      <c r="L111" s="175">
        <v>0</v>
      </c>
      <c r="M111" s="175" t="e">
        <f t="shared" si="8"/>
        <v>#DIV/0!</v>
      </c>
      <c r="N111" s="243" t="s">
        <v>781</v>
      </c>
    </row>
    <row r="112" spans="1:14" ht="15.75" customHeight="1" x14ac:dyDescent="0.25">
      <c r="A112" s="829"/>
      <c r="B112" s="30" t="s">
        <v>747</v>
      </c>
      <c r="C112" s="256" t="s">
        <v>748</v>
      </c>
      <c r="D112" s="256" t="s">
        <v>749</v>
      </c>
      <c r="E112" s="262" t="s">
        <v>176</v>
      </c>
      <c r="F112" s="257">
        <v>25</v>
      </c>
      <c r="G112" s="257">
        <v>9</v>
      </c>
      <c r="H112" s="175">
        <v>1.4</v>
      </c>
      <c r="I112" s="170">
        <v>0.378</v>
      </c>
      <c r="J112" s="242">
        <f t="shared" si="7"/>
        <v>0.27</v>
      </c>
      <c r="K112" s="175">
        <v>0</v>
      </c>
      <c r="L112" s="175">
        <v>0</v>
      </c>
      <c r="M112" s="175" t="e">
        <f t="shared" si="8"/>
        <v>#DIV/0!</v>
      </c>
      <c r="N112" s="278" t="s">
        <v>782</v>
      </c>
    </row>
    <row r="113" spans="1:14" ht="15.75" customHeight="1" x14ac:dyDescent="0.25">
      <c r="A113" s="823"/>
      <c r="B113" s="260" t="s">
        <v>775</v>
      </c>
      <c r="C113" s="261" t="s">
        <v>752</v>
      </c>
      <c r="D113" s="261" t="s">
        <v>753</v>
      </c>
      <c r="E113" s="262" t="s">
        <v>176</v>
      </c>
      <c r="F113" s="262">
        <v>25</v>
      </c>
      <c r="G113" s="262">
        <v>1</v>
      </c>
      <c r="H113" s="175">
        <v>0.1</v>
      </c>
      <c r="I113" s="175">
        <v>3.5999999999999997E-2</v>
      </c>
      <c r="J113" s="242">
        <f t="shared" si="7"/>
        <v>0.35999999999999993</v>
      </c>
      <c r="K113" s="175">
        <v>0</v>
      </c>
      <c r="L113" s="175">
        <v>0</v>
      </c>
      <c r="M113" s="175" t="e">
        <f t="shared" si="8"/>
        <v>#DIV/0!</v>
      </c>
      <c r="N113" s="243" t="s">
        <v>783</v>
      </c>
    </row>
    <row r="114" spans="1:14" ht="15.75" customHeight="1" x14ac:dyDescent="0.25">
      <c r="A114" s="874" t="s">
        <v>719</v>
      </c>
      <c r="B114" s="250" t="s">
        <v>739</v>
      </c>
      <c r="C114" s="251" t="s">
        <v>740</v>
      </c>
      <c r="D114" s="251" t="s">
        <v>741</v>
      </c>
      <c r="E114" s="262" t="s">
        <v>176</v>
      </c>
      <c r="F114" s="252">
        <v>25</v>
      </c>
      <c r="G114" s="252">
        <v>1000</v>
      </c>
      <c r="H114" s="175">
        <v>186</v>
      </c>
      <c r="I114" s="175">
        <v>75</v>
      </c>
      <c r="J114" s="242">
        <f t="shared" si="7"/>
        <v>0.40322580645161288</v>
      </c>
      <c r="K114" s="175">
        <v>0</v>
      </c>
      <c r="L114" s="175">
        <v>0</v>
      </c>
      <c r="M114" s="175" t="e">
        <f t="shared" si="8"/>
        <v>#DIV/0!</v>
      </c>
      <c r="N114" s="277" t="s">
        <v>784</v>
      </c>
    </row>
    <row r="115" spans="1:14" ht="15.75" customHeight="1" x14ac:dyDescent="0.25">
      <c r="A115" s="829"/>
      <c r="B115" s="30" t="s">
        <v>743</v>
      </c>
      <c r="C115" s="256" t="s">
        <v>744</v>
      </c>
      <c r="D115" s="256" t="s">
        <v>745</v>
      </c>
      <c r="E115" s="262" t="s">
        <v>176</v>
      </c>
      <c r="F115" s="257">
        <v>25</v>
      </c>
      <c r="G115" s="257">
        <v>100</v>
      </c>
      <c r="H115" s="175">
        <v>20</v>
      </c>
      <c r="I115" s="175">
        <v>7</v>
      </c>
      <c r="J115" s="242">
        <f t="shared" si="7"/>
        <v>0.35</v>
      </c>
      <c r="K115" s="175">
        <v>0</v>
      </c>
      <c r="L115" s="175">
        <v>0</v>
      </c>
      <c r="M115" s="175" t="e">
        <f t="shared" si="8"/>
        <v>#DIV/0!</v>
      </c>
      <c r="N115" s="243" t="s">
        <v>785</v>
      </c>
    </row>
    <row r="116" spans="1:14" ht="15.75" customHeight="1" x14ac:dyDescent="0.25">
      <c r="A116" s="829"/>
      <c r="B116" s="30" t="s">
        <v>747</v>
      </c>
      <c r="C116" s="256" t="s">
        <v>748</v>
      </c>
      <c r="D116" s="256" t="s">
        <v>749</v>
      </c>
      <c r="E116" s="262" t="s">
        <v>176</v>
      </c>
      <c r="F116" s="257">
        <v>25</v>
      </c>
      <c r="G116" s="257">
        <v>9</v>
      </c>
      <c r="H116" s="175">
        <v>1.4</v>
      </c>
      <c r="I116" s="170">
        <v>0.504</v>
      </c>
      <c r="J116" s="242">
        <f t="shared" si="7"/>
        <v>0.36000000000000004</v>
      </c>
      <c r="K116" s="175">
        <v>0</v>
      </c>
      <c r="L116" s="175">
        <v>0</v>
      </c>
      <c r="M116" s="175" t="e">
        <f t="shared" si="8"/>
        <v>#DIV/0!</v>
      </c>
      <c r="N116" s="278" t="s">
        <v>786</v>
      </c>
    </row>
    <row r="117" spans="1:14" ht="15.75" customHeight="1" x14ac:dyDescent="0.25">
      <c r="A117" s="823"/>
      <c r="B117" s="260" t="s">
        <v>775</v>
      </c>
      <c r="C117" s="261" t="s">
        <v>752</v>
      </c>
      <c r="D117" s="261" t="s">
        <v>753</v>
      </c>
      <c r="E117" s="262" t="s">
        <v>176</v>
      </c>
      <c r="F117" s="262">
        <v>25</v>
      </c>
      <c r="G117" s="262">
        <v>1</v>
      </c>
      <c r="H117" s="175">
        <v>0.1</v>
      </c>
      <c r="I117" s="175">
        <v>4.3999999999999997E-2</v>
      </c>
      <c r="J117" s="242">
        <f t="shared" si="7"/>
        <v>0.43999999999999995</v>
      </c>
      <c r="K117" s="175">
        <v>0</v>
      </c>
      <c r="L117" s="175">
        <v>0</v>
      </c>
      <c r="M117" s="175" t="e">
        <f t="shared" si="8"/>
        <v>#DIV/0!</v>
      </c>
      <c r="N117" s="243" t="s">
        <v>787</v>
      </c>
    </row>
    <row r="118" spans="1:14" ht="15.75" customHeight="1" x14ac:dyDescent="0.25">
      <c r="A118" s="874" t="s">
        <v>720</v>
      </c>
      <c r="B118" s="250" t="s">
        <v>739</v>
      </c>
      <c r="C118" s="251" t="s">
        <v>740</v>
      </c>
      <c r="D118" s="251" t="s">
        <v>741</v>
      </c>
      <c r="E118" s="262" t="s">
        <v>176</v>
      </c>
      <c r="F118" s="252">
        <v>25</v>
      </c>
      <c r="G118" s="252">
        <v>1000</v>
      </c>
      <c r="H118" s="175">
        <v>186</v>
      </c>
      <c r="I118" s="175">
        <v>92</v>
      </c>
      <c r="J118" s="242">
        <f t="shared" si="7"/>
        <v>0.4946236559139785</v>
      </c>
      <c r="K118" s="175">
        <v>0</v>
      </c>
      <c r="L118" s="175">
        <v>0</v>
      </c>
      <c r="M118" s="175" t="e">
        <f t="shared" si="8"/>
        <v>#DIV/0!</v>
      </c>
      <c r="N118" s="277" t="s">
        <v>788</v>
      </c>
    </row>
    <row r="119" spans="1:14" ht="15.75" customHeight="1" x14ac:dyDescent="0.25">
      <c r="A119" s="829"/>
      <c r="B119" s="30" t="s">
        <v>743</v>
      </c>
      <c r="C119" s="256" t="s">
        <v>744</v>
      </c>
      <c r="D119" s="256" t="s">
        <v>745</v>
      </c>
      <c r="E119" s="262" t="s">
        <v>176</v>
      </c>
      <c r="F119" s="257">
        <v>25</v>
      </c>
      <c r="G119" s="257">
        <v>100</v>
      </c>
      <c r="H119" s="175">
        <v>20</v>
      </c>
      <c r="I119" s="175">
        <v>9</v>
      </c>
      <c r="J119" s="242">
        <f t="shared" si="7"/>
        <v>0.45</v>
      </c>
      <c r="K119" s="175">
        <v>0</v>
      </c>
      <c r="L119" s="175">
        <v>0</v>
      </c>
      <c r="M119" s="175" t="e">
        <f t="shared" si="8"/>
        <v>#DIV/0!</v>
      </c>
      <c r="N119" s="243" t="s">
        <v>789</v>
      </c>
    </row>
    <row r="120" spans="1:14" ht="15.75" customHeight="1" x14ac:dyDescent="0.25">
      <c r="A120" s="829"/>
      <c r="B120" s="30" t="s">
        <v>747</v>
      </c>
      <c r="C120" s="256" t="s">
        <v>748</v>
      </c>
      <c r="D120" s="256" t="s">
        <v>749</v>
      </c>
      <c r="E120" s="262" t="s">
        <v>176</v>
      </c>
      <c r="F120" s="257">
        <v>25</v>
      </c>
      <c r="G120" s="257">
        <v>9</v>
      </c>
      <c r="H120" s="175">
        <v>1.4</v>
      </c>
      <c r="I120" s="170">
        <v>0.7</v>
      </c>
      <c r="J120" s="242">
        <f t="shared" si="7"/>
        <v>0.5</v>
      </c>
      <c r="K120" s="175">
        <v>0</v>
      </c>
      <c r="L120" s="175">
        <v>0</v>
      </c>
      <c r="M120" s="175" t="e">
        <f t="shared" si="8"/>
        <v>#DIV/0!</v>
      </c>
      <c r="N120" s="278" t="s">
        <v>790</v>
      </c>
    </row>
    <row r="121" spans="1:14" ht="15.75" customHeight="1" x14ac:dyDescent="0.25">
      <c r="A121" s="823"/>
      <c r="B121" s="260" t="s">
        <v>775</v>
      </c>
      <c r="C121" s="261" t="s">
        <v>752</v>
      </c>
      <c r="D121" s="261" t="s">
        <v>753</v>
      </c>
      <c r="E121" s="262" t="s">
        <v>176</v>
      </c>
      <c r="F121" s="262">
        <v>25</v>
      </c>
      <c r="G121" s="262">
        <v>1</v>
      </c>
      <c r="H121" s="175">
        <v>0.1</v>
      </c>
      <c r="I121" s="175">
        <v>0.05</v>
      </c>
      <c r="J121" s="242">
        <f t="shared" si="7"/>
        <v>0.5</v>
      </c>
      <c r="K121" s="175">
        <v>0</v>
      </c>
      <c r="L121" s="175">
        <v>0</v>
      </c>
      <c r="M121" s="175" t="e">
        <f t="shared" si="8"/>
        <v>#DIV/0!</v>
      </c>
      <c r="N121" s="243" t="s">
        <v>791</v>
      </c>
    </row>
    <row r="122" spans="1:14" ht="15.75" customHeight="1" x14ac:dyDescent="0.25">
      <c r="A122" s="874" t="s">
        <v>707</v>
      </c>
      <c r="B122" s="250" t="s">
        <v>739</v>
      </c>
      <c r="C122" s="251" t="s">
        <v>740</v>
      </c>
      <c r="D122" s="251" t="s">
        <v>741</v>
      </c>
      <c r="E122" s="279" t="s">
        <v>176</v>
      </c>
      <c r="F122" s="280">
        <v>25</v>
      </c>
      <c r="G122" s="280">
        <v>1000</v>
      </c>
      <c r="H122" s="61">
        <v>186</v>
      </c>
      <c r="I122" s="191">
        <v>109</v>
      </c>
      <c r="J122" s="281">
        <f t="shared" si="7"/>
        <v>0.58602150537634412</v>
      </c>
      <c r="K122" s="191">
        <v>0</v>
      </c>
      <c r="L122" s="191">
        <v>0</v>
      </c>
      <c r="M122" s="191" t="e">
        <f t="shared" si="8"/>
        <v>#DIV/0!</v>
      </c>
      <c r="N122" s="277" t="s">
        <v>792</v>
      </c>
    </row>
    <row r="123" spans="1:14" ht="15.75" customHeight="1" x14ac:dyDescent="0.25">
      <c r="A123" s="829"/>
      <c r="B123" s="30" t="s">
        <v>743</v>
      </c>
      <c r="C123" s="256" t="s">
        <v>744</v>
      </c>
      <c r="D123" s="256" t="s">
        <v>745</v>
      </c>
      <c r="E123" s="279" t="s">
        <v>176</v>
      </c>
      <c r="F123" s="61">
        <v>25</v>
      </c>
      <c r="G123" s="61">
        <v>100</v>
      </c>
      <c r="H123" s="61">
        <v>20</v>
      </c>
      <c r="I123" s="191">
        <v>11</v>
      </c>
      <c r="J123" s="281">
        <f t="shared" si="7"/>
        <v>0.55000000000000004</v>
      </c>
      <c r="K123" s="191">
        <v>0</v>
      </c>
      <c r="L123" s="191">
        <v>0</v>
      </c>
      <c r="M123" s="191" t="e">
        <f t="shared" si="8"/>
        <v>#DIV/0!</v>
      </c>
      <c r="N123" s="270" t="s">
        <v>793</v>
      </c>
    </row>
    <row r="124" spans="1:14" ht="15.75" customHeight="1" x14ac:dyDescent="0.25">
      <c r="A124" s="829"/>
      <c r="B124" s="30" t="s">
        <v>747</v>
      </c>
      <c r="C124" s="256" t="s">
        <v>748</v>
      </c>
      <c r="D124" s="256" t="s">
        <v>749</v>
      </c>
      <c r="E124" s="279" t="s">
        <v>176</v>
      </c>
      <c r="F124" s="61">
        <v>25</v>
      </c>
      <c r="G124" s="61">
        <v>9</v>
      </c>
      <c r="H124" s="61">
        <v>1.4</v>
      </c>
      <c r="I124" s="191">
        <v>0.8</v>
      </c>
      <c r="J124" s="281">
        <f t="shared" si="7"/>
        <v>0.57142857142857151</v>
      </c>
      <c r="K124" s="191">
        <v>0</v>
      </c>
      <c r="L124" s="191">
        <v>0</v>
      </c>
      <c r="M124" s="191" t="e">
        <f t="shared" si="8"/>
        <v>#DIV/0!</v>
      </c>
      <c r="N124" s="270" t="s">
        <v>794</v>
      </c>
    </row>
    <row r="125" spans="1:14" ht="15.75" customHeight="1" x14ac:dyDescent="0.25">
      <c r="A125" s="823"/>
      <c r="B125" s="260" t="s">
        <v>775</v>
      </c>
      <c r="C125" s="261" t="s">
        <v>752</v>
      </c>
      <c r="D125" s="261" t="s">
        <v>753</v>
      </c>
      <c r="E125" s="279" t="s">
        <v>176</v>
      </c>
      <c r="F125" s="279">
        <v>25</v>
      </c>
      <c r="G125" s="279">
        <v>1</v>
      </c>
      <c r="H125" s="61">
        <v>0.1</v>
      </c>
      <c r="I125" s="191">
        <v>0.06</v>
      </c>
      <c r="J125" s="281">
        <f t="shared" si="7"/>
        <v>0.6</v>
      </c>
      <c r="K125" s="191">
        <v>0</v>
      </c>
      <c r="L125" s="191">
        <v>0</v>
      </c>
      <c r="M125" s="191" t="e">
        <f t="shared" si="8"/>
        <v>#DIV/0!</v>
      </c>
      <c r="N125" s="270" t="s">
        <v>795</v>
      </c>
    </row>
    <row r="126" spans="1:14" ht="15.75" customHeight="1" x14ac:dyDescent="0.25">
      <c r="A126" s="874" t="s">
        <v>708</v>
      </c>
      <c r="B126" s="250" t="s">
        <v>739</v>
      </c>
      <c r="C126" s="251" t="s">
        <v>740</v>
      </c>
      <c r="D126" s="251" t="s">
        <v>741</v>
      </c>
      <c r="E126" s="279" t="s">
        <v>176</v>
      </c>
      <c r="F126" s="280">
        <v>25</v>
      </c>
      <c r="G126" s="280">
        <v>1000</v>
      </c>
      <c r="H126" s="61">
        <v>186</v>
      </c>
      <c r="I126" s="191">
        <v>126</v>
      </c>
      <c r="J126" s="281">
        <f t="shared" si="7"/>
        <v>0.67741935483870963</v>
      </c>
      <c r="K126" s="191">
        <v>0</v>
      </c>
      <c r="L126" s="191">
        <v>0</v>
      </c>
      <c r="M126" s="191" t="e">
        <f t="shared" si="8"/>
        <v>#DIV/0!</v>
      </c>
      <c r="N126" s="277" t="s">
        <v>796</v>
      </c>
    </row>
    <row r="127" spans="1:14" ht="15.75" customHeight="1" x14ac:dyDescent="0.25">
      <c r="A127" s="829"/>
      <c r="B127" s="30" t="s">
        <v>743</v>
      </c>
      <c r="C127" s="256" t="s">
        <v>744</v>
      </c>
      <c r="D127" s="256" t="s">
        <v>745</v>
      </c>
      <c r="E127" s="279" t="s">
        <v>176</v>
      </c>
      <c r="F127" s="61">
        <v>25</v>
      </c>
      <c r="G127" s="61">
        <v>100</v>
      </c>
      <c r="H127" s="61">
        <v>20</v>
      </c>
      <c r="I127" s="191">
        <v>13</v>
      </c>
      <c r="J127" s="281">
        <f t="shared" si="7"/>
        <v>0.65</v>
      </c>
      <c r="K127" s="191">
        <v>0</v>
      </c>
      <c r="L127" s="191">
        <v>0</v>
      </c>
      <c r="M127" s="191" t="e">
        <f t="shared" si="8"/>
        <v>#DIV/0!</v>
      </c>
      <c r="N127" s="270" t="s">
        <v>797</v>
      </c>
    </row>
    <row r="128" spans="1:14" ht="15.75" customHeight="1" x14ac:dyDescent="0.25">
      <c r="A128" s="829"/>
      <c r="B128" s="30" t="s">
        <v>747</v>
      </c>
      <c r="C128" s="256" t="s">
        <v>748</v>
      </c>
      <c r="D128" s="256" t="s">
        <v>749</v>
      </c>
      <c r="E128" s="279" t="s">
        <v>176</v>
      </c>
      <c r="F128" s="61">
        <v>25</v>
      </c>
      <c r="G128" s="61">
        <v>9</v>
      </c>
      <c r="H128" s="61">
        <v>1.4</v>
      </c>
      <c r="I128" s="191">
        <v>0.95199999999999996</v>
      </c>
      <c r="J128" s="281">
        <f t="shared" si="7"/>
        <v>0.68</v>
      </c>
      <c r="K128" s="191">
        <v>0</v>
      </c>
      <c r="L128" s="191">
        <v>0</v>
      </c>
      <c r="M128" s="191" t="e">
        <f t="shared" si="8"/>
        <v>#DIV/0!</v>
      </c>
      <c r="N128" s="270" t="s">
        <v>798</v>
      </c>
    </row>
    <row r="129" spans="1:15" ht="15.75" customHeight="1" x14ac:dyDescent="0.25">
      <c r="A129" s="823"/>
      <c r="B129" s="260" t="s">
        <v>775</v>
      </c>
      <c r="C129" s="261" t="s">
        <v>752</v>
      </c>
      <c r="D129" s="261" t="s">
        <v>753</v>
      </c>
      <c r="E129" s="279" t="s">
        <v>176</v>
      </c>
      <c r="F129" s="279">
        <v>25</v>
      </c>
      <c r="G129" s="279">
        <v>1</v>
      </c>
      <c r="H129" s="61">
        <v>0.1</v>
      </c>
      <c r="I129" s="191">
        <v>0.08</v>
      </c>
      <c r="J129" s="281">
        <f t="shared" si="7"/>
        <v>0.79999999999999993</v>
      </c>
      <c r="K129" s="191">
        <v>0</v>
      </c>
      <c r="L129" s="191">
        <v>0</v>
      </c>
      <c r="M129" s="191" t="e">
        <f t="shared" si="8"/>
        <v>#DIV/0!</v>
      </c>
      <c r="N129" s="270" t="s">
        <v>799</v>
      </c>
    </row>
    <row r="130" spans="1:15" ht="15.75" customHeight="1" x14ac:dyDescent="0.25">
      <c r="A130" s="874" t="s">
        <v>709</v>
      </c>
      <c r="B130" s="250" t="s">
        <v>739</v>
      </c>
      <c r="C130" s="251" t="s">
        <v>740</v>
      </c>
      <c r="D130" s="251" t="s">
        <v>741</v>
      </c>
      <c r="E130" s="279" t="s">
        <v>176</v>
      </c>
      <c r="F130" s="280">
        <v>25</v>
      </c>
      <c r="G130" s="280">
        <v>1000</v>
      </c>
      <c r="H130" s="61">
        <v>186</v>
      </c>
      <c r="I130" s="191">
        <v>143</v>
      </c>
      <c r="J130" s="281">
        <f t="shared" si="7"/>
        <v>0.76881720430107525</v>
      </c>
      <c r="K130" s="191">
        <v>0</v>
      </c>
      <c r="L130" s="191">
        <v>0</v>
      </c>
      <c r="M130" s="191" t="e">
        <f t="shared" si="8"/>
        <v>#DIV/0!</v>
      </c>
      <c r="N130" s="277" t="s">
        <v>800</v>
      </c>
    </row>
    <row r="131" spans="1:15" ht="15.75" customHeight="1" x14ac:dyDescent="0.25">
      <c r="A131" s="829"/>
      <c r="B131" s="30" t="s">
        <v>743</v>
      </c>
      <c r="C131" s="256" t="s">
        <v>744</v>
      </c>
      <c r="D131" s="256" t="s">
        <v>745</v>
      </c>
      <c r="E131" s="279" t="s">
        <v>176</v>
      </c>
      <c r="F131" s="61">
        <v>25</v>
      </c>
      <c r="G131" s="61">
        <v>100</v>
      </c>
      <c r="H131" s="61">
        <v>20</v>
      </c>
      <c r="I131" s="191">
        <v>15</v>
      </c>
      <c r="J131" s="281">
        <f t="shared" si="7"/>
        <v>0.75</v>
      </c>
      <c r="K131" s="191">
        <v>0</v>
      </c>
      <c r="L131" s="191">
        <v>0</v>
      </c>
      <c r="M131" s="191" t="e">
        <f t="shared" si="8"/>
        <v>#DIV/0!</v>
      </c>
      <c r="N131" s="270" t="s">
        <v>801</v>
      </c>
    </row>
    <row r="132" spans="1:15" ht="15.75" customHeight="1" x14ac:dyDescent="0.25">
      <c r="A132" s="829"/>
      <c r="B132" s="30" t="s">
        <v>747</v>
      </c>
      <c r="C132" s="256" t="s">
        <v>748</v>
      </c>
      <c r="D132" s="256" t="s">
        <v>749</v>
      </c>
      <c r="E132" s="279" t="s">
        <v>176</v>
      </c>
      <c r="F132" s="61">
        <v>25</v>
      </c>
      <c r="G132" s="61">
        <v>9</v>
      </c>
      <c r="H132" s="61">
        <v>1.4</v>
      </c>
      <c r="I132" s="191">
        <v>1.0780000000000001</v>
      </c>
      <c r="J132" s="281">
        <f t="shared" si="7"/>
        <v>0.77000000000000013</v>
      </c>
      <c r="K132" s="191">
        <v>0</v>
      </c>
      <c r="L132" s="191">
        <v>0</v>
      </c>
      <c r="M132" s="191" t="e">
        <f t="shared" si="8"/>
        <v>#DIV/0!</v>
      </c>
      <c r="N132" s="270" t="s">
        <v>802</v>
      </c>
    </row>
    <row r="133" spans="1:15" ht="15.75" customHeight="1" x14ac:dyDescent="0.25">
      <c r="A133" s="823"/>
      <c r="B133" s="260" t="s">
        <v>775</v>
      </c>
      <c r="C133" s="261" t="s">
        <v>752</v>
      </c>
      <c r="D133" s="261" t="s">
        <v>753</v>
      </c>
      <c r="E133" s="279" t="s">
        <v>176</v>
      </c>
      <c r="F133" s="279">
        <v>25</v>
      </c>
      <c r="G133" s="279">
        <v>1</v>
      </c>
      <c r="H133" s="61">
        <v>0.1</v>
      </c>
      <c r="I133" s="191">
        <v>8.5000000000000006E-2</v>
      </c>
      <c r="J133" s="281">
        <f t="shared" si="7"/>
        <v>0.85</v>
      </c>
      <c r="K133" s="191">
        <v>0</v>
      </c>
      <c r="L133" s="191">
        <v>0</v>
      </c>
      <c r="M133" s="191" t="e">
        <f t="shared" si="8"/>
        <v>#DIV/0!</v>
      </c>
      <c r="N133" s="270" t="s">
        <v>803</v>
      </c>
    </row>
    <row r="134" spans="1:15" ht="15.75" customHeight="1" x14ac:dyDescent="0.25">
      <c r="A134" s="874" t="s">
        <v>710</v>
      </c>
      <c r="B134" s="250" t="s">
        <v>739</v>
      </c>
      <c r="C134" s="251" t="s">
        <v>740</v>
      </c>
      <c r="D134" s="251" t="s">
        <v>741</v>
      </c>
      <c r="E134" s="279" t="s">
        <v>176</v>
      </c>
      <c r="F134" s="280">
        <v>25</v>
      </c>
      <c r="G134" s="280">
        <v>1000</v>
      </c>
      <c r="H134" s="61">
        <v>186</v>
      </c>
      <c r="I134" s="61">
        <v>160</v>
      </c>
      <c r="J134" s="74">
        <f t="shared" si="7"/>
        <v>0.86021505376344087</v>
      </c>
      <c r="K134" s="61">
        <v>0</v>
      </c>
      <c r="L134" s="61">
        <v>0</v>
      </c>
      <c r="M134" s="61" t="e">
        <f t="shared" si="8"/>
        <v>#DIV/0!</v>
      </c>
      <c r="N134" s="282" t="s">
        <v>804</v>
      </c>
    </row>
    <row r="135" spans="1:15" ht="15.75" customHeight="1" x14ac:dyDescent="0.25">
      <c r="A135" s="829"/>
      <c r="B135" s="30" t="s">
        <v>743</v>
      </c>
      <c r="C135" s="256" t="s">
        <v>744</v>
      </c>
      <c r="D135" s="256" t="s">
        <v>745</v>
      </c>
      <c r="E135" s="279" t="s">
        <v>176</v>
      </c>
      <c r="F135" s="61">
        <v>25</v>
      </c>
      <c r="G135" s="61">
        <v>100</v>
      </c>
      <c r="H135" s="61">
        <v>20</v>
      </c>
      <c r="I135" s="61">
        <v>17</v>
      </c>
      <c r="J135" s="74">
        <f t="shared" si="7"/>
        <v>0.85</v>
      </c>
      <c r="K135" s="61">
        <v>0</v>
      </c>
      <c r="L135" s="61">
        <v>0</v>
      </c>
      <c r="M135" s="61" t="e">
        <f t="shared" si="8"/>
        <v>#DIV/0!</v>
      </c>
      <c r="N135" s="256" t="s">
        <v>805</v>
      </c>
    </row>
    <row r="136" spans="1:15" ht="15.75" customHeight="1" x14ac:dyDescent="0.25">
      <c r="A136" s="829"/>
      <c r="B136" s="30" t="s">
        <v>747</v>
      </c>
      <c r="C136" s="256" t="s">
        <v>748</v>
      </c>
      <c r="D136" s="256" t="s">
        <v>749</v>
      </c>
      <c r="E136" s="279" t="s">
        <v>176</v>
      </c>
      <c r="F136" s="61">
        <v>25</v>
      </c>
      <c r="G136" s="61">
        <v>9</v>
      </c>
      <c r="H136" s="61">
        <v>1.4</v>
      </c>
      <c r="I136" s="61">
        <v>1.204</v>
      </c>
      <c r="J136" s="74">
        <f t="shared" si="7"/>
        <v>0.86</v>
      </c>
      <c r="K136" s="61">
        <v>0</v>
      </c>
      <c r="L136" s="61">
        <v>0</v>
      </c>
      <c r="M136" s="61" t="e">
        <f t="shared" si="8"/>
        <v>#DIV/0!</v>
      </c>
      <c r="N136" s="256" t="s">
        <v>806</v>
      </c>
    </row>
    <row r="137" spans="1:15" ht="15.75" customHeight="1" x14ac:dyDescent="0.25">
      <c r="A137" s="823"/>
      <c r="B137" s="260" t="s">
        <v>775</v>
      </c>
      <c r="C137" s="261" t="s">
        <v>752</v>
      </c>
      <c r="D137" s="261" t="s">
        <v>753</v>
      </c>
      <c r="E137" s="279" t="s">
        <v>176</v>
      </c>
      <c r="F137" s="279">
        <v>25</v>
      </c>
      <c r="G137" s="279">
        <v>1</v>
      </c>
      <c r="H137" s="61">
        <v>0.1</v>
      </c>
      <c r="I137" s="61">
        <v>0.09</v>
      </c>
      <c r="J137" s="74">
        <f t="shared" si="7"/>
        <v>0.89999999999999991</v>
      </c>
      <c r="K137" s="61">
        <v>0</v>
      </c>
      <c r="L137" s="61">
        <v>0</v>
      </c>
      <c r="M137" s="61" t="e">
        <f t="shared" si="8"/>
        <v>#DIV/0!</v>
      </c>
      <c r="N137" s="259" t="s">
        <v>807</v>
      </c>
    </row>
    <row r="138" spans="1:15" ht="15.75" customHeight="1" x14ac:dyDescent="0.25">
      <c r="A138" s="874" t="s">
        <v>712</v>
      </c>
      <c r="B138" s="250" t="s">
        <v>739</v>
      </c>
      <c r="C138" s="251" t="s">
        <v>740</v>
      </c>
      <c r="D138" s="251" t="s">
        <v>741</v>
      </c>
      <c r="E138" s="279" t="s">
        <v>176</v>
      </c>
      <c r="F138" s="280">
        <v>25</v>
      </c>
      <c r="G138" s="280">
        <v>1000</v>
      </c>
      <c r="H138" s="61">
        <v>186</v>
      </c>
      <c r="I138" s="61">
        <v>175</v>
      </c>
      <c r="J138" s="74">
        <f t="shared" si="7"/>
        <v>0.94086021505376349</v>
      </c>
      <c r="K138" s="61">
        <v>0</v>
      </c>
      <c r="L138" s="61">
        <v>0</v>
      </c>
      <c r="M138" s="61" t="e">
        <f t="shared" si="8"/>
        <v>#DIV/0!</v>
      </c>
      <c r="N138" s="282" t="s">
        <v>808</v>
      </c>
    </row>
    <row r="139" spans="1:15" ht="15.75" customHeight="1" x14ac:dyDescent="0.25">
      <c r="A139" s="829"/>
      <c r="B139" s="30" t="s">
        <v>743</v>
      </c>
      <c r="C139" s="256" t="s">
        <v>744</v>
      </c>
      <c r="D139" s="256" t="s">
        <v>745</v>
      </c>
      <c r="E139" s="279" t="s">
        <v>176</v>
      </c>
      <c r="F139" s="61">
        <v>25</v>
      </c>
      <c r="G139" s="61">
        <v>100</v>
      </c>
      <c r="H139" s="61">
        <v>20</v>
      </c>
      <c r="I139" s="61">
        <v>19</v>
      </c>
      <c r="J139" s="74">
        <f t="shared" si="7"/>
        <v>0.95</v>
      </c>
      <c r="K139" s="61">
        <v>0</v>
      </c>
      <c r="L139" s="61">
        <v>0</v>
      </c>
      <c r="M139" s="61" t="e">
        <f t="shared" si="8"/>
        <v>#DIV/0!</v>
      </c>
      <c r="N139" s="256" t="s">
        <v>809</v>
      </c>
    </row>
    <row r="140" spans="1:15" ht="15.75" customHeight="1" x14ac:dyDescent="0.25">
      <c r="A140" s="829"/>
      <c r="B140" s="30" t="s">
        <v>747</v>
      </c>
      <c r="C140" s="256" t="s">
        <v>748</v>
      </c>
      <c r="D140" s="256" t="s">
        <v>749</v>
      </c>
      <c r="E140" s="279" t="s">
        <v>176</v>
      </c>
      <c r="F140" s="61">
        <v>25</v>
      </c>
      <c r="G140" s="61">
        <v>9</v>
      </c>
      <c r="H140" s="61">
        <v>1.4</v>
      </c>
      <c r="I140" s="61">
        <v>1.33</v>
      </c>
      <c r="J140" s="74">
        <f t="shared" si="7"/>
        <v>0.95000000000000007</v>
      </c>
      <c r="K140" s="61">
        <v>0</v>
      </c>
      <c r="L140" s="61">
        <v>0</v>
      </c>
      <c r="M140" s="61" t="e">
        <f t="shared" si="8"/>
        <v>#DIV/0!</v>
      </c>
      <c r="N140" s="256" t="s">
        <v>810</v>
      </c>
    </row>
    <row r="141" spans="1:15" ht="15.75" customHeight="1" x14ac:dyDescent="0.25">
      <c r="A141" s="823"/>
      <c r="B141" s="260" t="s">
        <v>775</v>
      </c>
      <c r="C141" s="261" t="s">
        <v>752</v>
      </c>
      <c r="D141" s="261" t="s">
        <v>753</v>
      </c>
      <c r="E141" s="279" t="s">
        <v>176</v>
      </c>
      <c r="F141" s="279">
        <v>25</v>
      </c>
      <c r="G141" s="279">
        <v>1</v>
      </c>
      <c r="H141" s="61">
        <v>0.1</v>
      </c>
      <c r="I141" s="61">
        <v>9.5000000000000001E-2</v>
      </c>
      <c r="J141" s="74">
        <f t="shared" si="7"/>
        <v>0.95</v>
      </c>
      <c r="K141" s="61">
        <v>0</v>
      </c>
      <c r="L141" s="61">
        <v>0</v>
      </c>
      <c r="M141" s="61" t="e">
        <f t="shared" si="8"/>
        <v>#DIV/0!</v>
      </c>
      <c r="N141" s="259" t="s">
        <v>811</v>
      </c>
    </row>
    <row r="142" spans="1:15" ht="15.75" customHeight="1" x14ac:dyDescent="0.25">
      <c r="A142" s="874" t="s">
        <v>713</v>
      </c>
      <c r="B142" s="250" t="s">
        <v>739</v>
      </c>
      <c r="C142" s="251" t="s">
        <v>740</v>
      </c>
      <c r="D142" s="251" t="s">
        <v>741</v>
      </c>
      <c r="E142" s="279" t="s">
        <v>176</v>
      </c>
      <c r="F142" s="280">
        <v>25</v>
      </c>
      <c r="G142" s="280">
        <v>1000</v>
      </c>
      <c r="H142" s="61">
        <v>186</v>
      </c>
      <c r="I142" s="61">
        <v>191</v>
      </c>
      <c r="J142" s="74">
        <f t="shared" si="7"/>
        <v>1.0268817204301075</v>
      </c>
      <c r="K142" s="61">
        <v>0</v>
      </c>
      <c r="L142" s="61">
        <v>0</v>
      </c>
      <c r="M142" s="61" t="e">
        <f t="shared" si="8"/>
        <v>#DIV/0!</v>
      </c>
      <c r="N142" s="282" t="s">
        <v>812</v>
      </c>
      <c r="O142" s="83"/>
    </row>
    <row r="143" spans="1:15" ht="15.75" customHeight="1" x14ac:dyDescent="0.25">
      <c r="A143" s="829"/>
      <c r="B143" s="30" t="s">
        <v>743</v>
      </c>
      <c r="C143" s="256" t="s">
        <v>744</v>
      </c>
      <c r="D143" s="256" t="s">
        <v>745</v>
      </c>
      <c r="E143" s="279" t="s">
        <v>176</v>
      </c>
      <c r="F143" s="61">
        <v>25</v>
      </c>
      <c r="G143" s="61">
        <v>100</v>
      </c>
      <c r="H143" s="61">
        <v>20</v>
      </c>
      <c r="I143" s="61">
        <v>20</v>
      </c>
      <c r="J143" s="74">
        <f t="shared" si="7"/>
        <v>1</v>
      </c>
      <c r="K143" s="61">
        <v>0</v>
      </c>
      <c r="L143" s="61">
        <v>0</v>
      </c>
      <c r="M143" s="61" t="e">
        <f t="shared" si="8"/>
        <v>#DIV/0!</v>
      </c>
      <c r="N143" s="256" t="s">
        <v>813</v>
      </c>
      <c r="O143" s="83"/>
    </row>
    <row r="144" spans="1:15" ht="15.75" customHeight="1" x14ac:dyDescent="0.25">
      <c r="A144" s="829"/>
      <c r="B144" s="30" t="s">
        <v>747</v>
      </c>
      <c r="C144" s="256" t="s">
        <v>748</v>
      </c>
      <c r="D144" s="256" t="s">
        <v>749</v>
      </c>
      <c r="E144" s="279" t="s">
        <v>176</v>
      </c>
      <c r="F144" s="61">
        <v>25</v>
      </c>
      <c r="G144" s="61">
        <v>9</v>
      </c>
      <c r="H144" s="61">
        <v>1.4</v>
      </c>
      <c r="I144" s="61">
        <v>1.4</v>
      </c>
      <c r="J144" s="74">
        <f t="shared" si="7"/>
        <v>1</v>
      </c>
      <c r="K144" s="61">
        <v>0</v>
      </c>
      <c r="L144" s="61">
        <v>0</v>
      </c>
      <c r="M144" s="61" t="e">
        <f t="shared" si="8"/>
        <v>#DIV/0!</v>
      </c>
      <c r="N144" s="256" t="s">
        <v>814</v>
      </c>
      <c r="O144" s="83"/>
    </row>
    <row r="145" spans="1:15" ht="15.75" customHeight="1" x14ac:dyDescent="0.25">
      <c r="A145" s="823"/>
      <c r="B145" s="260" t="s">
        <v>775</v>
      </c>
      <c r="C145" s="261" t="s">
        <v>752</v>
      </c>
      <c r="D145" s="261" t="s">
        <v>753</v>
      </c>
      <c r="E145" s="279" t="s">
        <v>176</v>
      </c>
      <c r="F145" s="279">
        <v>25</v>
      </c>
      <c r="G145" s="279">
        <v>1</v>
      </c>
      <c r="H145" s="61">
        <v>0.1</v>
      </c>
      <c r="I145" s="61">
        <v>0.1</v>
      </c>
      <c r="J145" s="74">
        <f t="shared" si="7"/>
        <v>1</v>
      </c>
      <c r="K145" s="61">
        <v>0</v>
      </c>
      <c r="L145" s="61">
        <v>0</v>
      </c>
      <c r="M145" s="61" t="e">
        <f t="shared" si="8"/>
        <v>#DIV/0!</v>
      </c>
      <c r="N145" s="259" t="s">
        <v>815</v>
      </c>
      <c r="O145" s="83"/>
    </row>
    <row r="146" spans="1:15" ht="15.75" customHeight="1" x14ac:dyDescent="0.25">
      <c r="B146" s="196"/>
      <c r="C146" s="197"/>
      <c r="D146" s="197"/>
      <c r="J146" s="120"/>
      <c r="N146" s="197"/>
    </row>
    <row r="147" spans="1:15" ht="15.75" customHeight="1" x14ac:dyDescent="0.25">
      <c r="A147" s="870" t="s">
        <v>816</v>
      </c>
      <c r="B147" s="695"/>
      <c r="C147" s="695"/>
      <c r="D147" s="695"/>
      <c r="E147" s="695"/>
      <c r="F147" s="695"/>
      <c r="G147" s="695"/>
      <c r="H147" s="695"/>
      <c r="I147" s="695"/>
      <c r="J147" s="695"/>
      <c r="K147" s="695"/>
      <c r="L147" s="695"/>
      <c r="M147" s="695"/>
      <c r="N147" s="736"/>
    </row>
    <row r="148" spans="1:15" ht="44.25" customHeight="1" x14ac:dyDescent="0.25">
      <c r="A148" s="198" t="s">
        <v>26</v>
      </c>
      <c r="B148" s="199" t="s">
        <v>726</v>
      </c>
      <c r="C148" s="199" t="s">
        <v>727</v>
      </c>
      <c r="D148" s="199" t="s">
        <v>728</v>
      </c>
      <c r="E148" s="199" t="s">
        <v>729</v>
      </c>
      <c r="F148" s="199" t="s">
        <v>817</v>
      </c>
      <c r="G148" s="199" t="s">
        <v>731</v>
      </c>
      <c r="H148" s="199" t="s">
        <v>818</v>
      </c>
      <c r="I148" s="199" t="s">
        <v>819</v>
      </c>
      <c r="J148" s="241" t="s">
        <v>820</v>
      </c>
      <c r="K148" s="199" t="s">
        <v>735</v>
      </c>
      <c r="L148" s="199" t="s">
        <v>736</v>
      </c>
      <c r="M148" s="199" t="s">
        <v>737</v>
      </c>
      <c r="N148" s="200" t="s">
        <v>738</v>
      </c>
    </row>
    <row r="149" spans="1:15" ht="15.75" customHeight="1" x14ac:dyDescent="0.25">
      <c r="A149" s="874" t="s">
        <v>715</v>
      </c>
      <c r="B149" s="250" t="s">
        <v>739</v>
      </c>
      <c r="C149" s="251" t="s">
        <v>740</v>
      </c>
      <c r="D149" s="251" t="s">
        <v>741</v>
      </c>
      <c r="E149" s="279" t="s">
        <v>176</v>
      </c>
      <c r="F149" s="280">
        <v>25</v>
      </c>
      <c r="G149" s="280">
        <v>1000</v>
      </c>
      <c r="H149" s="61">
        <v>250</v>
      </c>
      <c r="I149" s="61">
        <v>0</v>
      </c>
      <c r="J149" s="74">
        <f>I149/H149</f>
        <v>0</v>
      </c>
      <c r="K149" s="61">
        <v>0</v>
      </c>
      <c r="L149" s="61">
        <v>0</v>
      </c>
      <c r="M149" s="61" t="e">
        <f>L149/K149</f>
        <v>#DIV/0!</v>
      </c>
      <c r="N149" s="282" t="s">
        <v>821</v>
      </c>
      <c r="O149" s="283"/>
    </row>
    <row r="150" spans="1:15" ht="15.75" customHeight="1" x14ac:dyDescent="0.25">
      <c r="A150" s="829"/>
      <c r="B150" s="30" t="s">
        <v>743</v>
      </c>
      <c r="C150" s="256" t="s">
        <v>744</v>
      </c>
      <c r="D150" s="256" t="s">
        <v>745</v>
      </c>
      <c r="E150" s="279" t="s">
        <v>176</v>
      </c>
      <c r="F150" s="61">
        <v>25</v>
      </c>
      <c r="G150" s="61">
        <v>100</v>
      </c>
      <c r="H150" s="61">
        <v>20</v>
      </c>
      <c r="I150" s="61">
        <v>2</v>
      </c>
      <c r="J150" s="74">
        <f>I150/H150</f>
        <v>0.1</v>
      </c>
      <c r="K150" s="61">
        <v>0</v>
      </c>
      <c r="L150" s="61">
        <v>0</v>
      </c>
      <c r="M150" s="61" t="e">
        <f>L150/K150</f>
        <v>#DIV/0!</v>
      </c>
      <c r="N150" s="256" t="s">
        <v>822</v>
      </c>
      <c r="O150" s="283"/>
    </row>
    <row r="151" spans="1:15" ht="15.75" customHeight="1" x14ac:dyDescent="0.25">
      <c r="A151" s="829"/>
      <c r="B151" s="30" t="s">
        <v>747</v>
      </c>
      <c r="C151" s="256" t="s">
        <v>748</v>
      </c>
      <c r="D151" s="256" t="s">
        <v>749</v>
      </c>
      <c r="E151" s="279" t="s">
        <v>176</v>
      </c>
      <c r="F151" s="61">
        <v>25</v>
      </c>
      <c r="G151" s="61">
        <v>9</v>
      </c>
      <c r="H151" s="191">
        <v>3.3</v>
      </c>
      <c r="I151" s="61">
        <v>7.4999999999999997E-2</v>
      </c>
      <c r="J151" s="74">
        <f>I151/H151</f>
        <v>2.2727272727272728E-2</v>
      </c>
      <c r="K151" s="61">
        <v>0</v>
      </c>
      <c r="L151" s="61">
        <v>0</v>
      </c>
      <c r="M151" s="61" t="e">
        <f>L151/K151</f>
        <v>#DIV/0!</v>
      </c>
      <c r="N151" s="256" t="s">
        <v>823</v>
      </c>
      <c r="O151" s="283"/>
    </row>
    <row r="152" spans="1:15" ht="15.75" customHeight="1" x14ac:dyDescent="0.25">
      <c r="A152" s="823"/>
      <c r="B152" s="260" t="s">
        <v>775</v>
      </c>
      <c r="C152" s="261" t="s">
        <v>752</v>
      </c>
      <c r="D152" s="261" t="s">
        <v>753</v>
      </c>
      <c r="E152" s="279" t="s">
        <v>176</v>
      </c>
      <c r="F152" s="279">
        <v>25</v>
      </c>
      <c r="G152" s="279">
        <v>1</v>
      </c>
      <c r="H152" s="191">
        <v>0.1</v>
      </c>
      <c r="I152" s="61">
        <v>0.01</v>
      </c>
      <c r="J152" s="74">
        <f>I152/H152</f>
        <v>9.9999999999999992E-2</v>
      </c>
      <c r="K152" s="61">
        <v>0</v>
      </c>
      <c r="L152" s="61">
        <v>0</v>
      </c>
      <c r="M152" s="61" t="e">
        <f>L152/K152</f>
        <v>#DIV/0!</v>
      </c>
      <c r="N152" s="259" t="s">
        <v>824</v>
      </c>
      <c r="O152" s="283"/>
    </row>
    <row r="153" spans="1:15" ht="15.75" customHeight="1" x14ac:dyDescent="0.25">
      <c r="A153" s="874" t="s">
        <v>716</v>
      </c>
      <c r="B153" s="250" t="s">
        <v>739</v>
      </c>
      <c r="C153" s="251" t="s">
        <v>740</v>
      </c>
      <c r="D153" s="251" t="s">
        <v>741</v>
      </c>
      <c r="E153" s="279" t="s">
        <v>176</v>
      </c>
      <c r="F153" s="280">
        <v>25</v>
      </c>
      <c r="G153" s="280">
        <v>1000</v>
      </c>
      <c r="H153" s="61">
        <v>250</v>
      </c>
      <c r="I153" s="61">
        <v>24</v>
      </c>
      <c r="J153" s="74">
        <v>0</v>
      </c>
      <c r="K153" s="61">
        <v>0</v>
      </c>
      <c r="L153" s="61">
        <v>0</v>
      </c>
      <c r="M153" s="61" t="s">
        <v>825</v>
      </c>
      <c r="N153" s="282" t="s">
        <v>826</v>
      </c>
      <c r="O153" s="284"/>
    </row>
    <row r="154" spans="1:15" ht="15.75" customHeight="1" x14ac:dyDescent="0.25">
      <c r="A154" s="829"/>
      <c r="B154" s="30" t="s">
        <v>743</v>
      </c>
      <c r="C154" s="256" t="s">
        <v>744</v>
      </c>
      <c r="D154" s="256" t="s">
        <v>745</v>
      </c>
      <c r="E154" s="279" t="s">
        <v>176</v>
      </c>
      <c r="F154" s="61">
        <v>25</v>
      </c>
      <c r="G154" s="61">
        <v>100</v>
      </c>
      <c r="H154" s="61">
        <v>20</v>
      </c>
      <c r="I154" s="680">
        <v>4</v>
      </c>
      <c r="J154" s="74">
        <f>I154/H154</f>
        <v>0.2</v>
      </c>
      <c r="K154" s="61">
        <v>0</v>
      </c>
      <c r="L154" s="61">
        <v>0</v>
      </c>
      <c r="M154" s="61" t="e">
        <f>L154/K154</f>
        <v>#DIV/0!</v>
      </c>
      <c r="N154" s="256" t="s">
        <v>827</v>
      </c>
      <c r="O154" s="284"/>
    </row>
    <row r="155" spans="1:15" ht="15.75" customHeight="1" x14ac:dyDescent="0.25">
      <c r="A155" s="829"/>
      <c r="B155" s="30" t="s">
        <v>747</v>
      </c>
      <c r="C155" s="256" t="s">
        <v>748</v>
      </c>
      <c r="D155" s="256" t="s">
        <v>749</v>
      </c>
      <c r="E155" s="279" t="s">
        <v>176</v>
      </c>
      <c r="F155" s="61">
        <v>25</v>
      </c>
      <c r="G155" s="61">
        <v>9</v>
      </c>
      <c r="H155" s="191">
        <v>3.3</v>
      </c>
      <c r="I155" s="680">
        <v>0.3</v>
      </c>
      <c r="J155" s="74">
        <f>I155/H155</f>
        <v>9.0909090909090912E-2</v>
      </c>
      <c r="K155" s="61">
        <v>0</v>
      </c>
      <c r="L155" s="61">
        <v>0</v>
      </c>
      <c r="M155" s="61" t="e">
        <f>L155/K155</f>
        <v>#DIV/0!</v>
      </c>
      <c r="N155" s="256" t="s">
        <v>828</v>
      </c>
      <c r="O155" s="284"/>
    </row>
    <row r="156" spans="1:15" ht="15.75" customHeight="1" x14ac:dyDescent="0.25">
      <c r="A156" s="823"/>
      <c r="B156" s="260" t="s">
        <v>775</v>
      </c>
      <c r="C156" s="261" t="s">
        <v>752</v>
      </c>
      <c r="D156" s="261" t="s">
        <v>753</v>
      </c>
      <c r="E156" s="279" t="s">
        <v>176</v>
      </c>
      <c r="F156" s="279">
        <v>25</v>
      </c>
      <c r="G156" s="279">
        <v>1</v>
      </c>
      <c r="H156" s="191">
        <v>0.1</v>
      </c>
      <c r="I156" s="680">
        <v>0.02</v>
      </c>
      <c r="J156" s="74">
        <f>I156/H156</f>
        <v>0.19999999999999998</v>
      </c>
      <c r="K156" s="61">
        <v>0</v>
      </c>
      <c r="L156" s="61">
        <v>0</v>
      </c>
      <c r="M156" s="61" t="e">
        <f>L156/K156</f>
        <v>#DIV/0!</v>
      </c>
      <c r="N156" s="259" t="s">
        <v>824</v>
      </c>
      <c r="O156" s="284"/>
    </row>
    <row r="157" spans="1:15" ht="99" customHeight="1" x14ac:dyDescent="0.25">
      <c r="A157" s="874" t="s">
        <v>717</v>
      </c>
      <c r="B157" s="250" t="s">
        <v>739</v>
      </c>
      <c r="C157" s="251" t="s">
        <v>740</v>
      </c>
      <c r="D157" s="251" t="s">
        <v>741</v>
      </c>
      <c r="E157" s="279" t="s">
        <v>176</v>
      </c>
      <c r="F157" s="280">
        <v>25</v>
      </c>
      <c r="G157" s="280">
        <v>1000</v>
      </c>
      <c r="H157" s="61">
        <v>250</v>
      </c>
      <c r="I157" s="680">
        <v>48</v>
      </c>
      <c r="J157" s="74">
        <v>0</v>
      </c>
      <c r="K157" s="61">
        <v>0</v>
      </c>
      <c r="L157" s="61">
        <v>0</v>
      </c>
      <c r="M157" s="61" t="s">
        <v>825</v>
      </c>
      <c r="N157" s="282" t="s">
        <v>829</v>
      </c>
      <c r="O157" s="284"/>
    </row>
    <row r="158" spans="1:15" ht="99" customHeight="1" x14ac:dyDescent="0.25">
      <c r="A158" s="829"/>
      <c r="B158" s="30" t="s">
        <v>743</v>
      </c>
      <c r="C158" s="256" t="s">
        <v>744</v>
      </c>
      <c r="D158" s="256" t="s">
        <v>745</v>
      </c>
      <c r="E158" s="279" t="s">
        <v>176</v>
      </c>
      <c r="F158" s="61">
        <v>25</v>
      </c>
      <c r="G158" s="61">
        <v>100</v>
      </c>
      <c r="H158" s="61">
        <v>20</v>
      </c>
      <c r="I158" s="61">
        <v>5</v>
      </c>
      <c r="J158" s="74">
        <f>I158/H158</f>
        <v>0.25</v>
      </c>
      <c r="K158" s="61">
        <v>0</v>
      </c>
      <c r="L158" s="61">
        <v>0</v>
      </c>
      <c r="M158" s="61" t="e">
        <f>L158/K158</f>
        <v>#DIV/0!</v>
      </c>
      <c r="N158" s="256" t="s">
        <v>830</v>
      </c>
      <c r="O158" s="284"/>
    </row>
    <row r="159" spans="1:15" ht="99" customHeight="1" x14ac:dyDescent="0.25">
      <c r="A159" s="829"/>
      <c r="B159" s="30" t="s">
        <v>747</v>
      </c>
      <c r="C159" s="256" t="s">
        <v>748</v>
      </c>
      <c r="D159" s="256" t="s">
        <v>749</v>
      </c>
      <c r="E159" s="279" t="s">
        <v>176</v>
      </c>
      <c r="F159" s="61">
        <v>25</v>
      </c>
      <c r="G159" s="61">
        <v>9</v>
      </c>
      <c r="H159" s="191">
        <v>3.3</v>
      </c>
      <c r="I159" s="61">
        <v>0.53</v>
      </c>
      <c r="J159" s="74">
        <f>I159/H159</f>
        <v>0.16060606060606061</v>
      </c>
      <c r="K159" s="61">
        <v>0</v>
      </c>
      <c r="L159" s="61">
        <v>0</v>
      </c>
      <c r="M159" s="61" t="e">
        <f>L159/K159</f>
        <v>#DIV/0!</v>
      </c>
      <c r="N159" s="256" t="s">
        <v>831</v>
      </c>
      <c r="O159" s="284"/>
    </row>
    <row r="160" spans="1:15" ht="99" customHeight="1" x14ac:dyDescent="0.25">
      <c r="A160" s="823"/>
      <c r="B160" s="260" t="s">
        <v>775</v>
      </c>
      <c r="C160" s="261" t="s">
        <v>752</v>
      </c>
      <c r="D160" s="261" t="s">
        <v>753</v>
      </c>
      <c r="E160" s="279" t="s">
        <v>176</v>
      </c>
      <c r="F160" s="279">
        <v>25</v>
      </c>
      <c r="G160" s="279">
        <v>1</v>
      </c>
      <c r="H160" s="191">
        <v>0.1</v>
      </c>
      <c r="I160" s="61">
        <v>3.2000000000000001E-2</v>
      </c>
      <c r="J160" s="74">
        <f>I160/H160</f>
        <v>0.32</v>
      </c>
      <c r="K160" s="61">
        <v>0</v>
      </c>
      <c r="L160" s="61">
        <v>0</v>
      </c>
      <c r="M160" s="61" t="e">
        <f>L160/K160</f>
        <v>#DIV/0!</v>
      </c>
      <c r="N160" s="259" t="s">
        <v>832</v>
      </c>
      <c r="O160" s="284"/>
    </row>
    <row r="161" spans="1:15" ht="99" customHeight="1" x14ac:dyDescent="0.25">
      <c r="A161" s="874" t="s">
        <v>718</v>
      </c>
      <c r="B161" s="250" t="s">
        <v>739</v>
      </c>
      <c r="C161" s="251" t="s">
        <v>740</v>
      </c>
      <c r="D161" s="251" t="s">
        <v>741</v>
      </c>
      <c r="E161" s="279" t="s">
        <v>176</v>
      </c>
      <c r="F161" s="280">
        <v>25</v>
      </c>
      <c r="G161" s="280">
        <v>1000</v>
      </c>
      <c r="H161" s="61">
        <v>250</v>
      </c>
      <c r="I161" s="61">
        <v>72</v>
      </c>
      <c r="J161" s="74">
        <v>0</v>
      </c>
      <c r="K161" s="61">
        <v>0</v>
      </c>
      <c r="L161" s="61">
        <v>0</v>
      </c>
      <c r="M161" s="61" t="s">
        <v>825</v>
      </c>
      <c r="N161" s="282" t="s">
        <v>833</v>
      </c>
      <c r="O161" s="284"/>
    </row>
    <row r="162" spans="1:15" ht="99" customHeight="1" x14ac:dyDescent="0.25">
      <c r="A162" s="829"/>
      <c r="B162" s="30" t="s">
        <v>743</v>
      </c>
      <c r="C162" s="256" t="s">
        <v>744</v>
      </c>
      <c r="D162" s="256" t="s">
        <v>745</v>
      </c>
      <c r="E162" s="279" t="s">
        <v>176</v>
      </c>
      <c r="F162" s="61">
        <v>25</v>
      </c>
      <c r="G162" s="61">
        <v>100</v>
      </c>
      <c r="H162" s="61">
        <v>20</v>
      </c>
      <c r="I162" s="61">
        <v>8</v>
      </c>
      <c r="J162" s="74">
        <f>I162/H162</f>
        <v>0.4</v>
      </c>
      <c r="K162" s="61">
        <v>0</v>
      </c>
      <c r="L162" s="61">
        <v>0</v>
      </c>
      <c r="M162" s="61" t="e">
        <f>L162/K162</f>
        <v>#DIV/0!</v>
      </c>
      <c r="N162" s="256" t="s">
        <v>834</v>
      </c>
      <c r="O162" s="284"/>
    </row>
    <row r="163" spans="1:15" ht="99" customHeight="1" x14ac:dyDescent="0.25">
      <c r="A163" s="829"/>
      <c r="B163" s="30" t="s">
        <v>747</v>
      </c>
      <c r="C163" s="256" t="s">
        <v>748</v>
      </c>
      <c r="D163" s="256" t="s">
        <v>749</v>
      </c>
      <c r="E163" s="279" t="s">
        <v>176</v>
      </c>
      <c r="F163" s="61">
        <v>25</v>
      </c>
      <c r="G163" s="61">
        <v>9</v>
      </c>
      <c r="H163" s="191">
        <v>3.3</v>
      </c>
      <c r="I163" s="61">
        <v>0.75</v>
      </c>
      <c r="J163" s="74">
        <f>I163/H163</f>
        <v>0.22727272727272729</v>
      </c>
      <c r="K163" s="61">
        <v>0</v>
      </c>
      <c r="L163" s="61">
        <v>0</v>
      </c>
      <c r="M163" s="61" t="e">
        <f>L163/K163</f>
        <v>#DIV/0!</v>
      </c>
      <c r="N163" s="256" t="s">
        <v>835</v>
      </c>
      <c r="O163" s="284"/>
    </row>
    <row r="164" spans="1:15" ht="99" customHeight="1" x14ac:dyDescent="0.25">
      <c r="A164" s="823"/>
      <c r="B164" s="260" t="s">
        <v>775</v>
      </c>
      <c r="C164" s="261" t="s">
        <v>752</v>
      </c>
      <c r="D164" s="261" t="s">
        <v>753</v>
      </c>
      <c r="E164" s="279" t="s">
        <v>176</v>
      </c>
      <c r="F164" s="279">
        <v>25</v>
      </c>
      <c r="G164" s="279">
        <v>1</v>
      </c>
      <c r="H164" s="191">
        <v>0.1</v>
      </c>
      <c r="I164" s="61">
        <v>4.4999999999999998E-2</v>
      </c>
      <c r="J164" s="74">
        <f>I164/H164</f>
        <v>0.44999999999999996</v>
      </c>
      <c r="K164" s="61">
        <v>0</v>
      </c>
      <c r="L164" s="61">
        <v>0</v>
      </c>
      <c r="M164" s="61" t="e">
        <f>L164/K164</f>
        <v>#DIV/0!</v>
      </c>
      <c r="N164" s="259" t="s">
        <v>832</v>
      </c>
      <c r="O164" s="284"/>
    </row>
    <row r="165" spans="1:15" ht="83.25" customHeight="1" x14ac:dyDescent="0.25">
      <c r="A165" s="874" t="s">
        <v>719</v>
      </c>
      <c r="B165" s="250" t="s">
        <v>739</v>
      </c>
      <c r="C165" s="251" t="s">
        <v>740</v>
      </c>
      <c r="D165" s="251" t="s">
        <v>741</v>
      </c>
      <c r="E165" s="279" t="s">
        <v>176</v>
      </c>
      <c r="F165" s="280">
        <v>25</v>
      </c>
      <c r="G165" s="280">
        <v>1000</v>
      </c>
      <c r="H165" s="61">
        <v>250</v>
      </c>
      <c r="I165" s="61">
        <v>96</v>
      </c>
      <c r="J165" s="74">
        <v>0</v>
      </c>
      <c r="K165" s="61">
        <v>0</v>
      </c>
      <c r="L165" s="61">
        <v>0</v>
      </c>
      <c r="M165" s="61" t="s">
        <v>825</v>
      </c>
      <c r="N165" s="282" t="s">
        <v>836</v>
      </c>
      <c r="O165" s="284"/>
    </row>
    <row r="166" spans="1:15" ht="83.25" customHeight="1" x14ac:dyDescent="0.25">
      <c r="A166" s="829"/>
      <c r="B166" s="30" t="s">
        <v>743</v>
      </c>
      <c r="C166" s="256" t="s">
        <v>744</v>
      </c>
      <c r="D166" s="256" t="s">
        <v>745</v>
      </c>
      <c r="E166" s="279" t="s">
        <v>176</v>
      </c>
      <c r="F166" s="61">
        <v>25</v>
      </c>
      <c r="G166" s="61">
        <v>100</v>
      </c>
      <c r="H166" s="61">
        <v>20</v>
      </c>
      <c r="I166" s="61">
        <v>10</v>
      </c>
      <c r="J166" s="74">
        <f>I166/H166</f>
        <v>0.5</v>
      </c>
      <c r="K166" s="61">
        <v>0</v>
      </c>
      <c r="L166" s="61">
        <v>0</v>
      </c>
      <c r="M166" s="61" t="e">
        <f>L166/K166</f>
        <v>#DIV/0!</v>
      </c>
      <c r="N166" s="256" t="s">
        <v>837</v>
      </c>
      <c r="O166" s="284"/>
    </row>
    <row r="167" spans="1:15" ht="83.25" customHeight="1" x14ac:dyDescent="0.25">
      <c r="A167" s="829"/>
      <c r="B167" s="30" t="s">
        <v>747</v>
      </c>
      <c r="C167" s="256" t="s">
        <v>748</v>
      </c>
      <c r="D167" s="256" t="s">
        <v>749</v>
      </c>
      <c r="E167" s="279" t="s">
        <v>176</v>
      </c>
      <c r="F167" s="61">
        <v>25</v>
      </c>
      <c r="G167" s="61">
        <v>9</v>
      </c>
      <c r="H167" s="191">
        <v>3.3</v>
      </c>
      <c r="I167" s="61">
        <v>0.97499999999999998</v>
      </c>
      <c r="J167" s="74">
        <f>I167/H167</f>
        <v>0.29545454545454547</v>
      </c>
      <c r="K167" s="61">
        <v>0</v>
      </c>
      <c r="L167" s="61">
        <v>0</v>
      </c>
      <c r="M167" s="61" t="e">
        <f>L167/K167</f>
        <v>#DIV/0!</v>
      </c>
      <c r="N167" s="256" t="s">
        <v>838</v>
      </c>
      <c r="O167" s="284"/>
    </row>
    <row r="168" spans="1:15" ht="83.25" customHeight="1" x14ac:dyDescent="0.25">
      <c r="A168" s="823"/>
      <c r="B168" s="260" t="s">
        <v>775</v>
      </c>
      <c r="C168" s="261" t="s">
        <v>752</v>
      </c>
      <c r="D168" s="261" t="s">
        <v>753</v>
      </c>
      <c r="E168" s="279" t="s">
        <v>176</v>
      </c>
      <c r="F168" s="279">
        <v>25</v>
      </c>
      <c r="G168" s="279">
        <v>1</v>
      </c>
      <c r="H168" s="61">
        <v>0.1</v>
      </c>
      <c r="I168" s="61">
        <v>5.8000000000000003E-2</v>
      </c>
      <c r="J168" s="74">
        <f>I168/H168</f>
        <v>0.57999999999999996</v>
      </c>
      <c r="K168" s="61">
        <v>0</v>
      </c>
      <c r="L168" s="61">
        <v>0</v>
      </c>
      <c r="M168" s="61" t="e">
        <f>L168/K168</f>
        <v>#DIV/0!</v>
      </c>
      <c r="N168" s="259" t="s">
        <v>839</v>
      </c>
      <c r="O168" s="284"/>
    </row>
    <row r="169" spans="1:15" ht="83.25" customHeight="1" x14ac:dyDescent="0.25">
      <c r="A169" s="874" t="s">
        <v>720</v>
      </c>
      <c r="B169" s="250" t="s">
        <v>739</v>
      </c>
      <c r="C169" s="251" t="s">
        <v>740</v>
      </c>
      <c r="D169" s="251" t="s">
        <v>741</v>
      </c>
      <c r="E169" s="279" t="s">
        <v>176</v>
      </c>
      <c r="F169" s="280">
        <v>25</v>
      </c>
      <c r="G169" s="280">
        <v>1000</v>
      </c>
      <c r="H169" s="61">
        <v>250</v>
      </c>
      <c r="I169" s="61">
        <v>120</v>
      </c>
      <c r="J169" s="74">
        <v>0</v>
      </c>
      <c r="K169" s="61">
        <v>0</v>
      </c>
      <c r="L169" s="61">
        <v>0</v>
      </c>
      <c r="M169" s="61" t="s">
        <v>825</v>
      </c>
      <c r="N169" s="282" t="s">
        <v>840</v>
      </c>
      <c r="O169" s="284"/>
    </row>
    <row r="170" spans="1:15" ht="83.25" customHeight="1" x14ac:dyDescent="0.25">
      <c r="A170" s="829"/>
      <c r="B170" s="30" t="s">
        <v>743</v>
      </c>
      <c r="C170" s="256" t="s">
        <v>744</v>
      </c>
      <c r="D170" s="256" t="s">
        <v>745</v>
      </c>
      <c r="E170" s="279" t="s">
        <v>176</v>
      </c>
      <c r="F170" s="61">
        <v>25</v>
      </c>
      <c r="G170" s="61">
        <v>100</v>
      </c>
      <c r="H170" s="61">
        <v>20</v>
      </c>
      <c r="I170" s="61">
        <v>12</v>
      </c>
      <c r="J170" s="74">
        <f>I170/H170</f>
        <v>0.6</v>
      </c>
      <c r="K170" s="61">
        <v>0</v>
      </c>
      <c r="L170" s="61">
        <v>0</v>
      </c>
      <c r="M170" s="61" t="e">
        <f>L170/K170</f>
        <v>#DIV/0!</v>
      </c>
      <c r="N170" s="256" t="s">
        <v>841</v>
      </c>
      <c r="O170" s="284"/>
    </row>
    <row r="171" spans="1:15" ht="83.25" customHeight="1" x14ac:dyDescent="0.25">
      <c r="A171" s="829"/>
      <c r="B171" s="30" t="s">
        <v>747</v>
      </c>
      <c r="C171" s="256" t="s">
        <v>748</v>
      </c>
      <c r="D171" s="256" t="s">
        <v>749</v>
      </c>
      <c r="E171" s="279" t="s">
        <v>176</v>
      </c>
      <c r="F171" s="61">
        <v>25</v>
      </c>
      <c r="G171" s="61">
        <v>9</v>
      </c>
      <c r="H171" s="61">
        <v>3.3</v>
      </c>
      <c r="I171" s="61">
        <v>1.2</v>
      </c>
      <c r="J171" s="74">
        <f>I171/H171</f>
        <v>0.36363636363636365</v>
      </c>
      <c r="K171" s="61">
        <v>0</v>
      </c>
      <c r="L171" s="61">
        <v>0</v>
      </c>
      <c r="M171" s="61" t="e">
        <f>L171/K171</f>
        <v>#DIV/0!</v>
      </c>
      <c r="N171" s="256" t="s">
        <v>842</v>
      </c>
      <c r="O171" s="284"/>
    </row>
    <row r="172" spans="1:15" ht="83.25" customHeight="1" x14ac:dyDescent="0.25">
      <c r="A172" s="823"/>
      <c r="B172" s="260" t="s">
        <v>775</v>
      </c>
      <c r="C172" s="261" t="s">
        <v>752</v>
      </c>
      <c r="D172" s="261" t="s">
        <v>753</v>
      </c>
      <c r="E172" s="279" t="s">
        <v>176</v>
      </c>
      <c r="F172" s="279">
        <v>25</v>
      </c>
      <c r="G172" s="279">
        <v>1</v>
      </c>
      <c r="H172" s="61">
        <v>0.1</v>
      </c>
      <c r="I172" s="61">
        <v>7.0999999999999994E-2</v>
      </c>
      <c r="J172" s="74">
        <f>I172/H172</f>
        <v>0.70999999999999985</v>
      </c>
      <c r="K172" s="61">
        <v>0</v>
      </c>
      <c r="L172" s="61">
        <v>0</v>
      </c>
      <c r="M172" s="61" t="e">
        <f>L172/K172</f>
        <v>#DIV/0!</v>
      </c>
      <c r="N172" s="259" t="s">
        <v>843</v>
      </c>
      <c r="O172" s="284"/>
    </row>
    <row r="173" spans="1:15" ht="83.25" customHeight="1" x14ac:dyDescent="0.25">
      <c r="A173" s="874" t="s">
        <v>707</v>
      </c>
      <c r="B173" s="250" t="s">
        <v>739</v>
      </c>
      <c r="C173" s="251" t="s">
        <v>740</v>
      </c>
      <c r="D173" s="251" t="s">
        <v>741</v>
      </c>
      <c r="E173" s="279" t="s">
        <v>176</v>
      </c>
      <c r="F173" s="280">
        <v>25</v>
      </c>
      <c r="G173" s="280">
        <v>1000</v>
      </c>
      <c r="H173" s="61">
        <v>250</v>
      </c>
      <c r="I173" s="61">
        <v>144</v>
      </c>
      <c r="J173" s="74">
        <v>0</v>
      </c>
      <c r="K173" s="61">
        <v>0</v>
      </c>
      <c r="L173" s="61">
        <v>0</v>
      </c>
      <c r="M173" s="61" t="s">
        <v>825</v>
      </c>
      <c r="N173" s="282" t="s">
        <v>844</v>
      </c>
      <c r="O173" s="284"/>
    </row>
    <row r="174" spans="1:15" ht="83.25" customHeight="1" x14ac:dyDescent="0.25">
      <c r="A174" s="829"/>
      <c r="B174" s="30" t="s">
        <v>743</v>
      </c>
      <c r="C174" s="256" t="s">
        <v>744</v>
      </c>
      <c r="D174" s="256" t="s">
        <v>745</v>
      </c>
      <c r="E174" s="279" t="s">
        <v>176</v>
      </c>
      <c r="F174" s="61">
        <v>25</v>
      </c>
      <c r="G174" s="61">
        <v>100</v>
      </c>
      <c r="H174" s="61">
        <v>20</v>
      </c>
      <c r="I174" s="61">
        <v>14</v>
      </c>
      <c r="J174" s="74">
        <f t="shared" ref="J174:J192" si="9">I174/H174</f>
        <v>0.7</v>
      </c>
      <c r="K174" s="61">
        <v>0</v>
      </c>
      <c r="L174" s="61">
        <v>0</v>
      </c>
      <c r="M174" s="61" t="e">
        <f>L174/K174</f>
        <v>#DIV/0!</v>
      </c>
      <c r="N174" s="256" t="s">
        <v>845</v>
      </c>
      <c r="O174" s="284"/>
    </row>
    <row r="175" spans="1:15" ht="83.25" customHeight="1" x14ac:dyDescent="0.25">
      <c r="A175" s="829"/>
      <c r="B175" s="30" t="s">
        <v>747</v>
      </c>
      <c r="C175" s="256" t="s">
        <v>748</v>
      </c>
      <c r="D175" s="256" t="s">
        <v>749</v>
      </c>
      <c r="E175" s="279" t="s">
        <v>176</v>
      </c>
      <c r="F175" s="61">
        <v>25</v>
      </c>
      <c r="G175" s="61">
        <v>9</v>
      </c>
      <c r="H175" s="61">
        <v>3.3</v>
      </c>
      <c r="I175" s="61">
        <v>1.43</v>
      </c>
      <c r="J175" s="74">
        <f t="shared" si="9"/>
        <v>0.43333333333333335</v>
      </c>
      <c r="K175" s="61">
        <v>0</v>
      </c>
      <c r="L175" s="61">
        <v>0</v>
      </c>
      <c r="M175" s="61" t="e">
        <f>L175/K175</f>
        <v>#DIV/0!</v>
      </c>
      <c r="N175" s="256" t="s">
        <v>846</v>
      </c>
      <c r="O175" s="284"/>
    </row>
    <row r="176" spans="1:15" ht="83.25" customHeight="1" x14ac:dyDescent="0.25">
      <c r="A176" s="823"/>
      <c r="B176" s="260" t="s">
        <v>775</v>
      </c>
      <c r="C176" s="261" t="s">
        <v>752</v>
      </c>
      <c r="D176" s="261" t="s">
        <v>753</v>
      </c>
      <c r="E176" s="279" t="s">
        <v>176</v>
      </c>
      <c r="F176" s="279">
        <v>25</v>
      </c>
      <c r="G176" s="279">
        <v>1</v>
      </c>
      <c r="H176" s="61">
        <v>0.1</v>
      </c>
      <c r="I176" s="61">
        <v>8.4000000000000005E-2</v>
      </c>
      <c r="J176" s="74">
        <f t="shared" si="9"/>
        <v>0.84</v>
      </c>
      <c r="K176" s="61">
        <v>0</v>
      </c>
      <c r="L176" s="61">
        <v>0</v>
      </c>
      <c r="M176" s="61" t="e">
        <f>L176/K176</f>
        <v>#DIV/0!</v>
      </c>
      <c r="N176" s="259" t="s">
        <v>847</v>
      </c>
      <c r="O176" s="284"/>
    </row>
    <row r="177" spans="1:15" ht="15.75" customHeight="1" x14ac:dyDescent="0.25">
      <c r="A177" s="874" t="s">
        <v>709</v>
      </c>
      <c r="B177" s="250" t="s">
        <v>739</v>
      </c>
      <c r="C177" s="251" t="s">
        <v>740</v>
      </c>
      <c r="D177" s="251" t="s">
        <v>741</v>
      </c>
      <c r="E177" s="279" t="s">
        <v>176</v>
      </c>
      <c r="F177" s="280">
        <v>25</v>
      </c>
      <c r="G177" s="280">
        <v>1000</v>
      </c>
      <c r="H177" s="61">
        <v>250</v>
      </c>
      <c r="I177" s="61">
        <v>192</v>
      </c>
      <c r="J177" s="74">
        <f t="shared" si="9"/>
        <v>0.76800000000000002</v>
      </c>
      <c r="K177" s="61">
        <v>0</v>
      </c>
      <c r="L177" s="61">
        <v>0</v>
      </c>
      <c r="M177" s="61" t="s">
        <v>825</v>
      </c>
      <c r="N177" s="282" t="s">
        <v>848</v>
      </c>
      <c r="O177" s="284"/>
    </row>
    <row r="178" spans="1:15" ht="15.75" customHeight="1" x14ac:dyDescent="0.25">
      <c r="A178" s="829"/>
      <c r="B178" s="30" t="s">
        <v>743</v>
      </c>
      <c r="C178" s="256" t="s">
        <v>744</v>
      </c>
      <c r="D178" s="256" t="s">
        <v>745</v>
      </c>
      <c r="E178" s="279" t="s">
        <v>176</v>
      </c>
      <c r="F178" s="61">
        <v>25</v>
      </c>
      <c r="G178" s="61">
        <v>100</v>
      </c>
      <c r="H178" s="61">
        <v>20</v>
      </c>
      <c r="I178" s="61">
        <v>17</v>
      </c>
      <c r="J178" s="74">
        <f t="shared" si="9"/>
        <v>0.85</v>
      </c>
      <c r="K178" s="61">
        <v>0</v>
      </c>
      <c r="L178" s="61">
        <v>0</v>
      </c>
      <c r="M178" s="61" t="e">
        <f>L178/K178</f>
        <v>#DIV/0!</v>
      </c>
      <c r="N178" s="256" t="s">
        <v>849</v>
      </c>
      <c r="O178" s="284"/>
    </row>
    <row r="179" spans="1:15" ht="15.75" customHeight="1" x14ac:dyDescent="0.25">
      <c r="A179" s="829"/>
      <c r="B179" s="30" t="s">
        <v>747</v>
      </c>
      <c r="C179" s="256" t="s">
        <v>748</v>
      </c>
      <c r="D179" s="256" t="s">
        <v>749</v>
      </c>
      <c r="E179" s="279" t="s">
        <v>176</v>
      </c>
      <c r="F179" s="61">
        <v>25</v>
      </c>
      <c r="G179" s="61">
        <v>9</v>
      </c>
      <c r="H179" s="61">
        <v>3.3</v>
      </c>
      <c r="I179" s="61">
        <v>1.925</v>
      </c>
      <c r="J179" s="74">
        <f t="shared" si="9"/>
        <v>0.58333333333333337</v>
      </c>
      <c r="K179" s="61">
        <v>0</v>
      </c>
      <c r="L179" s="61">
        <v>0</v>
      </c>
      <c r="M179" s="61" t="e">
        <f>L179/K179</f>
        <v>#DIV/0!</v>
      </c>
      <c r="N179" s="256" t="s">
        <v>850</v>
      </c>
      <c r="O179" s="284"/>
    </row>
    <row r="180" spans="1:15" ht="15.75" customHeight="1" x14ac:dyDescent="0.25">
      <c r="A180" s="823"/>
      <c r="B180" s="260" t="s">
        <v>775</v>
      </c>
      <c r="C180" s="261" t="s">
        <v>752</v>
      </c>
      <c r="D180" s="261" t="s">
        <v>753</v>
      </c>
      <c r="E180" s="279" t="s">
        <v>176</v>
      </c>
      <c r="F180" s="279">
        <v>25</v>
      </c>
      <c r="G180" s="279">
        <v>1</v>
      </c>
      <c r="H180" s="61">
        <v>0.15</v>
      </c>
      <c r="I180" s="61">
        <v>0.112</v>
      </c>
      <c r="J180" s="74">
        <f t="shared" si="9"/>
        <v>0.7466666666666667</v>
      </c>
      <c r="K180" s="61">
        <v>0</v>
      </c>
      <c r="L180" s="61">
        <v>0</v>
      </c>
      <c r="M180" s="61" t="e">
        <f>L180/K180</f>
        <v>#DIV/0!</v>
      </c>
      <c r="N180" s="259" t="s">
        <v>851</v>
      </c>
      <c r="O180" s="284"/>
    </row>
    <row r="181" spans="1:15" ht="15.75" customHeight="1" x14ac:dyDescent="0.25">
      <c r="A181" s="874" t="s">
        <v>710</v>
      </c>
      <c r="B181" s="250" t="s">
        <v>739</v>
      </c>
      <c r="C181" s="251" t="s">
        <v>740</v>
      </c>
      <c r="D181" s="251" t="s">
        <v>741</v>
      </c>
      <c r="E181" s="279" t="s">
        <v>176</v>
      </c>
      <c r="F181" s="280">
        <v>25</v>
      </c>
      <c r="G181" s="280">
        <v>1000</v>
      </c>
      <c r="H181" s="61">
        <v>250</v>
      </c>
      <c r="I181" s="61">
        <v>216</v>
      </c>
      <c r="J181" s="74">
        <f t="shared" si="9"/>
        <v>0.86399999999999999</v>
      </c>
      <c r="K181" s="61">
        <v>0</v>
      </c>
      <c r="L181" s="61">
        <v>0</v>
      </c>
      <c r="M181" s="61" t="s">
        <v>825</v>
      </c>
      <c r="N181" s="282" t="s">
        <v>852</v>
      </c>
      <c r="O181" s="284"/>
    </row>
    <row r="182" spans="1:15" ht="15.75" customHeight="1" x14ac:dyDescent="0.25">
      <c r="A182" s="829"/>
      <c r="B182" s="30" t="s">
        <v>743</v>
      </c>
      <c r="C182" s="256" t="s">
        <v>744</v>
      </c>
      <c r="D182" s="256" t="s">
        <v>745</v>
      </c>
      <c r="E182" s="279" t="s">
        <v>176</v>
      </c>
      <c r="F182" s="61">
        <v>25</v>
      </c>
      <c r="G182" s="61">
        <v>100</v>
      </c>
      <c r="H182" s="61">
        <v>20</v>
      </c>
      <c r="I182" s="61">
        <v>18</v>
      </c>
      <c r="J182" s="74">
        <f t="shared" si="9"/>
        <v>0.9</v>
      </c>
      <c r="K182" s="61">
        <v>0</v>
      </c>
      <c r="L182" s="61">
        <v>0</v>
      </c>
      <c r="M182" s="61" t="e">
        <f>L182/K182</f>
        <v>#DIV/0!</v>
      </c>
      <c r="N182" s="256" t="s">
        <v>853</v>
      </c>
      <c r="O182" s="284"/>
    </row>
    <row r="183" spans="1:15" ht="15.75" customHeight="1" x14ac:dyDescent="0.25">
      <c r="A183" s="829"/>
      <c r="B183" s="30" t="s">
        <v>747</v>
      </c>
      <c r="C183" s="256" t="s">
        <v>748</v>
      </c>
      <c r="D183" s="256" t="s">
        <v>749</v>
      </c>
      <c r="E183" s="279" t="s">
        <v>176</v>
      </c>
      <c r="F183" s="61">
        <v>25</v>
      </c>
      <c r="G183" s="61">
        <v>9</v>
      </c>
      <c r="H183" s="61">
        <v>3.3</v>
      </c>
      <c r="I183" s="61">
        <v>2.1749999999999998</v>
      </c>
      <c r="J183" s="74">
        <f t="shared" si="9"/>
        <v>0.65909090909090906</v>
      </c>
      <c r="K183" s="61">
        <v>0</v>
      </c>
      <c r="L183" s="61">
        <v>0</v>
      </c>
      <c r="M183" s="61" t="e">
        <f>L183/K183</f>
        <v>#DIV/0!</v>
      </c>
      <c r="N183" s="256" t="s">
        <v>854</v>
      </c>
      <c r="O183" s="284"/>
    </row>
    <row r="184" spans="1:15" ht="15.75" customHeight="1" x14ac:dyDescent="0.25">
      <c r="A184" s="823"/>
      <c r="B184" s="260" t="s">
        <v>775</v>
      </c>
      <c r="C184" s="261" t="s">
        <v>752</v>
      </c>
      <c r="D184" s="261" t="s">
        <v>753</v>
      </c>
      <c r="E184" s="279" t="s">
        <v>176</v>
      </c>
      <c r="F184" s="279">
        <v>25</v>
      </c>
      <c r="G184" s="279">
        <v>1</v>
      </c>
      <c r="H184" s="61">
        <v>0.15</v>
      </c>
      <c r="I184" s="61">
        <v>0.127</v>
      </c>
      <c r="J184" s="74">
        <f t="shared" si="9"/>
        <v>0.84666666666666668</v>
      </c>
      <c r="K184" s="61">
        <v>0</v>
      </c>
      <c r="L184" s="61">
        <v>0</v>
      </c>
      <c r="M184" s="61" t="e">
        <f>L184/K184</f>
        <v>#DIV/0!</v>
      </c>
      <c r="N184" s="259" t="s">
        <v>851</v>
      </c>
      <c r="O184" s="284"/>
    </row>
    <row r="185" spans="1:15" ht="15.75" customHeight="1" x14ac:dyDescent="0.25">
      <c r="A185" s="874" t="s">
        <v>712</v>
      </c>
      <c r="B185" s="250" t="s">
        <v>739</v>
      </c>
      <c r="C185" s="251" t="s">
        <v>740</v>
      </c>
      <c r="D185" s="251" t="s">
        <v>741</v>
      </c>
      <c r="E185" s="279" t="s">
        <v>176</v>
      </c>
      <c r="F185" s="280">
        <v>25</v>
      </c>
      <c r="G185" s="280">
        <v>1000</v>
      </c>
      <c r="H185" s="61">
        <v>250</v>
      </c>
      <c r="I185" s="61">
        <v>239</v>
      </c>
      <c r="J185" s="74">
        <f t="shared" si="9"/>
        <v>0.95599999999999996</v>
      </c>
      <c r="K185" s="61">
        <v>0</v>
      </c>
      <c r="L185" s="61">
        <v>0</v>
      </c>
      <c r="M185" s="61" t="s">
        <v>825</v>
      </c>
      <c r="N185" s="282" t="s">
        <v>855</v>
      </c>
      <c r="O185" s="284"/>
    </row>
    <row r="186" spans="1:15" ht="15.75" customHeight="1" x14ac:dyDescent="0.25">
      <c r="A186" s="829"/>
      <c r="B186" s="30" t="s">
        <v>743</v>
      </c>
      <c r="C186" s="256" t="s">
        <v>744</v>
      </c>
      <c r="D186" s="256" t="s">
        <v>745</v>
      </c>
      <c r="E186" s="279" t="s">
        <v>176</v>
      </c>
      <c r="F186" s="61">
        <v>25</v>
      </c>
      <c r="G186" s="61">
        <v>100</v>
      </c>
      <c r="H186" s="61">
        <v>20</v>
      </c>
      <c r="I186" s="61">
        <v>19</v>
      </c>
      <c r="J186" s="74">
        <f t="shared" si="9"/>
        <v>0.95</v>
      </c>
      <c r="K186" s="61">
        <v>0</v>
      </c>
      <c r="L186" s="61">
        <v>0</v>
      </c>
      <c r="M186" s="61" t="e">
        <f>L186/K186</f>
        <v>#DIV/0!</v>
      </c>
      <c r="N186" s="256" t="s">
        <v>856</v>
      </c>
      <c r="O186" s="284"/>
    </row>
    <row r="187" spans="1:15" ht="15.75" customHeight="1" x14ac:dyDescent="0.25">
      <c r="A187" s="829"/>
      <c r="B187" s="30" t="s">
        <v>747</v>
      </c>
      <c r="C187" s="256" t="s">
        <v>748</v>
      </c>
      <c r="D187" s="256" t="s">
        <v>749</v>
      </c>
      <c r="E187" s="279" t="s">
        <v>176</v>
      </c>
      <c r="F187" s="61">
        <v>25</v>
      </c>
      <c r="G187" s="61">
        <v>9</v>
      </c>
      <c r="H187" s="61">
        <v>3.3</v>
      </c>
      <c r="I187" s="61">
        <v>2.4249999999999998</v>
      </c>
      <c r="J187" s="74">
        <f t="shared" si="9"/>
        <v>0.73484848484848486</v>
      </c>
      <c r="K187" s="61">
        <v>0</v>
      </c>
      <c r="L187" s="61">
        <v>0</v>
      </c>
      <c r="M187" s="61" t="e">
        <f>L187/K187</f>
        <v>#DIV/0!</v>
      </c>
      <c r="N187" s="256" t="s">
        <v>857</v>
      </c>
      <c r="O187" s="284"/>
    </row>
    <row r="188" spans="1:15" ht="15.75" customHeight="1" x14ac:dyDescent="0.25">
      <c r="A188" s="823"/>
      <c r="B188" s="260" t="s">
        <v>775</v>
      </c>
      <c r="C188" s="261" t="s">
        <v>752</v>
      </c>
      <c r="D188" s="261" t="s">
        <v>753</v>
      </c>
      <c r="E188" s="279" t="s">
        <v>176</v>
      </c>
      <c r="F188" s="279">
        <v>25</v>
      </c>
      <c r="G188" s="279">
        <v>1</v>
      </c>
      <c r="H188" s="61">
        <v>0.15</v>
      </c>
      <c r="I188" s="61">
        <v>0.14000000000000001</v>
      </c>
      <c r="J188" s="74">
        <f t="shared" si="9"/>
        <v>0.93333333333333346</v>
      </c>
      <c r="K188" s="61">
        <v>0</v>
      </c>
      <c r="L188" s="61">
        <v>0</v>
      </c>
      <c r="M188" s="61" t="e">
        <f>L188/K188</f>
        <v>#DIV/0!</v>
      </c>
      <c r="N188" s="259" t="s">
        <v>858</v>
      </c>
      <c r="O188" s="284"/>
    </row>
    <row r="189" spans="1:15" ht="15.75" customHeight="1" x14ac:dyDescent="0.25">
      <c r="A189" s="874" t="s">
        <v>713</v>
      </c>
      <c r="B189" s="250" t="s">
        <v>739</v>
      </c>
      <c r="C189" s="251" t="s">
        <v>740</v>
      </c>
      <c r="D189" s="251" t="s">
        <v>741</v>
      </c>
      <c r="E189" s="279" t="s">
        <v>176</v>
      </c>
      <c r="F189" s="280">
        <v>25</v>
      </c>
      <c r="G189" s="280">
        <v>1000</v>
      </c>
      <c r="H189" s="61">
        <v>250</v>
      </c>
      <c r="I189" s="61">
        <v>259</v>
      </c>
      <c r="J189" s="74">
        <f t="shared" si="9"/>
        <v>1.036</v>
      </c>
      <c r="K189" s="61">
        <v>0</v>
      </c>
      <c r="L189" s="61">
        <v>0</v>
      </c>
      <c r="M189" s="61" t="s">
        <v>825</v>
      </c>
      <c r="N189" s="282" t="s">
        <v>859</v>
      </c>
      <c r="O189" s="284"/>
    </row>
    <row r="190" spans="1:15" ht="15.75" customHeight="1" x14ac:dyDescent="0.25">
      <c r="A190" s="829"/>
      <c r="B190" s="30" t="s">
        <v>743</v>
      </c>
      <c r="C190" s="256" t="s">
        <v>744</v>
      </c>
      <c r="D190" s="256" t="s">
        <v>745</v>
      </c>
      <c r="E190" s="279" t="s">
        <v>176</v>
      </c>
      <c r="F190" s="61">
        <v>25</v>
      </c>
      <c r="G190" s="61">
        <v>100</v>
      </c>
      <c r="H190" s="61">
        <v>20</v>
      </c>
      <c r="I190" s="61">
        <v>20</v>
      </c>
      <c r="J190" s="74">
        <f t="shared" si="9"/>
        <v>1</v>
      </c>
      <c r="K190" s="61">
        <v>0</v>
      </c>
      <c r="L190" s="61">
        <v>0</v>
      </c>
      <c r="M190" s="61" t="e">
        <f>L190/K190</f>
        <v>#DIV/0!</v>
      </c>
      <c r="N190" s="256" t="s">
        <v>860</v>
      </c>
      <c r="O190" s="284"/>
    </row>
    <row r="191" spans="1:15" ht="15.75" customHeight="1" x14ac:dyDescent="0.25">
      <c r="A191" s="829"/>
      <c r="B191" s="30" t="s">
        <v>747</v>
      </c>
      <c r="C191" s="256" t="s">
        <v>748</v>
      </c>
      <c r="D191" s="256" t="s">
        <v>749</v>
      </c>
      <c r="E191" s="279" t="s">
        <v>176</v>
      </c>
      <c r="F191" s="61">
        <v>25</v>
      </c>
      <c r="G191" s="61">
        <v>9</v>
      </c>
      <c r="H191" s="61">
        <v>3.3</v>
      </c>
      <c r="I191" s="61">
        <v>3.3</v>
      </c>
      <c r="J191" s="74">
        <f t="shared" si="9"/>
        <v>1</v>
      </c>
      <c r="K191" s="61">
        <v>0</v>
      </c>
      <c r="L191" s="61">
        <v>0</v>
      </c>
      <c r="M191" s="61" t="e">
        <f>L191/K191</f>
        <v>#DIV/0!</v>
      </c>
      <c r="N191" s="285" t="s">
        <v>861</v>
      </c>
      <c r="O191" s="284"/>
    </row>
    <row r="192" spans="1:15" ht="15.75" customHeight="1" x14ac:dyDescent="0.25">
      <c r="A192" s="823"/>
      <c r="B192" s="260" t="s">
        <v>775</v>
      </c>
      <c r="C192" s="261" t="s">
        <v>752</v>
      </c>
      <c r="D192" s="261" t="s">
        <v>753</v>
      </c>
      <c r="E192" s="279" t="s">
        <v>176</v>
      </c>
      <c r="F192" s="279">
        <v>25</v>
      </c>
      <c r="G192" s="279">
        <v>1</v>
      </c>
      <c r="H192" s="61">
        <v>0.15</v>
      </c>
      <c r="I192" s="61">
        <v>0.15</v>
      </c>
      <c r="J192" s="74">
        <f t="shared" si="9"/>
        <v>1</v>
      </c>
      <c r="K192" s="61">
        <v>0</v>
      </c>
      <c r="L192" s="61">
        <v>0</v>
      </c>
      <c r="M192" s="61" t="e">
        <f>L192/K192</f>
        <v>#DIV/0!</v>
      </c>
      <c r="N192" s="259" t="s">
        <v>858</v>
      </c>
      <c r="O192" s="284"/>
    </row>
    <row r="193" spans="1:16" ht="15.75" customHeight="1" x14ac:dyDescent="0.25">
      <c r="B193" s="196"/>
      <c r="C193" s="197"/>
      <c r="D193" s="197"/>
      <c r="J193" s="120"/>
      <c r="N193" s="197"/>
    </row>
    <row r="194" spans="1:16" ht="15.75" customHeight="1" x14ac:dyDescent="0.25">
      <c r="A194" s="870" t="s">
        <v>862</v>
      </c>
      <c r="B194" s="695"/>
      <c r="C194" s="695"/>
      <c r="D194" s="695"/>
      <c r="E194" s="695"/>
      <c r="F194" s="695"/>
      <c r="G194" s="695"/>
      <c r="H194" s="695"/>
      <c r="I194" s="695"/>
      <c r="J194" s="695"/>
      <c r="K194" s="695"/>
      <c r="L194" s="695"/>
      <c r="M194" s="695"/>
      <c r="N194" s="736"/>
    </row>
    <row r="195" spans="1:16" ht="44.25" customHeight="1" x14ac:dyDescent="0.25">
      <c r="A195" s="198" t="s">
        <v>27</v>
      </c>
      <c r="B195" s="199" t="s">
        <v>726</v>
      </c>
      <c r="C195" s="199" t="s">
        <v>727</v>
      </c>
      <c r="D195" s="199" t="s">
        <v>728</v>
      </c>
      <c r="E195" s="199" t="s">
        <v>729</v>
      </c>
      <c r="F195" s="199" t="s">
        <v>863</v>
      </c>
      <c r="G195" s="199" t="s">
        <v>731</v>
      </c>
      <c r="H195" s="199" t="s">
        <v>864</v>
      </c>
      <c r="I195" s="199" t="s">
        <v>865</v>
      </c>
      <c r="J195" s="241" t="s">
        <v>866</v>
      </c>
      <c r="K195" s="199" t="s">
        <v>735</v>
      </c>
      <c r="L195" s="199" t="s">
        <v>736</v>
      </c>
      <c r="M195" s="199" t="s">
        <v>737</v>
      </c>
      <c r="N195" s="200" t="s">
        <v>738</v>
      </c>
    </row>
    <row r="196" spans="1:16" ht="92.25" customHeight="1" x14ac:dyDescent="0.25">
      <c r="A196" s="882" t="s">
        <v>715</v>
      </c>
      <c r="B196" s="250" t="s">
        <v>739</v>
      </c>
      <c r="C196" s="251" t="s">
        <v>740</v>
      </c>
      <c r="D196" s="251" t="s">
        <v>741</v>
      </c>
      <c r="E196" s="279" t="s">
        <v>176</v>
      </c>
      <c r="F196" s="280">
        <v>25</v>
      </c>
      <c r="G196" s="280">
        <v>1000</v>
      </c>
      <c r="H196" s="175">
        <v>330</v>
      </c>
      <c r="I196" s="175">
        <v>5</v>
      </c>
      <c r="J196" s="242">
        <f t="shared" ref="J196:J243" si="10">I196/H196</f>
        <v>1.5151515151515152E-2</v>
      </c>
      <c r="K196" s="175"/>
      <c r="L196" s="175"/>
      <c r="M196" s="175" t="e">
        <f t="shared" ref="M196:M243" si="11">L196/K196</f>
        <v>#DIV/0!</v>
      </c>
      <c r="N196" s="243" t="s">
        <v>867</v>
      </c>
    </row>
    <row r="197" spans="1:16" ht="92.25" customHeight="1" x14ac:dyDescent="0.25">
      <c r="A197" s="822"/>
      <c r="B197" s="30" t="s">
        <v>743</v>
      </c>
      <c r="C197" s="256" t="s">
        <v>744</v>
      </c>
      <c r="D197" s="256" t="s">
        <v>745</v>
      </c>
      <c r="E197" s="279" t="s">
        <v>176</v>
      </c>
      <c r="F197" s="61">
        <v>25</v>
      </c>
      <c r="G197" s="61">
        <v>100</v>
      </c>
      <c r="H197" s="175">
        <v>34</v>
      </c>
      <c r="I197" s="175">
        <v>0</v>
      </c>
      <c r="J197" s="242">
        <f t="shared" si="10"/>
        <v>0</v>
      </c>
      <c r="K197" s="175"/>
      <c r="L197" s="175"/>
      <c r="M197" s="175" t="e">
        <f t="shared" si="11"/>
        <v>#DIV/0!</v>
      </c>
      <c r="N197" s="243" t="s">
        <v>868</v>
      </c>
    </row>
    <row r="198" spans="1:16" ht="92.25" customHeight="1" x14ac:dyDescent="0.25">
      <c r="A198" s="822"/>
      <c r="B198" s="30" t="s">
        <v>747</v>
      </c>
      <c r="C198" s="256" t="s">
        <v>748</v>
      </c>
      <c r="D198" s="256" t="s">
        <v>749</v>
      </c>
      <c r="E198" s="279" t="s">
        <v>176</v>
      </c>
      <c r="F198" s="61">
        <v>25</v>
      </c>
      <c r="G198" s="61">
        <v>9</v>
      </c>
      <c r="H198" s="175">
        <v>3.3</v>
      </c>
      <c r="I198" s="175">
        <v>0</v>
      </c>
      <c r="J198" s="242">
        <f t="shared" si="10"/>
        <v>0</v>
      </c>
      <c r="K198" s="175"/>
      <c r="L198" s="175"/>
      <c r="M198" s="175" t="e">
        <f t="shared" si="11"/>
        <v>#DIV/0!</v>
      </c>
      <c r="N198" s="243" t="s">
        <v>869</v>
      </c>
    </row>
    <row r="199" spans="1:16" ht="92.25" customHeight="1" x14ac:dyDescent="0.25">
      <c r="A199" s="883"/>
      <c r="B199" s="260" t="s">
        <v>775</v>
      </c>
      <c r="C199" s="261" t="s">
        <v>752</v>
      </c>
      <c r="D199" s="261" t="s">
        <v>753</v>
      </c>
      <c r="E199" s="279" t="s">
        <v>176</v>
      </c>
      <c r="F199" s="279">
        <v>25</v>
      </c>
      <c r="G199" s="279">
        <v>1</v>
      </c>
      <c r="H199" s="175">
        <v>0.15</v>
      </c>
      <c r="I199" s="175">
        <v>0.01</v>
      </c>
      <c r="J199" s="242">
        <f t="shared" si="10"/>
        <v>6.6666666666666666E-2</v>
      </c>
      <c r="K199" s="175"/>
      <c r="L199" s="175"/>
      <c r="M199" s="175" t="e">
        <f t="shared" si="11"/>
        <v>#DIV/0!</v>
      </c>
      <c r="N199" s="243" t="s">
        <v>870</v>
      </c>
    </row>
    <row r="200" spans="1:16" ht="92.25" customHeight="1" x14ac:dyDescent="0.25">
      <c r="A200" s="882" t="s">
        <v>716</v>
      </c>
      <c r="B200" s="250" t="s">
        <v>739</v>
      </c>
      <c r="C200" s="251" t="s">
        <v>740</v>
      </c>
      <c r="D200" s="251" t="s">
        <v>741</v>
      </c>
      <c r="E200" s="279" t="s">
        <v>176</v>
      </c>
      <c r="F200" s="280">
        <v>25</v>
      </c>
      <c r="G200" s="280">
        <v>1000</v>
      </c>
      <c r="H200" s="175">
        <v>330</v>
      </c>
      <c r="I200" s="175">
        <v>35</v>
      </c>
      <c r="J200" s="242">
        <f t="shared" si="10"/>
        <v>0.10606060606060606</v>
      </c>
      <c r="K200" s="175"/>
      <c r="L200" s="175"/>
      <c r="M200" s="175" t="e">
        <f t="shared" si="11"/>
        <v>#DIV/0!</v>
      </c>
      <c r="N200" s="243" t="s">
        <v>871</v>
      </c>
    </row>
    <row r="201" spans="1:16" ht="92.25" customHeight="1" x14ac:dyDescent="0.25">
      <c r="A201" s="822"/>
      <c r="B201" s="30" t="s">
        <v>743</v>
      </c>
      <c r="C201" s="256" t="s">
        <v>744</v>
      </c>
      <c r="D201" s="256" t="s">
        <v>745</v>
      </c>
      <c r="E201" s="279" t="s">
        <v>176</v>
      </c>
      <c r="F201" s="61">
        <v>25</v>
      </c>
      <c r="G201" s="61">
        <v>100</v>
      </c>
      <c r="H201" s="175">
        <v>34</v>
      </c>
      <c r="I201" s="175">
        <v>2</v>
      </c>
      <c r="J201" s="242">
        <f t="shared" si="10"/>
        <v>5.8823529411764705E-2</v>
      </c>
      <c r="K201" s="175"/>
      <c r="L201" s="175"/>
      <c r="M201" s="175" t="e">
        <f t="shared" si="11"/>
        <v>#DIV/0!</v>
      </c>
      <c r="N201" s="243" t="s">
        <v>872</v>
      </c>
    </row>
    <row r="202" spans="1:16" ht="92.25" customHeight="1" x14ac:dyDescent="0.25">
      <c r="A202" s="822"/>
      <c r="B202" s="30" t="s">
        <v>747</v>
      </c>
      <c r="C202" s="256" t="s">
        <v>748</v>
      </c>
      <c r="D202" s="256" t="s">
        <v>749</v>
      </c>
      <c r="E202" s="279" t="s">
        <v>176</v>
      </c>
      <c r="F202" s="61">
        <v>25</v>
      </c>
      <c r="G202" s="61">
        <v>9</v>
      </c>
      <c r="H202" s="175">
        <v>3.3</v>
      </c>
      <c r="I202" s="175">
        <v>4.62</v>
      </c>
      <c r="J202" s="242">
        <f t="shared" si="10"/>
        <v>1.4000000000000001</v>
      </c>
      <c r="K202" s="175"/>
      <c r="L202" s="175"/>
      <c r="M202" s="175" t="e">
        <f t="shared" si="11"/>
        <v>#DIV/0!</v>
      </c>
      <c r="N202" s="243" t="s">
        <v>873</v>
      </c>
    </row>
    <row r="203" spans="1:16" ht="92.25" customHeight="1" x14ac:dyDescent="0.25">
      <c r="A203" s="883"/>
      <c r="B203" s="260" t="s">
        <v>775</v>
      </c>
      <c r="C203" s="261" t="s">
        <v>752</v>
      </c>
      <c r="D203" s="261" t="s">
        <v>753</v>
      </c>
      <c r="E203" s="279" t="s">
        <v>176</v>
      </c>
      <c r="F203" s="279">
        <v>25</v>
      </c>
      <c r="G203" s="279">
        <v>1</v>
      </c>
      <c r="H203" s="175">
        <v>0.15</v>
      </c>
      <c r="I203" s="175">
        <v>0.02</v>
      </c>
      <c r="J203" s="242">
        <f t="shared" si="10"/>
        <v>0.13333333333333333</v>
      </c>
      <c r="K203" s="175"/>
      <c r="L203" s="175"/>
      <c r="M203" s="175" t="e">
        <f t="shared" si="11"/>
        <v>#DIV/0!</v>
      </c>
      <c r="N203" s="243" t="s">
        <v>874</v>
      </c>
    </row>
    <row r="204" spans="1:16" ht="92.25" customHeight="1" x14ac:dyDescent="0.25">
      <c r="A204" s="882" t="s">
        <v>717</v>
      </c>
      <c r="B204" s="250" t="s">
        <v>739</v>
      </c>
      <c r="C204" s="251" t="s">
        <v>740</v>
      </c>
      <c r="D204" s="251" t="s">
        <v>741</v>
      </c>
      <c r="E204" s="279" t="s">
        <v>176</v>
      </c>
      <c r="F204" s="280">
        <v>25</v>
      </c>
      <c r="G204" s="280">
        <v>1000</v>
      </c>
      <c r="H204" s="175">
        <v>330</v>
      </c>
      <c r="I204" s="175">
        <v>66</v>
      </c>
      <c r="J204" s="242">
        <f t="shared" si="10"/>
        <v>0.2</v>
      </c>
      <c r="K204" s="175"/>
      <c r="L204" s="175"/>
      <c r="M204" s="175" t="e">
        <f t="shared" si="11"/>
        <v>#DIV/0!</v>
      </c>
      <c r="N204" s="243" t="s">
        <v>875</v>
      </c>
    </row>
    <row r="205" spans="1:16" ht="129" customHeight="1" x14ac:dyDescent="0.25">
      <c r="A205" s="822"/>
      <c r="B205" s="30" t="s">
        <v>743</v>
      </c>
      <c r="C205" s="256" t="s">
        <v>744</v>
      </c>
      <c r="D205" s="256" t="s">
        <v>745</v>
      </c>
      <c r="E205" s="279" t="s">
        <v>176</v>
      </c>
      <c r="F205" s="61">
        <v>25</v>
      </c>
      <c r="G205" s="61">
        <v>100</v>
      </c>
      <c r="H205" s="175">
        <v>34</v>
      </c>
      <c r="I205" s="175">
        <v>6</v>
      </c>
      <c r="J205" s="242">
        <f t="shared" si="10"/>
        <v>0.17647058823529413</v>
      </c>
      <c r="K205" s="175"/>
      <c r="L205" s="175"/>
      <c r="M205" s="175" t="e">
        <f t="shared" si="11"/>
        <v>#DIV/0!</v>
      </c>
      <c r="N205" s="243" t="s">
        <v>876</v>
      </c>
    </row>
    <row r="206" spans="1:16" ht="92.25" customHeight="1" x14ac:dyDescent="0.25">
      <c r="A206" s="822"/>
      <c r="B206" s="30" t="s">
        <v>747</v>
      </c>
      <c r="C206" s="256" t="s">
        <v>748</v>
      </c>
      <c r="D206" s="256" t="s">
        <v>749</v>
      </c>
      <c r="E206" s="279" t="s">
        <v>176</v>
      </c>
      <c r="F206" s="61">
        <v>25</v>
      </c>
      <c r="G206" s="61">
        <v>9</v>
      </c>
      <c r="H206" s="175">
        <v>3.3</v>
      </c>
      <c r="I206" s="175">
        <v>0.75900000000000001</v>
      </c>
      <c r="J206" s="242">
        <f t="shared" si="10"/>
        <v>0.23</v>
      </c>
      <c r="K206" s="175"/>
      <c r="L206" s="175"/>
      <c r="M206" s="175" t="e">
        <f t="shared" si="11"/>
        <v>#DIV/0!</v>
      </c>
      <c r="N206" s="243" t="s">
        <v>877</v>
      </c>
    </row>
    <row r="207" spans="1:16" ht="92.25" customHeight="1" x14ac:dyDescent="0.25">
      <c r="A207" s="883"/>
      <c r="B207" s="260" t="s">
        <v>775</v>
      </c>
      <c r="C207" s="261" t="s">
        <v>752</v>
      </c>
      <c r="D207" s="261" t="s">
        <v>753</v>
      </c>
      <c r="E207" s="279" t="s">
        <v>176</v>
      </c>
      <c r="F207" s="279">
        <v>25</v>
      </c>
      <c r="G207" s="279">
        <v>1</v>
      </c>
      <c r="H207" s="175">
        <v>0.15</v>
      </c>
      <c r="I207" s="175">
        <v>3.2000000000000001E-2</v>
      </c>
      <c r="J207" s="242">
        <f t="shared" si="10"/>
        <v>0.21333333333333335</v>
      </c>
      <c r="K207" s="175"/>
      <c r="L207" s="175"/>
      <c r="M207" s="175" t="e">
        <f t="shared" si="11"/>
        <v>#DIV/0!</v>
      </c>
      <c r="N207" s="243" t="s">
        <v>878</v>
      </c>
    </row>
    <row r="208" spans="1:16" ht="92.25" customHeight="1" x14ac:dyDescent="0.25">
      <c r="A208" s="882" t="s">
        <v>718</v>
      </c>
      <c r="B208" s="250" t="s">
        <v>739</v>
      </c>
      <c r="C208" s="251" t="s">
        <v>740</v>
      </c>
      <c r="D208" s="251" t="s">
        <v>741</v>
      </c>
      <c r="E208" s="279" t="s">
        <v>176</v>
      </c>
      <c r="F208" s="280">
        <v>25</v>
      </c>
      <c r="G208" s="280">
        <v>1000</v>
      </c>
      <c r="H208" s="175">
        <v>330</v>
      </c>
      <c r="I208" s="175">
        <v>96</v>
      </c>
      <c r="J208" s="242">
        <f t="shared" si="10"/>
        <v>0.29090909090909089</v>
      </c>
      <c r="K208" s="175"/>
      <c r="L208" s="175"/>
      <c r="M208" s="175" t="e">
        <f t="shared" si="11"/>
        <v>#DIV/0!</v>
      </c>
      <c r="N208" s="243" t="s">
        <v>879</v>
      </c>
      <c r="P208" s="286"/>
    </row>
    <row r="209" spans="1:34" ht="129" customHeight="1" x14ac:dyDescent="0.25">
      <c r="A209" s="822"/>
      <c r="B209" s="30" t="s">
        <v>743</v>
      </c>
      <c r="C209" s="256" t="s">
        <v>744</v>
      </c>
      <c r="D209" s="256" t="s">
        <v>745</v>
      </c>
      <c r="E209" s="279" t="s">
        <v>176</v>
      </c>
      <c r="F209" s="61">
        <v>25</v>
      </c>
      <c r="G209" s="61">
        <v>100</v>
      </c>
      <c r="H209" s="175">
        <v>34</v>
      </c>
      <c r="I209" s="175">
        <v>10</v>
      </c>
      <c r="J209" s="242">
        <f t="shared" si="10"/>
        <v>0.29411764705882354</v>
      </c>
      <c r="K209" s="175"/>
      <c r="L209" s="175"/>
      <c r="M209" s="175" t="e">
        <f t="shared" si="11"/>
        <v>#DIV/0!</v>
      </c>
      <c r="N209" s="259" t="s">
        <v>880</v>
      </c>
      <c r="P209" s="286"/>
    </row>
    <row r="210" spans="1:34" ht="92.25" customHeight="1" x14ac:dyDescent="0.25">
      <c r="A210" s="822"/>
      <c r="B210" s="30" t="s">
        <v>747</v>
      </c>
      <c r="C210" s="256" t="s">
        <v>748</v>
      </c>
      <c r="D210" s="256" t="s">
        <v>749</v>
      </c>
      <c r="E210" s="279" t="s">
        <v>176</v>
      </c>
      <c r="F210" s="61">
        <v>25</v>
      </c>
      <c r="G210" s="61">
        <v>9</v>
      </c>
      <c r="H210" s="175">
        <v>3.3</v>
      </c>
      <c r="I210" s="175">
        <v>1.06</v>
      </c>
      <c r="J210" s="242">
        <f t="shared" si="10"/>
        <v>0.32121212121212123</v>
      </c>
      <c r="K210" s="175"/>
      <c r="L210" s="175"/>
      <c r="M210" s="175" t="e">
        <f t="shared" si="11"/>
        <v>#DIV/0!</v>
      </c>
      <c r="N210" s="243" t="s">
        <v>881</v>
      </c>
      <c r="P210" s="286"/>
    </row>
    <row r="211" spans="1:34" ht="92.25" customHeight="1" x14ac:dyDescent="0.25">
      <c r="A211" s="883"/>
      <c r="B211" s="260" t="s">
        <v>775</v>
      </c>
      <c r="C211" s="261" t="s">
        <v>752</v>
      </c>
      <c r="D211" s="261" t="s">
        <v>753</v>
      </c>
      <c r="E211" s="279" t="s">
        <v>176</v>
      </c>
      <c r="F211" s="279">
        <v>25</v>
      </c>
      <c r="G211" s="279">
        <v>1</v>
      </c>
      <c r="H211" s="175">
        <v>0.15</v>
      </c>
      <c r="I211" s="175">
        <v>4.4999999999999998E-2</v>
      </c>
      <c r="J211" s="242">
        <f t="shared" si="10"/>
        <v>0.3</v>
      </c>
      <c r="K211" s="175"/>
      <c r="L211" s="175"/>
      <c r="M211" s="175" t="e">
        <f t="shared" si="11"/>
        <v>#DIV/0!</v>
      </c>
      <c r="N211" s="243" t="s">
        <v>882</v>
      </c>
      <c r="P211" s="286"/>
    </row>
    <row r="212" spans="1:34" ht="92.25" customHeight="1" x14ac:dyDescent="0.25">
      <c r="A212" s="882" t="s">
        <v>719</v>
      </c>
      <c r="B212" s="250" t="s">
        <v>739</v>
      </c>
      <c r="C212" s="251" t="s">
        <v>740</v>
      </c>
      <c r="D212" s="251" t="s">
        <v>741</v>
      </c>
      <c r="E212" s="279" t="s">
        <v>176</v>
      </c>
      <c r="F212" s="280">
        <v>25</v>
      </c>
      <c r="G212" s="280">
        <v>1000</v>
      </c>
      <c r="H212" s="175">
        <v>330</v>
      </c>
      <c r="I212" s="175">
        <v>127</v>
      </c>
      <c r="J212" s="242">
        <f t="shared" si="10"/>
        <v>0.38484848484848483</v>
      </c>
      <c r="K212" s="175"/>
      <c r="L212" s="175"/>
      <c r="M212" s="175" t="e">
        <f t="shared" si="11"/>
        <v>#DIV/0!</v>
      </c>
      <c r="N212" s="243" t="s">
        <v>883</v>
      </c>
      <c r="P212" s="286"/>
    </row>
    <row r="213" spans="1:34" ht="129" customHeight="1" x14ac:dyDescent="0.25">
      <c r="A213" s="822"/>
      <c r="B213" s="30" t="s">
        <v>743</v>
      </c>
      <c r="C213" s="256" t="s">
        <v>744</v>
      </c>
      <c r="D213" s="256" t="s">
        <v>745</v>
      </c>
      <c r="E213" s="279" t="s">
        <v>176</v>
      </c>
      <c r="F213" s="61">
        <v>25</v>
      </c>
      <c r="G213" s="61">
        <v>100</v>
      </c>
      <c r="H213" s="175">
        <v>34</v>
      </c>
      <c r="I213" s="175">
        <v>14</v>
      </c>
      <c r="J213" s="242">
        <f t="shared" si="10"/>
        <v>0.41176470588235292</v>
      </c>
      <c r="K213" s="175"/>
      <c r="L213" s="175"/>
      <c r="M213" s="175" t="e">
        <f t="shared" si="11"/>
        <v>#DIV/0!</v>
      </c>
      <c r="N213" s="259" t="s">
        <v>884</v>
      </c>
      <c r="P213" s="286"/>
    </row>
    <row r="214" spans="1:34" ht="92.25" customHeight="1" x14ac:dyDescent="0.25">
      <c r="A214" s="822"/>
      <c r="B214" s="30" t="s">
        <v>747</v>
      </c>
      <c r="C214" s="256" t="s">
        <v>748</v>
      </c>
      <c r="D214" s="256" t="s">
        <v>749</v>
      </c>
      <c r="E214" s="279" t="s">
        <v>176</v>
      </c>
      <c r="F214" s="61">
        <v>25</v>
      </c>
      <c r="G214" s="61">
        <v>9</v>
      </c>
      <c r="H214" s="175">
        <v>3.3</v>
      </c>
      <c r="I214" s="175">
        <v>1.353</v>
      </c>
      <c r="J214" s="242">
        <f t="shared" si="10"/>
        <v>0.41000000000000003</v>
      </c>
      <c r="K214" s="175"/>
      <c r="L214" s="175"/>
      <c r="M214" s="175" t="e">
        <f t="shared" si="11"/>
        <v>#DIV/0!</v>
      </c>
      <c r="N214" s="243" t="s">
        <v>885</v>
      </c>
      <c r="P214" s="286"/>
    </row>
    <row r="215" spans="1:34" ht="92.25" customHeight="1" x14ac:dyDescent="0.25">
      <c r="A215" s="883"/>
      <c r="B215" s="260" t="s">
        <v>775</v>
      </c>
      <c r="C215" s="261" t="s">
        <v>752</v>
      </c>
      <c r="D215" s="261" t="s">
        <v>753</v>
      </c>
      <c r="E215" s="279" t="s">
        <v>176</v>
      </c>
      <c r="F215" s="279">
        <v>25</v>
      </c>
      <c r="G215" s="279">
        <v>1</v>
      </c>
      <c r="H215" s="175">
        <v>0.15</v>
      </c>
      <c r="I215" s="175">
        <v>5.8000000000000003E-2</v>
      </c>
      <c r="J215" s="242">
        <f t="shared" si="10"/>
        <v>0.38666666666666671</v>
      </c>
      <c r="K215" s="175"/>
      <c r="L215" s="175"/>
      <c r="M215" s="175" t="e">
        <f t="shared" si="11"/>
        <v>#DIV/0!</v>
      </c>
      <c r="N215" s="243" t="s">
        <v>886</v>
      </c>
      <c r="P215" s="286"/>
    </row>
    <row r="216" spans="1:34" ht="92.25" customHeight="1" x14ac:dyDescent="0.25">
      <c r="A216" s="882" t="s">
        <v>720</v>
      </c>
      <c r="B216" s="250" t="s">
        <v>739</v>
      </c>
      <c r="C216" s="251" t="s">
        <v>740</v>
      </c>
      <c r="D216" s="251" t="s">
        <v>741</v>
      </c>
      <c r="E216" s="279" t="s">
        <v>176</v>
      </c>
      <c r="F216" s="280">
        <v>25</v>
      </c>
      <c r="G216" s="280">
        <v>1000</v>
      </c>
      <c r="H216" s="175">
        <v>330</v>
      </c>
      <c r="I216" s="175">
        <v>158</v>
      </c>
      <c r="J216" s="242">
        <f t="shared" si="10"/>
        <v>0.47878787878787876</v>
      </c>
      <c r="K216" s="175"/>
      <c r="L216" s="175"/>
      <c r="M216" s="175" t="e">
        <f t="shared" si="11"/>
        <v>#DIV/0!</v>
      </c>
      <c r="N216" s="243" t="s">
        <v>887</v>
      </c>
      <c r="P216" s="286"/>
    </row>
    <row r="217" spans="1:34" ht="129" customHeight="1" x14ac:dyDescent="0.25">
      <c r="A217" s="822"/>
      <c r="B217" s="30" t="s">
        <v>743</v>
      </c>
      <c r="C217" s="256" t="s">
        <v>744</v>
      </c>
      <c r="D217" s="256" t="s">
        <v>745</v>
      </c>
      <c r="E217" s="279" t="s">
        <v>176</v>
      </c>
      <c r="F217" s="61">
        <v>25</v>
      </c>
      <c r="G217" s="61">
        <v>100</v>
      </c>
      <c r="H217" s="175">
        <v>34</v>
      </c>
      <c r="I217" s="175">
        <v>17</v>
      </c>
      <c r="J217" s="242">
        <f t="shared" si="10"/>
        <v>0.5</v>
      </c>
      <c r="K217" s="175"/>
      <c r="L217" s="175"/>
      <c r="M217" s="175" t="e">
        <f t="shared" si="11"/>
        <v>#DIV/0!</v>
      </c>
      <c r="N217" s="259" t="s">
        <v>888</v>
      </c>
      <c r="P217" s="286"/>
    </row>
    <row r="218" spans="1:34" ht="92.25" customHeight="1" x14ac:dyDescent="0.25">
      <c r="A218" s="822"/>
      <c r="B218" s="30" t="s">
        <v>747</v>
      </c>
      <c r="C218" s="256" t="s">
        <v>748</v>
      </c>
      <c r="D218" s="256" t="s">
        <v>749</v>
      </c>
      <c r="E218" s="279" t="s">
        <v>176</v>
      </c>
      <c r="F218" s="61">
        <v>25</v>
      </c>
      <c r="G218" s="61">
        <v>9</v>
      </c>
      <c r="H218" s="175">
        <v>3.3</v>
      </c>
      <c r="I218" s="175">
        <v>1.65</v>
      </c>
      <c r="J218" s="242">
        <f t="shared" si="10"/>
        <v>0.5</v>
      </c>
      <c r="K218" s="175"/>
      <c r="L218" s="175"/>
      <c r="M218" s="175" t="e">
        <f t="shared" si="11"/>
        <v>#DIV/0!</v>
      </c>
      <c r="N218" s="243" t="s">
        <v>889</v>
      </c>
      <c r="P218" s="286"/>
    </row>
    <row r="219" spans="1:34" ht="92.25" customHeight="1" x14ac:dyDescent="0.25">
      <c r="A219" s="883"/>
      <c r="B219" s="260" t="s">
        <v>775</v>
      </c>
      <c r="C219" s="261" t="s">
        <v>752</v>
      </c>
      <c r="D219" s="261" t="s">
        <v>753</v>
      </c>
      <c r="E219" s="279" t="s">
        <v>176</v>
      </c>
      <c r="F219" s="279">
        <v>25</v>
      </c>
      <c r="G219" s="279">
        <v>1</v>
      </c>
      <c r="H219" s="175">
        <v>0.15</v>
      </c>
      <c r="I219" s="175">
        <v>7.0999999999999994E-2</v>
      </c>
      <c r="J219" s="242">
        <f t="shared" si="10"/>
        <v>0.47333333333333333</v>
      </c>
      <c r="K219" s="175"/>
      <c r="L219" s="175"/>
      <c r="M219" s="175" t="e">
        <f t="shared" si="11"/>
        <v>#DIV/0!</v>
      </c>
      <c r="N219" s="243" t="s">
        <v>890</v>
      </c>
      <c r="P219" s="286"/>
    </row>
    <row r="220" spans="1:34" ht="92.25" customHeight="1" x14ac:dyDescent="0.25">
      <c r="A220" s="884" t="s">
        <v>707</v>
      </c>
      <c r="B220" s="287" t="s">
        <v>739</v>
      </c>
      <c r="C220" s="288" t="s">
        <v>740</v>
      </c>
      <c r="D220" s="288" t="s">
        <v>741</v>
      </c>
      <c r="E220" s="289" t="s">
        <v>176</v>
      </c>
      <c r="F220" s="290">
        <v>25</v>
      </c>
      <c r="G220" s="290">
        <v>1000</v>
      </c>
      <c r="H220" s="170">
        <v>330</v>
      </c>
      <c r="I220" s="170">
        <v>189</v>
      </c>
      <c r="J220" s="291">
        <f t="shared" si="10"/>
        <v>0.57272727272727275</v>
      </c>
      <c r="K220" s="170"/>
      <c r="L220" s="170"/>
      <c r="M220" s="170" t="e">
        <f t="shared" si="11"/>
        <v>#DIV/0!</v>
      </c>
      <c r="N220" s="278" t="s">
        <v>891</v>
      </c>
      <c r="O220" s="1"/>
      <c r="P220" s="292"/>
      <c r="Q220" s="1"/>
      <c r="R220" s="1"/>
      <c r="S220" s="1"/>
      <c r="T220" s="1"/>
      <c r="U220" s="1"/>
      <c r="V220" s="1"/>
      <c r="W220" s="1"/>
      <c r="X220" s="1"/>
      <c r="Y220" s="1"/>
      <c r="Z220" s="1"/>
      <c r="AA220" s="1"/>
      <c r="AB220" s="1"/>
      <c r="AC220" s="1"/>
      <c r="AD220" s="1"/>
      <c r="AE220" s="1"/>
      <c r="AF220" s="1"/>
      <c r="AG220" s="1"/>
      <c r="AH220" s="1"/>
    </row>
    <row r="221" spans="1:34" ht="129" customHeight="1" x14ac:dyDescent="0.25">
      <c r="A221" s="724"/>
      <c r="B221" s="293" t="s">
        <v>743</v>
      </c>
      <c r="C221" s="285" t="s">
        <v>744</v>
      </c>
      <c r="D221" s="285" t="s">
        <v>745</v>
      </c>
      <c r="E221" s="289" t="s">
        <v>176</v>
      </c>
      <c r="F221" s="191">
        <v>25</v>
      </c>
      <c r="G221" s="191">
        <v>100</v>
      </c>
      <c r="H221" s="170">
        <v>34</v>
      </c>
      <c r="I221" s="170">
        <v>20</v>
      </c>
      <c r="J221" s="291">
        <f t="shared" si="10"/>
        <v>0.58823529411764708</v>
      </c>
      <c r="K221" s="170"/>
      <c r="L221" s="170"/>
      <c r="M221" s="170" t="e">
        <f t="shared" si="11"/>
        <v>#DIV/0!</v>
      </c>
      <c r="N221" s="270" t="s">
        <v>892</v>
      </c>
      <c r="O221" s="1"/>
      <c r="P221" s="292"/>
      <c r="Q221" s="1"/>
      <c r="R221" s="1"/>
      <c r="S221" s="1"/>
      <c r="T221" s="1"/>
      <c r="U221" s="1"/>
      <c r="V221" s="1"/>
      <c r="W221" s="1"/>
      <c r="X221" s="1"/>
      <c r="Y221" s="1"/>
      <c r="Z221" s="1"/>
      <c r="AA221" s="1"/>
      <c r="AB221" s="1"/>
      <c r="AC221" s="1"/>
      <c r="AD221" s="1"/>
      <c r="AE221" s="1"/>
      <c r="AF221" s="1"/>
      <c r="AG221" s="1"/>
      <c r="AH221" s="1"/>
    </row>
    <row r="222" spans="1:34" ht="92.25" customHeight="1" x14ac:dyDescent="0.25">
      <c r="A222" s="724"/>
      <c r="B222" s="293" t="s">
        <v>747</v>
      </c>
      <c r="C222" s="285" t="s">
        <v>748</v>
      </c>
      <c r="D222" s="285" t="s">
        <v>749</v>
      </c>
      <c r="E222" s="289" t="s">
        <v>176</v>
      </c>
      <c r="F222" s="191">
        <v>25</v>
      </c>
      <c r="G222" s="191">
        <v>9</v>
      </c>
      <c r="H222" s="170">
        <v>3.3</v>
      </c>
      <c r="I222" s="170">
        <v>1.95</v>
      </c>
      <c r="J222" s="291">
        <f t="shared" si="10"/>
        <v>0.59090909090909094</v>
      </c>
      <c r="K222" s="170"/>
      <c r="L222" s="170"/>
      <c r="M222" s="170" t="e">
        <f t="shared" si="11"/>
        <v>#DIV/0!</v>
      </c>
      <c r="N222" s="278" t="s">
        <v>893</v>
      </c>
      <c r="O222" s="1"/>
      <c r="P222" s="292"/>
      <c r="Q222" s="1"/>
      <c r="R222" s="1"/>
      <c r="S222" s="1"/>
      <c r="T222" s="1"/>
      <c r="U222" s="1"/>
      <c r="V222" s="1"/>
      <c r="W222" s="1"/>
      <c r="X222" s="1"/>
      <c r="Y222" s="1"/>
      <c r="Z222" s="1"/>
      <c r="AA222" s="1"/>
      <c r="AB222" s="1"/>
      <c r="AC222" s="1"/>
      <c r="AD222" s="1"/>
      <c r="AE222" s="1"/>
      <c r="AF222" s="1"/>
      <c r="AG222" s="1"/>
      <c r="AH222" s="1"/>
    </row>
    <row r="223" spans="1:34" ht="92.25" customHeight="1" x14ac:dyDescent="0.25">
      <c r="A223" s="876"/>
      <c r="B223" s="294" t="s">
        <v>775</v>
      </c>
      <c r="C223" s="295" t="s">
        <v>752</v>
      </c>
      <c r="D223" s="295" t="s">
        <v>753</v>
      </c>
      <c r="E223" s="289" t="s">
        <v>176</v>
      </c>
      <c r="F223" s="289">
        <v>25</v>
      </c>
      <c r="G223" s="289">
        <v>1</v>
      </c>
      <c r="H223" s="170">
        <v>0.15</v>
      </c>
      <c r="I223" s="170">
        <v>8.4000000000000005E-2</v>
      </c>
      <c r="J223" s="291">
        <f t="shared" si="10"/>
        <v>0.56000000000000005</v>
      </c>
      <c r="K223" s="170"/>
      <c r="L223" s="170"/>
      <c r="M223" s="170" t="e">
        <f t="shared" si="11"/>
        <v>#DIV/0!</v>
      </c>
      <c r="N223" s="278" t="s">
        <v>894</v>
      </c>
      <c r="O223" s="1"/>
      <c r="P223" s="292"/>
      <c r="Q223" s="1"/>
      <c r="R223" s="1"/>
      <c r="S223" s="1"/>
      <c r="T223" s="1"/>
      <c r="U223" s="1"/>
      <c r="V223" s="1"/>
      <c r="W223" s="1"/>
      <c r="X223" s="1"/>
      <c r="Y223" s="1"/>
      <c r="Z223" s="1"/>
      <c r="AA223" s="1"/>
      <c r="AB223" s="1"/>
      <c r="AC223" s="1"/>
      <c r="AD223" s="1"/>
      <c r="AE223" s="1"/>
      <c r="AF223" s="1"/>
      <c r="AG223" s="1"/>
      <c r="AH223" s="1"/>
    </row>
    <row r="224" spans="1:34" ht="92.25" customHeight="1" x14ac:dyDescent="0.25">
      <c r="A224" s="882" t="s">
        <v>708</v>
      </c>
      <c r="B224" s="250" t="s">
        <v>739</v>
      </c>
      <c r="C224" s="251" t="s">
        <v>740</v>
      </c>
      <c r="D224" s="251" t="s">
        <v>741</v>
      </c>
      <c r="E224" s="279" t="s">
        <v>176</v>
      </c>
      <c r="F224" s="280">
        <v>25</v>
      </c>
      <c r="G224" s="280">
        <v>1000</v>
      </c>
      <c r="H224" s="175">
        <v>330</v>
      </c>
      <c r="I224" s="175">
        <v>220</v>
      </c>
      <c r="J224" s="242">
        <f t="shared" si="10"/>
        <v>0.66666666666666663</v>
      </c>
      <c r="K224" s="175"/>
      <c r="L224" s="175"/>
      <c r="M224" s="175" t="e">
        <f t="shared" si="11"/>
        <v>#DIV/0!</v>
      </c>
      <c r="N224" s="243" t="s">
        <v>895</v>
      </c>
      <c r="P224" s="286"/>
    </row>
    <row r="225" spans="1:34" ht="129" customHeight="1" x14ac:dyDescent="0.25">
      <c r="A225" s="822"/>
      <c r="B225" s="30" t="s">
        <v>743</v>
      </c>
      <c r="C225" s="256" t="s">
        <v>744</v>
      </c>
      <c r="D225" s="256" t="s">
        <v>745</v>
      </c>
      <c r="E225" s="279" t="s">
        <v>176</v>
      </c>
      <c r="F225" s="61">
        <v>25</v>
      </c>
      <c r="G225" s="61">
        <v>100</v>
      </c>
      <c r="H225" s="175">
        <v>34</v>
      </c>
      <c r="I225" s="175">
        <v>23</v>
      </c>
      <c r="J225" s="242">
        <f t="shared" si="10"/>
        <v>0.67647058823529416</v>
      </c>
      <c r="K225" s="175"/>
      <c r="L225" s="175"/>
      <c r="M225" s="175" t="e">
        <f t="shared" si="11"/>
        <v>#DIV/0!</v>
      </c>
      <c r="N225" s="259" t="s">
        <v>896</v>
      </c>
      <c r="P225" s="286"/>
    </row>
    <row r="226" spans="1:34" ht="92.25" customHeight="1" x14ac:dyDescent="0.25">
      <c r="A226" s="822"/>
      <c r="B226" s="30" t="s">
        <v>747</v>
      </c>
      <c r="C226" s="256" t="s">
        <v>748</v>
      </c>
      <c r="D226" s="256" t="s">
        <v>749</v>
      </c>
      <c r="E226" s="279" t="s">
        <v>176</v>
      </c>
      <c r="F226" s="61">
        <v>25</v>
      </c>
      <c r="G226" s="61">
        <v>9</v>
      </c>
      <c r="H226" s="175">
        <v>3.3</v>
      </c>
      <c r="I226" s="175">
        <v>2.2440000000000002</v>
      </c>
      <c r="J226" s="242">
        <f t="shared" si="10"/>
        <v>0.68</v>
      </c>
      <c r="K226" s="175"/>
      <c r="L226" s="175"/>
      <c r="M226" s="175" t="e">
        <f t="shared" si="11"/>
        <v>#DIV/0!</v>
      </c>
      <c r="N226" s="243" t="s">
        <v>897</v>
      </c>
      <c r="P226" s="286"/>
    </row>
    <row r="227" spans="1:34" ht="92.25" customHeight="1" x14ac:dyDescent="0.25">
      <c r="A227" s="883"/>
      <c r="B227" s="260" t="s">
        <v>775</v>
      </c>
      <c r="C227" s="261" t="s">
        <v>752</v>
      </c>
      <c r="D227" s="261" t="s">
        <v>753</v>
      </c>
      <c r="E227" s="279" t="s">
        <v>176</v>
      </c>
      <c r="F227" s="279">
        <v>25</v>
      </c>
      <c r="G227" s="279">
        <v>1</v>
      </c>
      <c r="H227" s="175">
        <v>0.15</v>
      </c>
      <c r="I227" s="175">
        <v>9.9000000000000005E-2</v>
      </c>
      <c r="J227" s="242">
        <f t="shared" si="10"/>
        <v>0.66</v>
      </c>
      <c r="K227" s="175"/>
      <c r="L227" s="175"/>
      <c r="M227" s="175" t="e">
        <f t="shared" si="11"/>
        <v>#DIV/0!</v>
      </c>
      <c r="N227" s="243" t="s">
        <v>898</v>
      </c>
      <c r="P227" s="286"/>
    </row>
    <row r="228" spans="1:34" ht="92.25" customHeight="1" x14ac:dyDescent="0.25">
      <c r="A228" s="884" t="s">
        <v>709</v>
      </c>
      <c r="B228" s="287" t="s">
        <v>739</v>
      </c>
      <c r="C228" s="288" t="s">
        <v>740</v>
      </c>
      <c r="D228" s="288" t="s">
        <v>741</v>
      </c>
      <c r="E228" s="289" t="s">
        <v>176</v>
      </c>
      <c r="F228" s="290">
        <v>25</v>
      </c>
      <c r="G228" s="290">
        <v>1000</v>
      </c>
      <c r="H228" s="170">
        <v>330</v>
      </c>
      <c r="I228" s="170">
        <v>251</v>
      </c>
      <c r="J228" s="291">
        <f t="shared" si="10"/>
        <v>0.76060606060606062</v>
      </c>
      <c r="K228" s="170"/>
      <c r="L228" s="170"/>
      <c r="M228" s="170" t="e">
        <f t="shared" si="11"/>
        <v>#DIV/0!</v>
      </c>
      <c r="N228" s="278" t="s">
        <v>899</v>
      </c>
      <c r="O228" s="1"/>
      <c r="P228" s="292"/>
      <c r="Q228" s="1"/>
      <c r="R228" s="1"/>
      <c r="S228" s="1"/>
      <c r="T228" s="1"/>
      <c r="U228" s="1"/>
      <c r="V228" s="1"/>
      <c r="W228" s="1"/>
      <c r="X228" s="1"/>
      <c r="Y228" s="1"/>
      <c r="Z228" s="1"/>
      <c r="AA228" s="1"/>
      <c r="AB228" s="1"/>
      <c r="AC228" s="1"/>
      <c r="AD228" s="1"/>
      <c r="AE228" s="1"/>
      <c r="AF228" s="1"/>
      <c r="AG228" s="1"/>
      <c r="AH228" s="1"/>
    </row>
    <row r="229" spans="1:34" ht="129" customHeight="1" x14ac:dyDescent="0.25">
      <c r="A229" s="724"/>
      <c r="B229" s="293" t="s">
        <v>743</v>
      </c>
      <c r="C229" s="285" t="s">
        <v>744</v>
      </c>
      <c r="D229" s="285" t="s">
        <v>745</v>
      </c>
      <c r="E229" s="289" t="s">
        <v>176</v>
      </c>
      <c r="F229" s="191">
        <v>25</v>
      </c>
      <c r="G229" s="191">
        <v>100</v>
      </c>
      <c r="H229" s="170">
        <v>34</v>
      </c>
      <c r="I229" s="170">
        <v>26</v>
      </c>
      <c r="J229" s="291">
        <f t="shared" si="10"/>
        <v>0.76470588235294112</v>
      </c>
      <c r="K229" s="170"/>
      <c r="L229" s="170"/>
      <c r="M229" s="170" t="e">
        <f t="shared" si="11"/>
        <v>#DIV/0!</v>
      </c>
      <c r="N229" s="270" t="s">
        <v>900</v>
      </c>
      <c r="O229" s="1"/>
      <c r="P229" s="292"/>
      <c r="Q229" s="1"/>
      <c r="R229" s="1"/>
      <c r="S229" s="1"/>
      <c r="T229" s="1"/>
      <c r="U229" s="1"/>
      <c r="V229" s="1"/>
      <c r="W229" s="1"/>
      <c r="X229" s="1"/>
      <c r="Y229" s="1"/>
      <c r="Z229" s="1"/>
      <c r="AA229" s="1"/>
      <c r="AB229" s="1"/>
      <c r="AC229" s="1"/>
      <c r="AD229" s="1"/>
      <c r="AE229" s="1"/>
      <c r="AF229" s="1"/>
      <c r="AG229" s="1"/>
      <c r="AH229" s="1"/>
    </row>
    <row r="230" spans="1:34" ht="92.25" customHeight="1" x14ac:dyDescent="0.25">
      <c r="A230" s="724"/>
      <c r="B230" s="293" t="s">
        <v>747</v>
      </c>
      <c r="C230" s="285" t="s">
        <v>748</v>
      </c>
      <c r="D230" s="285" t="s">
        <v>749</v>
      </c>
      <c r="E230" s="289" t="s">
        <v>176</v>
      </c>
      <c r="F230" s="191">
        <v>25</v>
      </c>
      <c r="G230" s="191">
        <v>9</v>
      </c>
      <c r="H230" s="170">
        <v>3.3</v>
      </c>
      <c r="I230" s="170">
        <v>2.5409999999999999</v>
      </c>
      <c r="J230" s="291">
        <f t="shared" si="10"/>
        <v>0.77</v>
      </c>
      <c r="K230" s="170"/>
      <c r="L230" s="170"/>
      <c r="M230" s="170" t="e">
        <f t="shared" si="11"/>
        <v>#DIV/0!</v>
      </c>
      <c r="N230" s="278" t="s">
        <v>901</v>
      </c>
      <c r="O230" s="1"/>
      <c r="P230" s="292"/>
      <c r="Q230" s="1"/>
      <c r="R230" s="1"/>
      <c r="S230" s="1"/>
      <c r="T230" s="1"/>
      <c r="U230" s="1"/>
      <c r="V230" s="1"/>
      <c r="W230" s="1"/>
      <c r="X230" s="1"/>
      <c r="Y230" s="1"/>
      <c r="Z230" s="1"/>
      <c r="AA230" s="1"/>
      <c r="AB230" s="1"/>
      <c r="AC230" s="1"/>
      <c r="AD230" s="1"/>
      <c r="AE230" s="1"/>
      <c r="AF230" s="1"/>
      <c r="AG230" s="1"/>
      <c r="AH230" s="1"/>
    </row>
    <row r="231" spans="1:34" ht="92.25" customHeight="1" x14ac:dyDescent="0.25">
      <c r="A231" s="876"/>
      <c r="B231" s="294" t="s">
        <v>775</v>
      </c>
      <c r="C231" s="295" t="s">
        <v>752</v>
      </c>
      <c r="D231" s="295" t="s">
        <v>753</v>
      </c>
      <c r="E231" s="289" t="s">
        <v>176</v>
      </c>
      <c r="F231" s="289">
        <v>25</v>
      </c>
      <c r="G231" s="289">
        <v>1</v>
      </c>
      <c r="H231" s="170">
        <v>0.15</v>
      </c>
      <c r="I231" s="170">
        <v>0.112</v>
      </c>
      <c r="J231" s="291">
        <f t="shared" si="10"/>
        <v>0.7466666666666667</v>
      </c>
      <c r="K231" s="170"/>
      <c r="L231" s="170"/>
      <c r="M231" s="170" t="e">
        <f t="shared" si="11"/>
        <v>#DIV/0!</v>
      </c>
      <c r="N231" s="278" t="s">
        <v>902</v>
      </c>
      <c r="O231" s="1"/>
      <c r="P231" s="292"/>
      <c r="Q231" s="1"/>
      <c r="R231" s="1"/>
      <c r="S231" s="1"/>
      <c r="T231" s="1"/>
      <c r="U231" s="1"/>
      <c r="V231" s="1"/>
      <c r="W231" s="1"/>
      <c r="X231" s="1"/>
      <c r="Y231" s="1"/>
      <c r="Z231" s="1"/>
      <c r="AA231" s="1"/>
      <c r="AB231" s="1"/>
      <c r="AC231" s="1"/>
      <c r="AD231" s="1"/>
      <c r="AE231" s="1"/>
      <c r="AF231" s="1"/>
      <c r="AG231" s="1"/>
      <c r="AH231" s="1"/>
    </row>
    <row r="232" spans="1:34" ht="92.25" customHeight="1" x14ac:dyDescent="0.25">
      <c r="A232" s="884" t="s">
        <v>710</v>
      </c>
      <c r="B232" s="287" t="s">
        <v>739</v>
      </c>
      <c r="C232" s="288" t="s">
        <v>740</v>
      </c>
      <c r="D232" s="288" t="s">
        <v>741</v>
      </c>
      <c r="E232" s="289" t="s">
        <v>176</v>
      </c>
      <c r="F232" s="290">
        <v>25</v>
      </c>
      <c r="G232" s="290">
        <v>1000</v>
      </c>
      <c r="H232" s="170">
        <v>330</v>
      </c>
      <c r="I232" s="170">
        <v>282</v>
      </c>
      <c r="J232" s="291">
        <f t="shared" si="10"/>
        <v>0.8545454545454545</v>
      </c>
      <c r="K232" s="170"/>
      <c r="L232" s="170"/>
      <c r="M232" s="170" t="e">
        <f t="shared" si="11"/>
        <v>#DIV/0!</v>
      </c>
      <c r="N232" s="278" t="s">
        <v>903</v>
      </c>
      <c r="O232" s="1"/>
      <c r="P232" s="292"/>
      <c r="Q232" s="1"/>
      <c r="R232" s="1"/>
      <c r="S232" s="1"/>
      <c r="T232" s="1"/>
      <c r="U232" s="1"/>
      <c r="V232" s="1"/>
      <c r="W232" s="1"/>
      <c r="X232" s="1"/>
      <c r="Y232" s="1"/>
      <c r="Z232" s="1"/>
      <c r="AA232" s="1"/>
      <c r="AB232" s="1"/>
      <c r="AC232" s="1"/>
      <c r="AD232" s="1"/>
      <c r="AE232" s="1"/>
      <c r="AF232" s="1"/>
      <c r="AG232" s="1"/>
      <c r="AH232" s="1"/>
    </row>
    <row r="233" spans="1:34" ht="129" customHeight="1" x14ac:dyDescent="0.25">
      <c r="A233" s="724"/>
      <c r="B233" s="293" t="s">
        <v>743</v>
      </c>
      <c r="C233" s="285" t="s">
        <v>744</v>
      </c>
      <c r="D233" s="285" t="s">
        <v>745</v>
      </c>
      <c r="E233" s="289" t="s">
        <v>176</v>
      </c>
      <c r="F233" s="191">
        <v>25</v>
      </c>
      <c r="G233" s="191">
        <v>100</v>
      </c>
      <c r="H233" s="170">
        <v>34</v>
      </c>
      <c r="I233" s="170">
        <v>29</v>
      </c>
      <c r="J233" s="291">
        <f t="shared" si="10"/>
        <v>0.8529411764705882</v>
      </c>
      <c r="K233" s="170"/>
      <c r="L233" s="170"/>
      <c r="M233" s="170" t="e">
        <f t="shared" si="11"/>
        <v>#DIV/0!</v>
      </c>
      <c r="N233" s="270" t="s">
        <v>904</v>
      </c>
      <c r="O233" s="1"/>
      <c r="P233" s="292"/>
      <c r="Q233" s="1"/>
      <c r="R233" s="1"/>
      <c r="S233" s="1"/>
      <c r="T233" s="1"/>
      <c r="U233" s="1"/>
      <c r="V233" s="1"/>
      <c r="W233" s="1"/>
      <c r="X233" s="1"/>
      <c r="Y233" s="1"/>
      <c r="Z233" s="1"/>
      <c r="AA233" s="1"/>
      <c r="AB233" s="1"/>
      <c r="AC233" s="1"/>
      <c r="AD233" s="1"/>
      <c r="AE233" s="1"/>
      <c r="AF233" s="1"/>
      <c r="AG233" s="1"/>
      <c r="AH233" s="1"/>
    </row>
    <row r="234" spans="1:34" ht="92.25" customHeight="1" x14ac:dyDescent="0.25">
      <c r="A234" s="724"/>
      <c r="B234" s="293" t="s">
        <v>747</v>
      </c>
      <c r="C234" s="285" t="s">
        <v>748</v>
      </c>
      <c r="D234" s="285" t="s">
        <v>749</v>
      </c>
      <c r="E234" s="289" t="s">
        <v>176</v>
      </c>
      <c r="F234" s="191">
        <v>25</v>
      </c>
      <c r="G234" s="191">
        <v>9</v>
      </c>
      <c r="H234" s="170">
        <v>3.3</v>
      </c>
      <c r="I234" s="170">
        <v>2.8380000000000001</v>
      </c>
      <c r="J234" s="291">
        <f t="shared" si="10"/>
        <v>0.8600000000000001</v>
      </c>
      <c r="K234" s="170"/>
      <c r="L234" s="170"/>
      <c r="M234" s="170" t="e">
        <f t="shared" si="11"/>
        <v>#DIV/0!</v>
      </c>
      <c r="N234" s="278" t="s">
        <v>905</v>
      </c>
      <c r="O234" s="1"/>
      <c r="P234" s="292"/>
      <c r="Q234" s="1"/>
      <c r="R234" s="1"/>
      <c r="S234" s="1"/>
      <c r="T234" s="1"/>
      <c r="U234" s="1"/>
      <c r="V234" s="1"/>
      <c r="W234" s="1"/>
      <c r="X234" s="1"/>
      <c r="Y234" s="1"/>
      <c r="Z234" s="1"/>
      <c r="AA234" s="1"/>
      <c r="AB234" s="1"/>
      <c r="AC234" s="1"/>
      <c r="AD234" s="1"/>
      <c r="AE234" s="1"/>
      <c r="AF234" s="1"/>
      <c r="AG234" s="1"/>
      <c r="AH234" s="1"/>
    </row>
    <row r="235" spans="1:34" ht="92.25" customHeight="1" x14ac:dyDescent="0.25">
      <c r="A235" s="876"/>
      <c r="B235" s="294" t="s">
        <v>775</v>
      </c>
      <c r="C235" s="295" t="s">
        <v>752</v>
      </c>
      <c r="D235" s="295" t="s">
        <v>753</v>
      </c>
      <c r="E235" s="289" t="s">
        <v>176</v>
      </c>
      <c r="F235" s="289">
        <v>25</v>
      </c>
      <c r="G235" s="289">
        <v>1</v>
      </c>
      <c r="H235" s="170">
        <v>0.15</v>
      </c>
      <c r="I235" s="170">
        <v>0.127</v>
      </c>
      <c r="J235" s="291">
        <f t="shared" si="10"/>
        <v>0.84666666666666668</v>
      </c>
      <c r="K235" s="170"/>
      <c r="L235" s="170"/>
      <c r="M235" s="170" t="e">
        <f t="shared" si="11"/>
        <v>#DIV/0!</v>
      </c>
      <c r="N235" s="278" t="s">
        <v>906</v>
      </c>
      <c r="O235" s="1"/>
      <c r="P235" s="292"/>
      <c r="Q235" s="1"/>
      <c r="R235" s="1"/>
      <c r="S235" s="1"/>
      <c r="T235" s="1"/>
      <c r="U235" s="1"/>
      <c r="V235" s="1"/>
      <c r="W235" s="1"/>
      <c r="X235" s="1"/>
      <c r="Y235" s="1"/>
      <c r="Z235" s="1"/>
      <c r="AA235" s="1"/>
      <c r="AB235" s="1"/>
      <c r="AC235" s="1"/>
      <c r="AD235" s="1"/>
      <c r="AE235" s="1"/>
      <c r="AF235" s="1"/>
      <c r="AG235" s="1"/>
      <c r="AH235" s="1"/>
    </row>
    <row r="236" spans="1:34" ht="92.25" customHeight="1" x14ac:dyDescent="0.25">
      <c r="A236" s="875" t="s">
        <v>712</v>
      </c>
      <c r="B236" s="296" t="s">
        <v>739</v>
      </c>
      <c r="C236" s="297" t="s">
        <v>740</v>
      </c>
      <c r="D236" s="297" t="s">
        <v>741</v>
      </c>
      <c r="E236" s="298" t="s">
        <v>176</v>
      </c>
      <c r="F236" s="299">
        <v>25</v>
      </c>
      <c r="G236" s="299">
        <v>1000</v>
      </c>
      <c r="H236" s="300">
        <v>330</v>
      </c>
      <c r="I236" s="300">
        <v>302</v>
      </c>
      <c r="J236" s="301">
        <f t="shared" si="10"/>
        <v>0.91515151515151516</v>
      </c>
      <c r="K236" s="300"/>
      <c r="L236" s="300"/>
      <c r="M236" s="300" t="e">
        <f t="shared" si="11"/>
        <v>#DIV/0!</v>
      </c>
      <c r="N236" s="302" t="s">
        <v>907</v>
      </c>
      <c r="O236" s="303"/>
      <c r="P236" s="304"/>
      <c r="Q236" s="303"/>
      <c r="R236" s="303"/>
      <c r="S236" s="303"/>
      <c r="T236" s="303"/>
      <c r="U236" s="303"/>
      <c r="V236" s="303"/>
      <c r="W236" s="303"/>
      <c r="X236" s="303"/>
      <c r="Y236" s="303"/>
      <c r="Z236" s="303"/>
      <c r="AA236" s="303"/>
      <c r="AB236" s="303"/>
      <c r="AC236" s="303"/>
      <c r="AD236" s="303"/>
      <c r="AE236" s="303"/>
      <c r="AF236" s="303"/>
      <c r="AG236" s="303"/>
      <c r="AH236" s="303"/>
    </row>
    <row r="237" spans="1:34" ht="129" customHeight="1" x14ac:dyDescent="0.25">
      <c r="A237" s="724"/>
      <c r="B237" s="305" t="s">
        <v>743</v>
      </c>
      <c r="C237" s="306" t="s">
        <v>744</v>
      </c>
      <c r="D237" s="306" t="s">
        <v>745</v>
      </c>
      <c r="E237" s="298" t="s">
        <v>176</v>
      </c>
      <c r="F237" s="307">
        <v>25</v>
      </c>
      <c r="G237" s="307">
        <v>100</v>
      </c>
      <c r="H237" s="300">
        <v>34</v>
      </c>
      <c r="I237" s="300">
        <v>32</v>
      </c>
      <c r="J237" s="301">
        <f t="shared" si="10"/>
        <v>0.94117647058823528</v>
      </c>
      <c r="K237" s="300"/>
      <c r="L237" s="300"/>
      <c r="M237" s="300" t="e">
        <f t="shared" si="11"/>
        <v>#DIV/0!</v>
      </c>
      <c r="N237" s="308" t="s">
        <v>908</v>
      </c>
      <c r="O237" s="303"/>
      <c r="P237" s="304"/>
      <c r="Q237" s="303"/>
      <c r="R237" s="303"/>
      <c r="S237" s="303"/>
      <c r="T237" s="303"/>
      <c r="U237" s="303"/>
      <c r="V237" s="303"/>
      <c r="W237" s="303"/>
      <c r="X237" s="303"/>
      <c r="Y237" s="303"/>
      <c r="Z237" s="303"/>
      <c r="AA237" s="303"/>
      <c r="AB237" s="303"/>
      <c r="AC237" s="303"/>
      <c r="AD237" s="303"/>
      <c r="AE237" s="303"/>
      <c r="AF237" s="303"/>
      <c r="AG237" s="303"/>
      <c r="AH237" s="303"/>
    </row>
    <row r="238" spans="1:34" ht="92.25" customHeight="1" x14ac:dyDescent="0.25">
      <c r="A238" s="724"/>
      <c r="B238" s="305" t="s">
        <v>747</v>
      </c>
      <c r="C238" s="306" t="s">
        <v>748</v>
      </c>
      <c r="D238" s="306" t="s">
        <v>749</v>
      </c>
      <c r="E238" s="298" t="s">
        <v>176</v>
      </c>
      <c r="F238" s="307">
        <v>25</v>
      </c>
      <c r="G238" s="307">
        <v>9</v>
      </c>
      <c r="H238" s="300">
        <v>3.3</v>
      </c>
      <c r="I238" s="300">
        <v>3.1349999999999998</v>
      </c>
      <c r="J238" s="301">
        <f t="shared" si="10"/>
        <v>0.95</v>
      </c>
      <c r="K238" s="300"/>
      <c r="L238" s="300"/>
      <c r="M238" s="300" t="e">
        <f t="shared" si="11"/>
        <v>#DIV/0!</v>
      </c>
      <c r="N238" s="302" t="s">
        <v>909</v>
      </c>
      <c r="O238" s="303"/>
      <c r="P238" s="304"/>
      <c r="Q238" s="303"/>
      <c r="R238" s="303"/>
      <c r="S238" s="303"/>
      <c r="T238" s="303"/>
      <c r="U238" s="303"/>
      <c r="V238" s="303"/>
      <c r="W238" s="303"/>
      <c r="X238" s="303"/>
      <c r="Y238" s="303"/>
      <c r="Z238" s="303"/>
      <c r="AA238" s="303"/>
      <c r="AB238" s="303"/>
      <c r="AC238" s="303"/>
      <c r="AD238" s="303"/>
      <c r="AE238" s="303"/>
      <c r="AF238" s="303"/>
      <c r="AG238" s="303"/>
      <c r="AH238" s="303"/>
    </row>
    <row r="239" spans="1:34" ht="92.25" customHeight="1" x14ac:dyDescent="0.25">
      <c r="A239" s="876"/>
      <c r="B239" s="309" t="s">
        <v>775</v>
      </c>
      <c r="C239" s="310" t="s">
        <v>752</v>
      </c>
      <c r="D239" s="310" t="s">
        <v>753</v>
      </c>
      <c r="E239" s="298" t="s">
        <v>176</v>
      </c>
      <c r="F239" s="298">
        <v>25</v>
      </c>
      <c r="G239" s="298">
        <v>1</v>
      </c>
      <c r="H239" s="300">
        <v>0.15</v>
      </c>
      <c r="I239" s="300">
        <v>0.14200000000000002</v>
      </c>
      <c r="J239" s="301">
        <f t="shared" si="10"/>
        <v>0.94666666666666677</v>
      </c>
      <c r="K239" s="300"/>
      <c r="L239" s="300"/>
      <c r="M239" s="300" t="e">
        <f t="shared" si="11"/>
        <v>#DIV/0!</v>
      </c>
      <c r="N239" s="302" t="s">
        <v>910</v>
      </c>
      <c r="O239" s="303"/>
      <c r="P239" s="304"/>
      <c r="Q239" s="303"/>
      <c r="R239" s="303"/>
      <c r="S239" s="303"/>
      <c r="T239" s="303"/>
      <c r="U239" s="303"/>
      <c r="V239" s="303"/>
      <c r="W239" s="303"/>
      <c r="X239" s="303"/>
      <c r="Y239" s="303"/>
      <c r="Z239" s="303"/>
      <c r="AA239" s="303"/>
      <c r="AB239" s="303"/>
      <c r="AC239" s="303"/>
      <c r="AD239" s="303"/>
      <c r="AE239" s="303"/>
      <c r="AF239" s="303"/>
      <c r="AG239" s="303"/>
      <c r="AH239" s="303"/>
    </row>
    <row r="240" spans="1:34" s="569" customFormat="1" ht="92.25" customHeight="1" x14ac:dyDescent="0.25">
      <c r="A240" s="879" t="s">
        <v>713</v>
      </c>
      <c r="B240" s="584" t="s">
        <v>739</v>
      </c>
      <c r="C240" s="585" t="s">
        <v>740</v>
      </c>
      <c r="D240" s="585" t="s">
        <v>741</v>
      </c>
      <c r="E240" s="586" t="s">
        <v>176</v>
      </c>
      <c r="F240" s="587">
        <v>25</v>
      </c>
      <c r="G240" s="587">
        <v>1000</v>
      </c>
      <c r="H240" s="596">
        <v>330</v>
      </c>
      <c r="I240" s="596">
        <v>322</v>
      </c>
      <c r="J240" s="597">
        <f t="shared" si="10"/>
        <v>0.97575757575757571</v>
      </c>
      <c r="K240" s="596"/>
      <c r="L240" s="596"/>
      <c r="M240" s="596" t="e">
        <f t="shared" si="11"/>
        <v>#DIV/0!</v>
      </c>
      <c r="N240" s="598" t="s">
        <v>911</v>
      </c>
      <c r="O240" s="599"/>
      <c r="P240" s="600"/>
      <c r="Q240" s="599"/>
      <c r="R240" s="599"/>
      <c r="S240" s="599"/>
      <c r="T240" s="599"/>
      <c r="U240" s="599"/>
      <c r="V240" s="599"/>
      <c r="W240" s="599"/>
      <c r="X240" s="599"/>
      <c r="Y240" s="599"/>
      <c r="Z240" s="599"/>
      <c r="AA240" s="599"/>
      <c r="AB240" s="599"/>
      <c r="AC240" s="599"/>
      <c r="AD240" s="599"/>
      <c r="AE240" s="599"/>
      <c r="AF240" s="599"/>
      <c r="AG240" s="599"/>
      <c r="AH240" s="599"/>
    </row>
    <row r="241" spans="1:34" s="569" customFormat="1" ht="129" customHeight="1" x14ac:dyDescent="0.25">
      <c r="A241" s="880"/>
      <c r="B241" s="591" t="s">
        <v>743</v>
      </c>
      <c r="C241" s="592" t="s">
        <v>744</v>
      </c>
      <c r="D241" s="592" t="s">
        <v>745</v>
      </c>
      <c r="E241" s="586" t="s">
        <v>176</v>
      </c>
      <c r="F241" s="593">
        <v>25</v>
      </c>
      <c r="G241" s="593">
        <v>100</v>
      </c>
      <c r="H241" s="596">
        <v>34</v>
      </c>
      <c r="I241" s="596">
        <v>34</v>
      </c>
      <c r="J241" s="597">
        <f t="shared" si="10"/>
        <v>1</v>
      </c>
      <c r="K241" s="596"/>
      <c r="L241" s="596"/>
      <c r="M241" s="596" t="e">
        <f t="shared" si="11"/>
        <v>#DIV/0!</v>
      </c>
      <c r="N241" s="601" t="s">
        <v>912</v>
      </c>
      <c r="O241" s="599"/>
      <c r="P241" s="600"/>
      <c r="Q241" s="599"/>
      <c r="R241" s="599"/>
      <c r="S241" s="599"/>
      <c r="T241" s="599"/>
      <c r="U241" s="599"/>
      <c r="V241" s="599"/>
      <c r="W241" s="599"/>
      <c r="X241" s="599"/>
      <c r="Y241" s="599"/>
      <c r="Z241" s="599"/>
      <c r="AA241" s="599"/>
      <c r="AB241" s="599"/>
      <c r="AC241" s="599"/>
      <c r="AD241" s="599"/>
      <c r="AE241" s="599"/>
      <c r="AF241" s="599"/>
      <c r="AG241" s="599"/>
      <c r="AH241" s="599"/>
    </row>
    <row r="242" spans="1:34" s="569" customFormat="1" ht="92.25" customHeight="1" x14ac:dyDescent="0.25">
      <c r="A242" s="880"/>
      <c r="B242" s="591" t="s">
        <v>747</v>
      </c>
      <c r="C242" s="592" t="s">
        <v>748</v>
      </c>
      <c r="D242" s="592" t="s">
        <v>749</v>
      </c>
      <c r="E242" s="586" t="s">
        <v>176</v>
      </c>
      <c r="F242" s="593">
        <v>25</v>
      </c>
      <c r="G242" s="593">
        <v>9</v>
      </c>
      <c r="H242" s="596">
        <v>3.3</v>
      </c>
      <c r="I242" s="596">
        <v>3.3</v>
      </c>
      <c r="J242" s="597">
        <f t="shared" si="10"/>
        <v>1</v>
      </c>
      <c r="K242" s="596"/>
      <c r="L242" s="596"/>
      <c r="M242" s="596" t="e">
        <f t="shared" si="11"/>
        <v>#DIV/0!</v>
      </c>
      <c r="N242" s="598" t="s">
        <v>913</v>
      </c>
      <c r="O242" s="599"/>
      <c r="P242" s="600"/>
      <c r="Q242" s="599"/>
      <c r="R242" s="599"/>
      <c r="S242" s="599"/>
      <c r="T242" s="599"/>
      <c r="U242" s="599"/>
      <c r="V242" s="599"/>
      <c r="W242" s="599"/>
      <c r="X242" s="599"/>
      <c r="Y242" s="599"/>
      <c r="Z242" s="599"/>
      <c r="AA242" s="599"/>
      <c r="AB242" s="599"/>
      <c r="AC242" s="599"/>
      <c r="AD242" s="599"/>
      <c r="AE242" s="599"/>
      <c r="AF242" s="599"/>
      <c r="AG242" s="599"/>
      <c r="AH242" s="599"/>
    </row>
    <row r="243" spans="1:34" s="569" customFormat="1" ht="92.25" customHeight="1" x14ac:dyDescent="0.25">
      <c r="A243" s="881"/>
      <c r="B243" s="594" t="s">
        <v>775</v>
      </c>
      <c r="C243" s="595" t="s">
        <v>752</v>
      </c>
      <c r="D243" s="595" t="s">
        <v>753</v>
      </c>
      <c r="E243" s="586" t="s">
        <v>176</v>
      </c>
      <c r="F243" s="586">
        <v>25</v>
      </c>
      <c r="G243" s="586">
        <v>1</v>
      </c>
      <c r="H243" s="596">
        <v>0.15</v>
      </c>
      <c r="I243" s="596">
        <v>0.15</v>
      </c>
      <c r="J243" s="597">
        <f t="shared" si="10"/>
        <v>1</v>
      </c>
      <c r="K243" s="596"/>
      <c r="L243" s="596"/>
      <c r="M243" s="596" t="e">
        <f t="shared" si="11"/>
        <v>#DIV/0!</v>
      </c>
      <c r="N243" s="598" t="s">
        <v>910</v>
      </c>
      <c r="O243" s="599"/>
      <c r="P243" s="600"/>
      <c r="Q243" s="599"/>
      <c r="R243" s="599"/>
      <c r="S243" s="599"/>
      <c r="T243" s="599"/>
      <c r="U243" s="599"/>
      <c r="V243" s="599"/>
      <c r="W243" s="599"/>
      <c r="X243" s="599"/>
      <c r="Y243" s="599"/>
      <c r="Z243" s="599"/>
      <c r="AA243" s="599"/>
      <c r="AB243" s="599"/>
      <c r="AC243" s="599"/>
      <c r="AD243" s="599"/>
      <c r="AE243" s="599"/>
      <c r="AF243" s="599"/>
      <c r="AG243" s="599"/>
      <c r="AH243" s="599"/>
    </row>
    <row r="244" spans="1:34" ht="15.75" customHeight="1" x14ac:dyDescent="0.25">
      <c r="A244" s="870" t="s">
        <v>914</v>
      </c>
      <c r="B244" s="695"/>
      <c r="C244" s="695"/>
      <c r="D244" s="695"/>
      <c r="E244" s="695"/>
      <c r="F244" s="695"/>
      <c r="G244" s="695"/>
      <c r="H244" s="695"/>
      <c r="I244" s="695"/>
      <c r="J244" s="695"/>
      <c r="K244" s="695"/>
      <c r="L244" s="695"/>
      <c r="M244" s="695"/>
      <c r="N244" s="736"/>
    </row>
    <row r="245" spans="1:34" ht="44.25" customHeight="1" thickBot="1" x14ac:dyDescent="0.3">
      <c r="A245" s="198" t="s">
        <v>28</v>
      </c>
      <c r="B245" s="199" t="s">
        <v>726</v>
      </c>
      <c r="C245" s="199" t="s">
        <v>727</v>
      </c>
      <c r="D245" s="199" t="s">
        <v>728</v>
      </c>
      <c r="E245" s="199" t="s">
        <v>729</v>
      </c>
      <c r="F245" s="199" t="s">
        <v>915</v>
      </c>
      <c r="G245" s="199" t="s">
        <v>731</v>
      </c>
      <c r="H245" s="199" t="s">
        <v>916</v>
      </c>
      <c r="I245" s="199" t="s">
        <v>917</v>
      </c>
      <c r="J245" s="241" t="s">
        <v>918</v>
      </c>
      <c r="K245" s="199" t="s">
        <v>735</v>
      </c>
      <c r="L245" s="199" t="s">
        <v>736</v>
      </c>
      <c r="M245" s="199" t="s">
        <v>737</v>
      </c>
      <c r="N245" s="200" t="s">
        <v>738</v>
      </c>
    </row>
    <row r="246" spans="1:34" s="569" customFormat="1" ht="85.9" customHeight="1" thickBot="1" x14ac:dyDescent="0.3">
      <c r="A246" s="886" t="s">
        <v>715</v>
      </c>
      <c r="B246" s="584" t="s">
        <v>739</v>
      </c>
      <c r="C246" s="585" t="s">
        <v>740</v>
      </c>
      <c r="D246" s="585" t="s">
        <v>741</v>
      </c>
      <c r="E246" s="586" t="s">
        <v>176</v>
      </c>
      <c r="F246" s="587">
        <v>25</v>
      </c>
      <c r="G246" s="587">
        <v>1000</v>
      </c>
      <c r="H246" s="587">
        <v>148</v>
      </c>
      <c r="I246" s="588">
        <v>22</v>
      </c>
      <c r="J246" s="589">
        <f t="shared" ref="J246:J269" si="12">I246/H246</f>
        <v>0.14864864864864866</v>
      </c>
      <c r="K246" s="588">
        <v>5</v>
      </c>
      <c r="L246" s="588">
        <v>5</v>
      </c>
      <c r="M246" s="588">
        <f>L246/K246</f>
        <v>1</v>
      </c>
      <c r="N246" s="590" t="s">
        <v>1459</v>
      </c>
    </row>
    <row r="247" spans="1:34" s="569" customFormat="1" ht="85.9" customHeight="1" thickBot="1" x14ac:dyDescent="0.3">
      <c r="A247" s="887"/>
      <c r="B247" s="591" t="s">
        <v>743</v>
      </c>
      <c r="C247" s="592" t="s">
        <v>744</v>
      </c>
      <c r="D247" s="592" t="s">
        <v>745</v>
      </c>
      <c r="E247" s="586" t="s">
        <v>176</v>
      </c>
      <c r="F247" s="593">
        <v>25</v>
      </c>
      <c r="G247" s="593">
        <v>100</v>
      </c>
      <c r="H247" s="593">
        <v>9</v>
      </c>
      <c r="I247" s="588">
        <v>2</v>
      </c>
      <c r="J247" s="589">
        <f t="shared" si="12"/>
        <v>0.22222222222222221</v>
      </c>
      <c r="K247" s="588">
        <v>3</v>
      </c>
      <c r="L247" s="588">
        <v>3</v>
      </c>
      <c r="M247" s="588">
        <f t="shared" ref="M247:M269" si="13">L247/K247</f>
        <v>1</v>
      </c>
      <c r="N247" s="590" t="s">
        <v>1460</v>
      </c>
    </row>
    <row r="248" spans="1:34" s="569" customFormat="1" ht="85.9" customHeight="1" thickBot="1" x14ac:dyDescent="0.3">
      <c r="A248" s="887"/>
      <c r="B248" s="591" t="s">
        <v>747</v>
      </c>
      <c r="C248" s="592" t="s">
        <v>748</v>
      </c>
      <c r="D248" s="592" t="s">
        <v>749</v>
      </c>
      <c r="E248" s="586" t="s">
        <v>176</v>
      </c>
      <c r="F248" s="593">
        <v>25</v>
      </c>
      <c r="G248" s="593">
        <v>9</v>
      </c>
      <c r="H248" s="593">
        <v>1.3</v>
      </c>
      <c r="I248" s="588">
        <v>6.5000000000000002E-2</v>
      </c>
      <c r="J248" s="589">
        <f t="shared" si="12"/>
        <v>0.05</v>
      </c>
      <c r="K248" s="588"/>
      <c r="L248" s="588"/>
      <c r="M248" s="588" t="e">
        <f t="shared" si="13"/>
        <v>#DIV/0!</v>
      </c>
      <c r="N248" s="590" t="s">
        <v>1461</v>
      </c>
    </row>
    <row r="249" spans="1:34" s="569" customFormat="1" ht="85.9" customHeight="1" thickBot="1" x14ac:dyDescent="0.3">
      <c r="A249" s="888"/>
      <c r="B249" s="594" t="s">
        <v>775</v>
      </c>
      <c r="C249" s="595" t="s">
        <v>752</v>
      </c>
      <c r="D249" s="595" t="s">
        <v>753</v>
      </c>
      <c r="E249" s="586" t="s">
        <v>176</v>
      </c>
      <c r="F249" s="586">
        <v>25</v>
      </c>
      <c r="G249" s="586">
        <v>1</v>
      </c>
      <c r="H249" s="586">
        <v>0.1</v>
      </c>
      <c r="I249" s="588">
        <v>1.6E-2</v>
      </c>
      <c r="J249" s="589">
        <f t="shared" si="12"/>
        <v>0.16</v>
      </c>
      <c r="K249" s="588"/>
      <c r="L249" s="588"/>
      <c r="M249" s="588" t="e">
        <f t="shared" si="13"/>
        <v>#DIV/0!</v>
      </c>
      <c r="N249" s="590" t="s">
        <v>910</v>
      </c>
    </row>
    <row r="250" spans="1:34" ht="64.150000000000006" customHeight="1" thickBot="1" x14ac:dyDescent="0.3">
      <c r="A250" s="889" t="s">
        <v>716</v>
      </c>
      <c r="B250" s="681" t="s">
        <v>739</v>
      </c>
      <c r="C250" s="251" t="s">
        <v>740</v>
      </c>
      <c r="D250" s="251" t="s">
        <v>741</v>
      </c>
      <c r="E250" s="279" t="s">
        <v>176</v>
      </c>
      <c r="F250" s="280">
        <v>25</v>
      </c>
      <c r="G250" s="280">
        <v>1000</v>
      </c>
      <c r="H250" s="280">
        <v>148</v>
      </c>
      <c r="I250" s="175">
        <v>46</v>
      </c>
      <c r="J250" s="242">
        <f t="shared" ref="J250:J257" si="14">I250/H250</f>
        <v>0.3108108108108108</v>
      </c>
      <c r="K250" s="175"/>
      <c r="L250" s="175"/>
      <c r="M250" s="175" t="e">
        <f t="shared" ref="M250:M257" si="15">L250/K250</f>
        <v>#DIV/0!</v>
      </c>
      <c r="N250" s="243" t="s">
        <v>1485</v>
      </c>
    </row>
    <row r="251" spans="1:34" ht="64.150000000000006" customHeight="1" thickBot="1" x14ac:dyDescent="0.3">
      <c r="A251" s="890"/>
      <c r="B251" s="30" t="s">
        <v>743</v>
      </c>
      <c r="C251" s="256" t="s">
        <v>744</v>
      </c>
      <c r="D251" s="256" t="s">
        <v>745</v>
      </c>
      <c r="E251" s="279" t="s">
        <v>176</v>
      </c>
      <c r="F251" s="61">
        <v>25</v>
      </c>
      <c r="G251" s="61">
        <v>100</v>
      </c>
      <c r="H251" s="61">
        <v>16</v>
      </c>
      <c r="I251" s="175">
        <v>2</v>
      </c>
      <c r="J251" s="242">
        <f t="shared" si="14"/>
        <v>0.125</v>
      </c>
      <c r="K251" s="175"/>
      <c r="L251" s="175"/>
      <c r="M251" s="175" t="e">
        <f t="shared" si="15"/>
        <v>#DIV/0!</v>
      </c>
      <c r="N251" s="243" t="s">
        <v>1486</v>
      </c>
    </row>
    <row r="252" spans="1:34" ht="64.150000000000006" customHeight="1" thickBot="1" x14ac:dyDescent="0.3">
      <c r="A252" s="890"/>
      <c r="B252" s="30" t="s">
        <v>747</v>
      </c>
      <c r="C252" s="256" t="s">
        <v>748</v>
      </c>
      <c r="D252" s="256" t="s">
        <v>749</v>
      </c>
      <c r="E252" s="279" t="s">
        <v>176</v>
      </c>
      <c r="F252" s="61">
        <v>25</v>
      </c>
      <c r="G252" s="61">
        <v>9</v>
      </c>
      <c r="H252" s="61">
        <v>1.3</v>
      </c>
      <c r="I252" s="175">
        <v>0.12</v>
      </c>
      <c r="J252" s="242">
        <f t="shared" si="14"/>
        <v>9.2307692307692299E-2</v>
      </c>
      <c r="K252" s="175"/>
      <c r="L252" s="175"/>
      <c r="M252" s="175" t="e">
        <f t="shared" si="15"/>
        <v>#DIV/0!</v>
      </c>
      <c r="N252" s="243" t="s">
        <v>1487</v>
      </c>
    </row>
    <row r="253" spans="1:34" ht="64.150000000000006" customHeight="1" thickBot="1" x14ac:dyDescent="0.3">
      <c r="A253" s="891"/>
      <c r="B253" s="260" t="s">
        <v>775</v>
      </c>
      <c r="C253" s="261" t="s">
        <v>752</v>
      </c>
      <c r="D253" s="261" t="s">
        <v>753</v>
      </c>
      <c r="E253" s="279" t="s">
        <v>176</v>
      </c>
      <c r="F253" s="279">
        <v>25</v>
      </c>
      <c r="G253" s="279">
        <v>1</v>
      </c>
      <c r="H253" s="279">
        <v>0.1</v>
      </c>
      <c r="I253" s="175">
        <v>1.7000000000000001E-2</v>
      </c>
      <c r="J253" s="242">
        <f t="shared" si="14"/>
        <v>0.17</v>
      </c>
      <c r="K253" s="175"/>
      <c r="L253" s="175"/>
      <c r="M253" s="175" t="e">
        <f t="shared" si="15"/>
        <v>#DIV/0!</v>
      </c>
      <c r="N253" s="243" t="s">
        <v>910</v>
      </c>
    </row>
    <row r="254" spans="1:34" s="1186" customFormat="1" ht="73.900000000000006" customHeight="1" thickBot="1" x14ac:dyDescent="0.3">
      <c r="A254" s="1191" t="s">
        <v>717</v>
      </c>
      <c r="B254" s="1192" t="s">
        <v>739</v>
      </c>
      <c r="C254" s="1193" t="s">
        <v>740</v>
      </c>
      <c r="D254" s="1193" t="s">
        <v>741</v>
      </c>
      <c r="E254" s="1194" t="s">
        <v>176</v>
      </c>
      <c r="F254" s="1195">
        <v>25</v>
      </c>
      <c r="G254" s="1195">
        <v>1000</v>
      </c>
      <c r="H254" s="1195">
        <v>148</v>
      </c>
      <c r="I254" s="1183">
        <v>70</v>
      </c>
      <c r="J254" s="1196">
        <f t="shared" si="14"/>
        <v>0.47297297297297297</v>
      </c>
      <c r="K254" s="1183"/>
      <c r="L254" s="1183"/>
      <c r="M254" s="1183" t="e">
        <f t="shared" si="15"/>
        <v>#DIV/0!</v>
      </c>
      <c r="N254" s="1185" t="s">
        <v>1597</v>
      </c>
    </row>
    <row r="255" spans="1:34" s="1186" customFormat="1" ht="73.900000000000006" customHeight="1" thickBot="1" x14ac:dyDescent="0.3">
      <c r="A255" s="1197"/>
      <c r="B255" s="1198" t="s">
        <v>743</v>
      </c>
      <c r="C255" s="1199" t="s">
        <v>744</v>
      </c>
      <c r="D255" s="1199" t="s">
        <v>745</v>
      </c>
      <c r="E255" s="1194" t="s">
        <v>176</v>
      </c>
      <c r="F255" s="1025">
        <v>25</v>
      </c>
      <c r="G255" s="1025">
        <v>100</v>
      </c>
      <c r="H255" s="1025">
        <v>16</v>
      </c>
      <c r="I255" s="1183">
        <v>2</v>
      </c>
      <c r="J255" s="1196">
        <f t="shared" si="14"/>
        <v>0.125</v>
      </c>
      <c r="K255" s="1183"/>
      <c r="L255" s="1183"/>
      <c r="M255" s="1183" t="e">
        <f t="shared" si="15"/>
        <v>#DIV/0!</v>
      </c>
      <c r="N255" s="1185" t="s">
        <v>1611</v>
      </c>
    </row>
    <row r="256" spans="1:34" s="1186" customFormat="1" ht="73.900000000000006" customHeight="1" thickBot="1" x14ac:dyDescent="0.3">
      <c r="A256" s="1197"/>
      <c r="B256" s="1198" t="s">
        <v>747</v>
      </c>
      <c r="C256" s="1199" t="s">
        <v>748</v>
      </c>
      <c r="D256" s="1199" t="s">
        <v>749</v>
      </c>
      <c r="E256" s="1194" t="s">
        <v>176</v>
      </c>
      <c r="F256" s="1025">
        <v>25</v>
      </c>
      <c r="G256" s="1025">
        <v>9</v>
      </c>
      <c r="H256" s="1025">
        <v>1.3</v>
      </c>
      <c r="I256" s="1183">
        <v>0.51</v>
      </c>
      <c r="J256" s="1196">
        <f t="shared" si="14"/>
        <v>0.3923076923076923</v>
      </c>
      <c r="K256" s="1183"/>
      <c r="L256" s="1183"/>
      <c r="M256" s="1183" t="e">
        <f t="shared" si="15"/>
        <v>#DIV/0!</v>
      </c>
      <c r="N256" s="1185" t="s">
        <v>1598</v>
      </c>
    </row>
    <row r="257" spans="1:14" s="1186" customFormat="1" ht="73.900000000000006" customHeight="1" thickBot="1" x14ac:dyDescent="0.3">
      <c r="A257" s="1200"/>
      <c r="B257" s="1201" t="s">
        <v>775</v>
      </c>
      <c r="C257" s="1202" t="s">
        <v>752</v>
      </c>
      <c r="D257" s="1202" t="s">
        <v>753</v>
      </c>
      <c r="E257" s="1194" t="s">
        <v>176</v>
      </c>
      <c r="F257" s="1194">
        <v>25</v>
      </c>
      <c r="G257" s="1194">
        <v>1</v>
      </c>
      <c r="H257" s="1194">
        <v>0.1</v>
      </c>
      <c r="I257" s="1183">
        <v>0.05</v>
      </c>
      <c r="J257" s="1196">
        <f t="shared" si="14"/>
        <v>0.5</v>
      </c>
      <c r="K257" s="1183"/>
      <c r="L257" s="1183"/>
      <c r="M257" s="1183" t="e">
        <f t="shared" si="15"/>
        <v>#DIV/0!</v>
      </c>
      <c r="N257" s="1185" t="s">
        <v>910</v>
      </c>
    </row>
    <row r="258" spans="1:14" s="569" customFormat="1" ht="16.5" customHeight="1" thickBot="1" x14ac:dyDescent="0.3">
      <c r="A258" s="905" t="s">
        <v>718</v>
      </c>
      <c r="B258" s="584" t="s">
        <v>739</v>
      </c>
      <c r="C258" s="585" t="s">
        <v>740</v>
      </c>
      <c r="D258" s="585" t="s">
        <v>741</v>
      </c>
      <c r="E258" s="586" t="s">
        <v>176</v>
      </c>
      <c r="F258" s="587">
        <v>25</v>
      </c>
      <c r="G258" s="588"/>
      <c r="H258" s="588"/>
      <c r="I258" s="588"/>
      <c r="J258" s="589" t="e">
        <f>I258/H258</f>
        <v>#DIV/0!</v>
      </c>
      <c r="K258" s="588"/>
      <c r="L258" s="588"/>
      <c r="M258" s="588" t="e">
        <f>L258/K258</f>
        <v>#DIV/0!</v>
      </c>
      <c r="N258" s="590"/>
    </row>
    <row r="259" spans="1:14" s="569" customFormat="1" ht="16.5" customHeight="1" thickBot="1" x14ac:dyDescent="0.3">
      <c r="A259" s="906"/>
      <c r="B259" s="591" t="s">
        <v>743</v>
      </c>
      <c r="C259" s="592" t="s">
        <v>744</v>
      </c>
      <c r="D259" s="592" t="s">
        <v>745</v>
      </c>
      <c r="E259" s="586" t="s">
        <v>176</v>
      </c>
      <c r="F259" s="593">
        <v>25</v>
      </c>
      <c r="G259" s="588"/>
      <c r="H259" s="588"/>
      <c r="I259" s="588"/>
      <c r="J259" s="589" t="e">
        <f>I259/H259</f>
        <v>#DIV/0!</v>
      </c>
      <c r="K259" s="588"/>
      <c r="L259" s="588"/>
      <c r="M259" s="588" t="e">
        <f>L259/K259</f>
        <v>#DIV/0!</v>
      </c>
      <c r="N259" s="590"/>
    </row>
    <row r="260" spans="1:14" s="569" customFormat="1" ht="16.5" customHeight="1" thickBot="1" x14ac:dyDescent="0.3">
      <c r="A260" s="906"/>
      <c r="B260" s="591" t="s">
        <v>747</v>
      </c>
      <c r="C260" s="592" t="s">
        <v>748</v>
      </c>
      <c r="D260" s="592" t="s">
        <v>749</v>
      </c>
      <c r="E260" s="586" t="s">
        <v>176</v>
      </c>
      <c r="F260" s="593">
        <v>25</v>
      </c>
      <c r="G260" s="588"/>
      <c r="H260" s="588"/>
      <c r="I260" s="588"/>
      <c r="J260" s="589" t="e">
        <f>I260/H260</f>
        <v>#DIV/0!</v>
      </c>
      <c r="K260" s="588"/>
      <c r="L260" s="588"/>
      <c r="M260" s="588" t="e">
        <f>L260/K260</f>
        <v>#DIV/0!</v>
      </c>
      <c r="N260" s="590"/>
    </row>
    <row r="261" spans="1:14" s="569" customFormat="1" ht="16.5" customHeight="1" thickBot="1" x14ac:dyDescent="0.3">
      <c r="A261" s="907"/>
      <c r="B261" s="594" t="s">
        <v>775</v>
      </c>
      <c r="C261" s="595" t="s">
        <v>752</v>
      </c>
      <c r="D261" s="595" t="s">
        <v>753</v>
      </c>
      <c r="E261" s="586" t="s">
        <v>176</v>
      </c>
      <c r="F261" s="586">
        <v>25</v>
      </c>
      <c r="G261" s="588"/>
      <c r="H261" s="588"/>
      <c r="I261" s="588"/>
      <c r="J261" s="589" t="e">
        <f>I261/H261</f>
        <v>#DIV/0!</v>
      </c>
      <c r="K261" s="588"/>
      <c r="L261" s="588"/>
      <c r="M261" s="588" t="e">
        <f>L261/K261</f>
        <v>#DIV/0!</v>
      </c>
      <c r="N261" s="590"/>
    </row>
    <row r="262" spans="1:14" ht="16.5" customHeight="1" x14ac:dyDescent="0.25">
      <c r="A262" s="209" t="s">
        <v>719</v>
      </c>
      <c r="B262" s="202"/>
      <c r="C262" s="203"/>
      <c r="D262" s="203"/>
      <c r="E262" s="175"/>
      <c r="F262" s="175"/>
      <c r="G262" s="175"/>
      <c r="H262" s="175"/>
      <c r="I262" s="175"/>
      <c r="J262" s="242" t="e">
        <f t="shared" si="12"/>
        <v>#DIV/0!</v>
      </c>
      <c r="K262" s="175"/>
      <c r="L262" s="175"/>
      <c r="M262" s="175" t="e">
        <f t="shared" si="13"/>
        <v>#DIV/0!</v>
      </c>
      <c r="N262" s="243"/>
    </row>
    <row r="263" spans="1:14" ht="16.5" customHeight="1" x14ac:dyDescent="0.25">
      <c r="A263" s="209" t="s">
        <v>720</v>
      </c>
      <c r="B263" s="202"/>
      <c r="C263" s="203"/>
      <c r="D263" s="203"/>
      <c r="E263" s="175"/>
      <c r="F263" s="175"/>
      <c r="G263" s="175"/>
      <c r="H263" s="175"/>
      <c r="I263" s="175"/>
      <c r="J263" s="242" t="e">
        <f t="shared" si="12"/>
        <v>#DIV/0!</v>
      </c>
      <c r="K263" s="175"/>
      <c r="L263" s="175"/>
      <c r="M263" s="175" t="e">
        <f t="shared" si="13"/>
        <v>#DIV/0!</v>
      </c>
      <c r="N263" s="243"/>
    </row>
    <row r="264" spans="1:14" ht="15.75" customHeight="1" x14ac:dyDescent="0.25">
      <c r="A264" s="209" t="s">
        <v>707</v>
      </c>
      <c r="B264" s="202"/>
      <c r="C264" s="203"/>
      <c r="D264" s="203"/>
      <c r="E264" s="175"/>
      <c r="F264" s="175"/>
      <c r="G264" s="175"/>
      <c r="H264" s="175"/>
      <c r="I264" s="175"/>
      <c r="J264" s="242" t="e">
        <f t="shared" si="12"/>
        <v>#DIV/0!</v>
      </c>
      <c r="K264" s="175"/>
      <c r="L264" s="175"/>
      <c r="M264" s="175" t="e">
        <f t="shared" si="13"/>
        <v>#DIV/0!</v>
      </c>
      <c r="N264" s="243"/>
    </row>
    <row r="265" spans="1:14" ht="15.75" customHeight="1" x14ac:dyDescent="0.25">
      <c r="A265" s="209" t="s">
        <v>708</v>
      </c>
      <c r="B265" s="202"/>
      <c r="C265" s="203"/>
      <c r="D265" s="203"/>
      <c r="E265" s="175"/>
      <c r="F265" s="175"/>
      <c r="G265" s="175"/>
      <c r="H265" s="175"/>
      <c r="I265" s="175"/>
      <c r="J265" s="242" t="e">
        <f t="shared" si="12"/>
        <v>#DIV/0!</v>
      </c>
      <c r="K265" s="175"/>
      <c r="L265" s="175"/>
      <c r="M265" s="175" t="e">
        <f t="shared" si="13"/>
        <v>#DIV/0!</v>
      </c>
      <c r="N265" s="243"/>
    </row>
    <row r="266" spans="1:14" ht="15.75" customHeight="1" x14ac:dyDescent="0.25">
      <c r="A266" s="209" t="s">
        <v>709</v>
      </c>
      <c r="B266" s="202"/>
      <c r="C266" s="203"/>
      <c r="D266" s="203"/>
      <c r="E266" s="175"/>
      <c r="F266" s="175"/>
      <c r="G266" s="175"/>
      <c r="H266" s="175"/>
      <c r="I266" s="175"/>
      <c r="J266" s="242" t="e">
        <f t="shared" si="12"/>
        <v>#DIV/0!</v>
      </c>
      <c r="K266" s="175"/>
      <c r="L266" s="175"/>
      <c r="M266" s="175" t="e">
        <f t="shared" si="13"/>
        <v>#DIV/0!</v>
      </c>
      <c r="N266" s="243"/>
    </row>
    <row r="267" spans="1:14" ht="15.75" customHeight="1" x14ac:dyDescent="0.25">
      <c r="A267" s="209" t="s">
        <v>710</v>
      </c>
      <c r="B267" s="202"/>
      <c r="C267" s="203"/>
      <c r="D267" s="203"/>
      <c r="E267" s="175"/>
      <c r="F267" s="175"/>
      <c r="G267" s="175"/>
      <c r="H267" s="175"/>
      <c r="I267" s="175"/>
      <c r="J267" s="242" t="e">
        <f t="shared" si="12"/>
        <v>#DIV/0!</v>
      </c>
      <c r="K267" s="175"/>
      <c r="L267" s="175"/>
      <c r="M267" s="175" t="e">
        <f t="shared" si="13"/>
        <v>#DIV/0!</v>
      </c>
      <c r="N267" s="243"/>
    </row>
    <row r="268" spans="1:14" ht="15.75" customHeight="1" x14ac:dyDescent="0.25">
      <c r="A268" s="209" t="s">
        <v>712</v>
      </c>
      <c r="B268" s="202"/>
      <c r="C268" s="203"/>
      <c r="D268" s="203"/>
      <c r="E268" s="175"/>
      <c r="F268" s="175"/>
      <c r="G268" s="175"/>
      <c r="H268" s="175"/>
      <c r="I268" s="175"/>
      <c r="J268" s="242" t="e">
        <f t="shared" si="12"/>
        <v>#DIV/0!</v>
      </c>
      <c r="K268" s="175"/>
      <c r="L268" s="175"/>
      <c r="M268" s="175" t="e">
        <f t="shared" si="13"/>
        <v>#DIV/0!</v>
      </c>
      <c r="N268" s="243"/>
    </row>
    <row r="269" spans="1:14" ht="15.75" customHeight="1" x14ac:dyDescent="0.25">
      <c r="A269" s="213" t="s">
        <v>713</v>
      </c>
      <c r="B269" s="238"/>
      <c r="C269" s="239"/>
      <c r="D269" s="239"/>
      <c r="E269" s="240"/>
      <c r="F269" s="240"/>
      <c r="G269" s="240"/>
      <c r="H269" s="240"/>
      <c r="I269" s="240"/>
      <c r="J269" s="311" t="e">
        <f t="shared" si="12"/>
        <v>#DIV/0!</v>
      </c>
      <c r="K269" s="240"/>
      <c r="L269" s="240"/>
      <c r="M269" s="240" t="e">
        <f t="shared" si="13"/>
        <v>#DIV/0!</v>
      </c>
      <c r="N269" s="312"/>
    </row>
    <row r="270" spans="1:14" ht="15.75" customHeight="1" x14ac:dyDescent="0.25">
      <c r="B270" s="196"/>
      <c r="C270" s="197"/>
      <c r="D270" s="197"/>
      <c r="J270" s="120"/>
      <c r="N270" s="197"/>
    </row>
    <row r="271" spans="1:14" ht="15.75" customHeight="1" x14ac:dyDescent="0.25">
      <c r="B271" s="196"/>
      <c r="C271" s="197"/>
      <c r="D271" s="197"/>
      <c r="J271" s="120"/>
      <c r="N271" s="197"/>
    </row>
    <row r="272" spans="1:14" ht="26.25" customHeight="1" x14ac:dyDescent="0.3">
      <c r="A272" s="877" t="s">
        <v>919</v>
      </c>
      <c r="B272" s="695"/>
      <c r="C272" s="695"/>
      <c r="D272" s="695"/>
      <c r="E272" s="695"/>
      <c r="F272" s="695"/>
      <c r="G272" s="736"/>
      <c r="J272" s="120"/>
      <c r="N272" s="197"/>
    </row>
    <row r="273" spans="1:14" ht="15.75" customHeight="1" x14ac:dyDescent="0.25">
      <c r="A273" s="198" t="s">
        <v>24</v>
      </c>
      <c r="B273" s="128" t="s">
        <v>726</v>
      </c>
      <c r="C273" s="128" t="s">
        <v>727</v>
      </c>
      <c r="D273" s="128" t="s">
        <v>920</v>
      </c>
      <c r="E273" s="128" t="s">
        <v>921</v>
      </c>
      <c r="F273" s="128" t="s">
        <v>922</v>
      </c>
      <c r="G273" s="313" t="s">
        <v>923</v>
      </c>
      <c r="J273" s="120"/>
      <c r="N273" s="197"/>
    </row>
    <row r="274" spans="1:14" ht="15.75" customHeight="1" x14ac:dyDescent="0.25">
      <c r="A274" s="885" t="s">
        <v>710</v>
      </c>
      <c r="B274" s="878" t="s">
        <v>739</v>
      </c>
      <c r="C274" s="878" t="s">
        <v>740</v>
      </c>
      <c r="D274" s="314" t="s">
        <v>339</v>
      </c>
      <c r="E274" s="315">
        <v>384597000</v>
      </c>
      <c r="F274" s="315">
        <v>275950662</v>
      </c>
      <c r="G274" s="316"/>
      <c r="J274" s="120"/>
      <c r="N274" s="197"/>
    </row>
    <row r="275" spans="1:14" ht="15.75" customHeight="1" x14ac:dyDescent="0.25">
      <c r="A275" s="829"/>
      <c r="B275" s="710"/>
      <c r="C275" s="710"/>
      <c r="D275" s="314" t="s">
        <v>349</v>
      </c>
      <c r="E275" s="315">
        <v>140462163</v>
      </c>
      <c r="F275" s="315">
        <v>96803829</v>
      </c>
      <c r="G275" s="316"/>
      <c r="J275" s="120"/>
      <c r="N275" s="197"/>
    </row>
    <row r="276" spans="1:14" ht="15.75" customHeight="1" x14ac:dyDescent="0.25">
      <c r="A276" s="829"/>
      <c r="B276" s="731"/>
      <c r="C276" s="731"/>
      <c r="D276" s="314" t="s">
        <v>351</v>
      </c>
      <c r="E276" s="315">
        <v>13280000</v>
      </c>
      <c r="F276" s="315">
        <v>9561600</v>
      </c>
      <c r="G276" s="316"/>
      <c r="J276" s="120"/>
      <c r="N276" s="197"/>
    </row>
    <row r="277" spans="1:14" ht="165" customHeight="1" x14ac:dyDescent="0.25">
      <c r="A277" s="829"/>
      <c r="B277" s="749" t="s">
        <v>743</v>
      </c>
      <c r="C277" s="749" t="s">
        <v>744</v>
      </c>
      <c r="D277" s="317" t="s">
        <v>354</v>
      </c>
      <c r="E277" s="318">
        <v>95347000</v>
      </c>
      <c r="F277" s="318">
        <v>69916766</v>
      </c>
      <c r="G277" s="319"/>
      <c r="J277" s="120"/>
      <c r="N277" s="197"/>
    </row>
    <row r="278" spans="1:14" ht="15.75" customHeight="1" x14ac:dyDescent="0.25">
      <c r="A278" s="829"/>
      <c r="B278" s="710"/>
      <c r="C278" s="710"/>
      <c r="D278" s="317" t="s">
        <v>924</v>
      </c>
      <c r="E278" s="318">
        <v>714428327</v>
      </c>
      <c r="F278" s="318">
        <v>457708649</v>
      </c>
      <c r="G278" s="319"/>
      <c r="J278" s="120"/>
      <c r="N278" s="197"/>
    </row>
    <row r="279" spans="1:14" ht="15.75" customHeight="1" x14ac:dyDescent="0.25">
      <c r="A279" s="829"/>
      <c r="B279" s="710"/>
      <c r="C279" s="710"/>
      <c r="D279" s="317" t="s">
        <v>925</v>
      </c>
      <c r="E279" s="318">
        <v>109624000</v>
      </c>
      <c r="F279" s="318">
        <v>78749767</v>
      </c>
      <c r="G279" s="319"/>
      <c r="J279" s="120"/>
      <c r="N279" s="197"/>
    </row>
    <row r="280" spans="1:14" ht="15.75" customHeight="1" x14ac:dyDescent="0.25">
      <c r="A280" s="829"/>
      <c r="B280" s="731"/>
      <c r="C280" s="731"/>
      <c r="D280" s="317" t="s">
        <v>674</v>
      </c>
      <c r="E280" s="318">
        <v>218352000</v>
      </c>
      <c r="F280" s="318">
        <v>155650933</v>
      </c>
      <c r="G280" s="319"/>
      <c r="J280" s="120"/>
      <c r="N280" s="197"/>
    </row>
    <row r="281" spans="1:14" ht="15.75" customHeight="1" x14ac:dyDescent="0.25">
      <c r="A281" s="829"/>
      <c r="B281" s="30" t="s">
        <v>747</v>
      </c>
      <c r="C281" s="256" t="s">
        <v>748</v>
      </c>
      <c r="D281" s="317" t="s">
        <v>926</v>
      </c>
      <c r="E281" s="318">
        <v>156172000</v>
      </c>
      <c r="F281" s="318">
        <v>104387600</v>
      </c>
      <c r="G281" s="319"/>
      <c r="J281" s="120"/>
      <c r="N281" s="197"/>
    </row>
    <row r="282" spans="1:14" ht="150" customHeight="1" x14ac:dyDescent="0.25">
      <c r="A282" s="829"/>
      <c r="B282" s="749" t="s">
        <v>751</v>
      </c>
      <c r="C282" s="749" t="s">
        <v>752</v>
      </c>
      <c r="D282" s="317" t="s">
        <v>689</v>
      </c>
      <c r="E282" s="318">
        <v>463576000</v>
      </c>
      <c r="F282" s="318">
        <v>264216147</v>
      </c>
      <c r="G282" s="319"/>
      <c r="J282" s="120"/>
      <c r="N282" s="197"/>
    </row>
    <row r="283" spans="1:14" ht="15.75" customHeight="1" x14ac:dyDescent="0.25">
      <c r="A283" s="823"/>
      <c r="B283" s="731"/>
      <c r="C283" s="731"/>
      <c r="D283" s="317" t="s">
        <v>370</v>
      </c>
      <c r="E283" s="318">
        <v>225075000</v>
      </c>
      <c r="F283" s="318">
        <v>137968914</v>
      </c>
      <c r="G283" s="319"/>
      <c r="J283" s="120"/>
      <c r="N283" s="197"/>
    </row>
    <row r="284" spans="1:14" ht="15.75" customHeight="1" x14ac:dyDescent="0.25">
      <c r="A284" s="208" t="s">
        <v>712</v>
      </c>
      <c r="B284" s="320"/>
      <c r="C284" s="321"/>
      <c r="D284" s="321"/>
      <c r="E284" s="322"/>
      <c r="F284" s="322"/>
      <c r="G284" s="323"/>
      <c r="J284" s="120"/>
      <c r="N284" s="197"/>
    </row>
    <row r="285" spans="1:14" ht="15.75" customHeight="1" x14ac:dyDescent="0.25">
      <c r="A285" s="208" t="s">
        <v>713</v>
      </c>
      <c r="B285" s="320"/>
      <c r="C285" s="321"/>
      <c r="D285" s="321"/>
      <c r="E285" s="322"/>
      <c r="F285" s="322"/>
      <c r="G285" s="323"/>
      <c r="J285" s="120"/>
      <c r="N285" s="197"/>
    </row>
    <row r="286" spans="1:14" ht="15.75" customHeight="1" x14ac:dyDescent="0.25">
      <c r="B286" s="196"/>
      <c r="C286" s="197"/>
      <c r="D286" s="197"/>
      <c r="J286" s="120"/>
      <c r="N286" s="197"/>
    </row>
    <row r="287" spans="1:14" ht="15.75" customHeight="1" x14ac:dyDescent="0.3">
      <c r="A287" s="877" t="s">
        <v>927</v>
      </c>
      <c r="B287" s="695"/>
      <c r="C287" s="695"/>
      <c r="D287" s="695"/>
      <c r="E287" s="695"/>
      <c r="F287" s="695"/>
      <c r="G287" s="736"/>
      <c r="J287" s="120"/>
      <c r="N287" s="197"/>
    </row>
    <row r="288" spans="1:14" ht="66" customHeight="1" x14ac:dyDescent="0.25">
      <c r="A288" s="198" t="s">
        <v>25</v>
      </c>
      <c r="B288" s="128" t="s">
        <v>726</v>
      </c>
      <c r="C288" s="128" t="s">
        <v>727</v>
      </c>
      <c r="D288" s="128" t="s">
        <v>920</v>
      </c>
      <c r="E288" s="128" t="s">
        <v>928</v>
      </c>
      <c r="F288" s="128" t="s">
        <v>929</v>
      </c>
      <c r="G288" s="313" t="s">
        <v>923</v>
      </c>
      <c r="J288" s="120"/>
      <c r="N288" s="197"/>
    </row>
    <row r="289" spans="1:34" ht="69.75" customHeight="1" x14ac:dyDescent="0.25">
      <c r="A289" s="874" t="s">
        <v>715</v>
      </c>
      <c r="B289" s="878" t="s">
        <v>739</v>
      </c>
      <c r="C289" s="878" t="s">
        <v>740</v>
      </c>
      <c r="D289" s="324" t="s">
        <v>339</v>
      </c>
      <c r="E289" s="325">
        <v>574654000</v>
      </c>
      <c r="F289" s="61">
        <v>0</v>
      </c>
      <c r="G289" s="326"/>
      <c r="H289" s="83"/>
      <c r="I289" s="83"/>
      <c r="J289" s="327"/>
      <c r="K289" s="83"/>
      <c r="L289" s="83"/>
      <c r="M289" s="83"/>
      <c r="N289" s="328"/>
      <c r="O289" s="83"/>
      <c r="P289" s="83"/>
      <c r="Q289" s="83"/>
      <c r="R289" s="83"/>
      <c r="S289" s="83"/>
      <c r="T289" s="83"/>
      <c r="U289" s="83"/>
      <c r="V289" s="83"/>
      <c r="W289" s="83"/>
      <c r="X289" s="83"/>
      <c r="Y289" s="83"/>
      <c r="Z289" s="83"/>
      <c r="AA289" s="83"/>
      <c r="AB289" s="83"/>
      <c r="AC289" s="83"/>
      <c r="AD289" s="83"/>
      <c r="AE289" s="83"/>
      <c r="AF289" s="83"/>
      <c r="AG289" s="83"/>
      <c r="AH289" s="83"/>
    </row>
    <row r="290" spans="1:34" ht="69.75" customHeight="1" x14ac:dyDescent="0.25">
      <c r="A290" s="829"/>
      <c r="B290" s="710"/>
      <c r="C290" s="710"/>
      <c r="D290" s="324" t="s">
        <v>349</v>
      </c>
      <c r="E290" s="325">
        <v>198130000</v>
      </c>
      <c r="F290" s="61">
        <v>0</v>
      </c>
      <c r="G290" s="326"/>
      <c r="H290" s="83"/>
      <c r="I290" s="83"/>
      <c r="J290" s="327"/>
      <c r="K290" s="83"/>
      <c r="L290" s="83"/>
      <c r="M290" s="83"/>
      <c r="N290" s="328"/>
      <c r="O290" s="83"/>
      <c r="P290" s="83"/>
      <c r="Q290" s="83"/>
      <c r="R290" s="83"/>
      <c r="S290" s="83"/>
      <c r="T290" s="83"/>
      <c r="U290" s="83"/>
      <c r="V290" s="83"/>
      <c r="W290" s="83"/>
      <c r="X290" s="83"/>
      <c r="Y290" s="83"/>
      <c r="Z290" s="83"/>
      <c r="AA290" s="83"/>
      <c r="AB290" s="83"/>
      <c r="AC290" s="83"/>
      <c r="AD290" s="83"/>
      <c r="AE290" s="83"/>
      <c r="AF290" s="83"/>
      <c r="AG290" s="83"/>
      <c r="AH290" s="83"/>
    </row>
    <row r="291" spans="1:34" ht="69.75" customHeight="1" x14ac:dyDescent="0.25">
      <c r="A291" s="829"/>
      <c r="B291" s="731"/>
      <c r="C291" s="731"/>
      <c r="D291" s="324" t="s">
        <v>351</v>
      </c>
      <c r="E291" s="325">
        <v>34285000</v>
      </c>
      <c r="F291" s="61">
        <v>0</v>
      </c>
      <c r="G291" s="326"/>
      <c r="H291" s="83"/>
      <c r="I291" s="83"/>
      <c r="J291" s="327"/>
      <c r="K291" s="83"/>
      <c r="L291" s="83"/>
      <c r="M291" s="83"/>
      <c r="N291" s="328"/>
      <c r="O291" s="83"/>
      <c r="P291" s="83"/>
      <c r="Q291" s="83"/>
      <c r="R291" s="83"/>
      <c r="S291" s="83"/>
      <c r="T291" s="83"/>
      <c r="U291" s="83"/>
      <c r="V291" s="83"/>
      <c r="W291" s="83"/>
      <c r="X291" s="83"/>
      <c r="Y291" s="83"/>
      <c r="Z291" s="83"/>
      <c r="AA291" s="83"/>
      <c r="AB291" s="83"/>
      <c r="AC291" s="83"/>
      <c r="AD291" s="83"/>
      <c r="AE291" s="83"/>
      <c r="AF291" s="83"/>
      <c r="AG291" s="83"/>
      <c r="AH291" s="83"/>
    </row>
    <row r="292" spans="1:34" ht="69.75" customHeight="1" x14ac:dyDescent="0.25">
      <c r="A292" s="829"/>
      <c r="B292" s="749" t="s">
        <v>743</v>
      </c>
      <c r="C292" s="749" t="s">
        <v>744</v>
      </c>
      <c r="D292" s="329" t="s">
        <v>354</v>
      </c>
      <c r="E292" s="325">
        <v>68299000</v>
      </c>
      <c r="F292" s="61">
        <v>0</v>
      </c>
      <c r="G292" s="326"/>
      <c r="H292" s="83"/>
      <c r="I292" s="83"/>
      <c r="J292" s="327"/>
      <c r="K292" s="83"/>
      <c r="L292" s="83"/>
      <c r="M292" s="83"/>
      <c r="N292" s="328"/>
      <c r="O292" s="83"/>
      <c r="P292" s="83"/>
      <c r="Q292" s="83"/>
      <c r="R292" s="83"/>
      <c r="S292" s="83"/>
      <c r="T292" s="83"/>
      <c r="U292" s="83"/>
      <c r="V292" s="83"/>
      <c r="W292" s="83"/>
      <c r="X292" s="83"/>
      <c r="Y292" s="83"/>
      <c r="Z292" s="83"/>
      <c r="AA292" s="83"/>
      <c r="AB292" s="83"/>
      <c r="AC292" s="83"/>
      <c r="AD292" s="83"/>
      <c r="AE292" s="83"/>
      <c r="AF292" s="83"/>
      <c r="AG292" s="83"/>
      <c r="AH292" s="83"/>
    </row>
    <row r="293" spans="1:34" ht="69.75" customHeight="1" x14ac:dyDescent="0.25">
      <c r="A293" s="829"/>
      <c r="B293" s="710"/>
      <c r="C293" s="710"/>
      <c r="D293" s="329" t="s">
        <v>924</v>
      </c>
      <c r="E293" s="325">
        <v>699388000</v>
      </c>
      <c r="F293" s="61">
        <v>0</v>
      </c>
      <c r="G293" s="326"/>
      <c r="H293" s="83"/>
      <c r="I293" s="83"/>
      <c r="J293" s="327"/>
      <c r="K293" s="83"/>
      <c r="L293" s="83"/>
      <c r="M293" s="83"/>
      <c r="N293" s="328"/>
      <c r="O293" s="83"/>
      <c r="P293" s="83"/>
      <c r="Q293" s="83"/>
      <c r="R293" s="83"/>
      <c r="S293" s="83"/>
      <c r="T293" s="83"/>
      <c r="U293" s="83"/>
      <c r="V293" s="83"/>
      <c r="W293" s="83"/>
      <c r="X293" s="83"/>
      <c r="Y293" s="83"/>
      <c r="Z293" s="83"/>
      <c r="AA293" s="83"/>
      <c r="AB293" s="83"/>
      <c r="AC293" s="83"/>
      <c r="AD293" s="83"/>
      <c r="AE293" s="83"/>
      <c r="AF293" s="83"/>
      <c r="AG293" s="83"/>
      <c r="AH293" s="83"/>
    </row>
    <row r="294" spans="1:34" ht="69.75" customHeight="1" x14ac:dyDescent="0.25">
      <c r="A294" s="829"/>
      <c r="B294" s="710"/>
      <c r="C294" s="710"/>
      <c r="D294" s="329" t="s">
        <v>925</v>
      </c>
      <c r="E294" s="325">
        <v>349839000</v>
      </c>
      <c r="F294" s="61">
        <v>0</v>
      </c>
      <c r="G294" s="326"/>
      <c r="H294" s="83"/>
      <c r="I294" s="83"/>
      <c r="J294" s="327"/>
      <c r="K294" s="83"/>
      <c r="L294" s="83"/>
      <c r="M294" s="83"/>
      <c r="N294" s="328"/>
      <c r="O294" s="83"/>
      <c r="P294" s="83"/>
      <c r="Q294" s="83"/>
      <c r="R294" s="83"/>
      <c r="S294" s="83"/>
      <c r="T294" s="83"/>
      <c r="U294" s="83"/>
      <c r="V294" s="83"/>
      <c r="W294" s="83"/>
      <c r="X294" s="83"/>
      <c r="Y294" s="83"/>
      <c r="Z294" s="83"/>
      <c r="AA294" s="83"/>
      <c r="AB294" s="83"/>
      <c r="AC294" s="83"/>
      <c r="AD294" s="83"/>
      <c r="AE294" s="83"/>
      <c r="AF294" s="83"/>
      <c r="AG294" s="83"/>
      <c r="AH294" s="83"/>
    </row>
    <row r="295" spans="1:34" ht="69.75" customHeight="1" x14ac:dyDescent="0.25">
      <c r="A295" s="829"/>
      <c r="B295" s="731"/>
      <c r="C295" s="731"/>
      <c r="D295" s="329" t="s">
        <v>674</v>
      </c>
      <c r="E295" s="330">
        <v>482999000</v>
      </c>
      <c r="F295" s="331">
        <v>0</v>
      </c>
      <c r="G295" s="332"/>
      <c r="H295" s="83"/>
      <c r="I295" s="83"/>
      <c r="J295" s="327"/>
      <c r="K295" s="83"/>
      <c r="L295" s="83"/>
      <c r="M295" s="83"/>
      <c r="N295" s="328"/>
      <c r="O295" s="83"/>
      <c r="P295" s="83"/>
      <c r="Q295" s="83"/>
      <c r="R295" s="83"/>
      <c r="S295" s="83"/>
      <c r="T295" s="83"/>
      <c r="U295" s="83"/>
      <c r="V295" s="83"/>
      <c r="W295" s="83"/>
      <c r="X295" s="83"/>
      <c r="Y295" s="83"/>
      <c r="Z295" s="83"/>
      <c r="AA295" s="83"/>
      <c r="AB295" s="83"/>
      <c r="AC295" s="83"/>
      <c r="AD295" s="83"/>
      <c r="AE295" s="83"/>
      <c r="AF295" s="83"/>
      <c r="AG295" s="83"/>
      <c r="AH295" s="83"/>
    </row>
    <row r="296" spans="1:34" ht="69.75" customHeight="1" x14ac:dyDescent="0.25">
      <c r="A296" s="829"/>
      <c r="B296" s="30" t="s">
        <v>747</v>
      </c>
      <c r="C296" s="30" t="s">
        <v>748</v>
      </c>
      <c r="D296" s="329" t="s">
        <v>926</v>
      </c>
      <c r="E296" s="325">
        <v>250350000</v>
      </c>
      <c r="F296" s="61">
        <v>0</v>
      </c>
      <c r="G296" s="326"/>
      <c r="H296" s="83"/>
      <c r="I296" s="83"/>
      <c r="J296" s="327"/>
      <c r="K296" s="83"/>
      <c r="L296" s="83"/>
      <c r="M296" s="83"/>
      <c r="N296" s="328"/>
      <c r="O296" s="83"/>
      <c r="P296" s="83"/>
      <c r="Q296" s="83"/>
      <c r="R296" s="83"/>
      <c r="S296" s="83"/>
      <c r="T296" s="83"/>
      <c r="U296" s="83"/>
      <c r="V296" s="83"/>
      <c r="W296" s="83"/>
      <c r="X296" s="83"/>
      <c r="Y296" s="83"/>
      <c r="Z296" s="83"/>
      <c r="AA296" s="83"/>
      <c r="AB296" s="83"/>
      <c r="AC296" s="83"/>
      <c r="AD296" s="83"/>
      <c r="AE296" s="83"/>
      <c r="AF296" s="83"/>
      <c r="AG296" s="83"/>
      <c r="AH296" s="83"/>
    </row>
    <row r="297" spans="1:34" ht="69.75" customHeight="1" x14ac:dyDescent="0.25">
      <c r="A297" s="823"/>
      <c r="B297" s="30" t="s">
        <v>751</v>
      </c>
      <c r="C297" s="30" t="s">
        <v>752</v>
      </c>
      <c r="D297" s="329" t="s">
        <v>370</v>
      </c>
      <c r="E297" s="325">
        <v>801561000</v>
      </c>
      <c r="F297" s="61">
        <v>0</v>
      </c>
      <c r="G297" s="326"/>
      <c r="H297" s="83"/>
      <c r="I297" s="83"/>
      <c r="J297" s="327"/>
      <c r="K297" s="83"/>
      <c r="L297" s="83"/>
      <c r="M297" s="83"/>
      <c r="N297" s="328"/>
      <c r="O297" s="83"/>
      <c r="P297" s="83"/>
      <c r="Q297" s="83"/>
      <c r="R297" s="83"/>
      <c r="S297" s="83"/>
      <c r="T297" s="83"/>
      <c r="U297" s="83"/>
      <c r="V297" s="83"/>
      <c r="W297" s="83"/>
      <c r="X297" s="83"/>
      <c r="Y297" s="83"/>
      <c r="Z297" s="83"/>
      <c r="AA297" s="83"/>
      <c r="AB297" s="83"/>
      <c r="AC297" s="83"/>
      <c r="AD297" s="83"/>
      <c r="AE297" s="83"/>
      <c r="AF297" s="83"/>
      <c r="AG297" s="83"/>
      <c r="AH297" s="83"/>
    </row>
    <row r="298" spans="1:34" ht="69.75" customHeight="1" x14ac:dyDescent="0.25">
      <c r="A298" s="874" t="s">
        <v>716</v>
      </c>
      <c r="B298" s="878" t="s">
        <v>739</v>
      </c>
      <c r="C298" s="878" t="s">
        <v>740</v>
      </c>
      <c r="D298" s="324" t="s">
        <v>339</v>
      </c>
      <c r="E298" s="325">
        <v>574654000</v>
      </c>
      <c r="F298" s="61">
        <v>0</v>
      </c>
      <c r="G298" s="326"/>
      <c r="H298" s="83"/>
      <c r="I298" s="83"/>
      <c r="J298" s="327"/>
      <c r="K298" s="83"/>
      <c r="L298" s="83"/>
      <c r="M298" s="83"/>
      <c r="N298" s="328"/>
      <c r="O298" s="83"/>
      <c r="P298" s="83"/>
      <c r="Q298" s="83"/>
      <c r="R298" s="83"/>
      <c r="S298" s="83"/>
      <c r="T298" s="83"/>
      <c r="U298" s="83"/>
      <c r="V298" s="83"/>
      <c r="W298" s="83"/>
      <c r="X298" s="83"/>
      <c r="Y298" s="83"/>
      <c r="Z298" s="83"/>
      <c r="AA298" s="83"/>
      <c r="AB298" s="83"/>
      <c r="AC298" s="83"/>
      <c r="AD298" s="83"/>
      <c r="AE298" s="83"/>
      <c r="AF298" s="83"/>
      <c r="AG298" s="83"/>
      <c r="AH298" s="83"/>
    </row>
    <row r="299" spans="1:34" ht="69.75" customHeight="1" x14ac:dyDescent="0.25">
      <c r="A299" s="829"/>
      <c r="B299" s="710"/>
      <c r="C299" s="710"/>
      <c r="D299" s="324" t="s">
        <v>349</v>
      </c>
      <c r="E299" s="325">
        <v>198130000</v>
      </c>
      <c r="F299" s="61">
        <v>0</v>
      </c>
      <c r="G299" s="326"/>
      <c r="H299" s="83"/>
      <c r="I299" s="83"/>
      <c r="J299" s="327"/>
      <c r="K299" s="83"/>
      <c r="L299" s="83"/>
      <c r="M299" s="83"/>
      <c r="N299" s="328"/>
      <c r="O299" s="83"/>
      <c r="P299" s="83"/>
      <c r="Q299" s="83"/>
      <c r="R299" s="83"/>
      <c r="S299" s="83"/>
      <c r="T299" s="83"/>
      <c r="U299" s="83"/>
      <c r="V299" s="83"/>
      <c r="W299" s="83"/>
      <c r="X299" s="83"/>
      <c r="Y299" s="83"/>
      <c r="Z299" s="83"/>
      <c r="AA299" s="83"/>
      <c r="AB299" s="83"/>
      <c r="AC299" s="83"/>
      <c r="AD299" s="83"/>
      <c r="AE299" s="83"/>
      <c r="AF299" s="83"/>
      <c r="AG299" s="83"/>
      <c r="AH299" s="83"/>
    </row>
    <row r="300" spans="1:34" ht="69.75" customHeight="1" x14ac:dyDescent="0.25">
      <c r="A300" s="829"/>
      <c r="B300" s="731"/>
      <c r="C300" s="731"/>
      <c r="D300" s="324" t="s">
        <v>351</v>
      </c>
      <c r="E300" s="325">
        <v>34285000</v>
      </c>
      <c r="F300" s="61">
        <v>0</v>
      </c>
      <c r="G300" s="326"/>
      <c r="H300" s="83"/>
      <c r="I300" s="83"/>
      <c r="J300" s="327"/>
      <c r="K300" s="83"/>
      <c r="L300" s="83"/>
      <c r="M300" s="83"/>
      <c r="N300" s="328"/>
      <c r="O300" s="83"/>
      <c r="P300" s="83"/>
      <c r="Q300" s="83"/>
      <c r="R300" s="83"/>
      <c r="S300" s="83"/>
      <c r="T300" s="83"/>
      <c r="U300" s="83"/>
      <c r="V300" s="83"/>
      <c r="W300" s="83"/>
      <c r="X300" s="83"/>
      <c r="Y300" s="83"/>
      <c r="Z300" s="83"/>
      <c r="AA300" s="83"/>
      <c r="AB300" s="83"/>
      <c r="AC300" s="83"/>
      <c r="AD300" s="83"/>
      <c r="AE300" s="83"/>
      <c r="AF300" s="83"/>
      <c r="AG300" s="83"/>
      <c r="AH300" s="83"/>
    </row>
    <row r="301" spans="1:34" ht="69.75" customHeight="1" x14ac:dyDescent="0.25">
      <c r="A301" s="829"/>
      <c r="B301" s="749" t="s">
        <v>743</v>
      </c>
      <c r="C301" s="749" t="s">
        <v>744</v>
      </c>
      <c r="D301" s="329" t="s">
        <v>354</v>
      </c>
      <c r="E301" s="325">
        <v>68299000</v>
      </c>
      <c r="F301" s="61">
        <v>0</v>
      </c>
      <c r="G301" s="326"/>
      <c r="H301" s="83"/>
      <c r="I301" s="83"/>
      <c r="J301" s="327"/>
      <c r="K301" s="83"/>
      <c r="L301" s="83"/>
      <c r="M301" s="83"/>
      <c r="N301" s="328"/>
      <c r="O301" s="83"/>
      <c r="P301" s="83"/>
      <c r="Q301" s="83"/>
      <c r="R301" s="83"/>
      <c r="S301" s="83"/>
      <c r="T301" s="83"/>
      <c r="U301" s="83"/>
      <c r="V301" s="83"/>
      <c r="W301" s="83"/>
      <c r="X301" s="83"/>
      <c r="Y301" s="83"/>
      <c r="Z301" s="83"/>
      <c r="AA301" s="83"/>
      <c r="AB301" s="83"/>
      <c r="AC301" s="83"/>
      <c r="AD301" s="83"/>
      <c r="AE301" s="83"/>
      <c r="AF301" s="83"/>
      <c r="AG301" s="83"/>
      <c r="AH301" s="83"/>
    </row>
    <row r="302" spans="1:34" ht="69.75" customHeight="1" x14ac:dyDescent="0.25">
      <c r="A302" s="829"/>
      <c r="B302" s="710"/>
      <c r="C302" s="710"/>
      <c r="D302" s="329" t="s">
        <v>924</v>
      </c>
      <c r="E302" s="325">
        <v>699388000</v>
      </c>
      <c r="F302" s="61">
        <v>0</v>
      </c>
      <c r="G302" s="326"/>
      <c r="H302" s="83"/>
      <c r="I302" s="83"/>
      <c r="J302" s="327"/>
      <c r="K302" s="83"/>
      <c r="L302" s="83"/>
      <c r="M302" s="83"/>
      <c r="N302" s="328"/>
      <c r="O302" s="83"/>
      <c r="P302" s="83"/>
      <c r="Q302" s="83"/>
      <c r="R302" s="83"/>
      <c r="S302" s="83"/>
      <c r="T302" s="83"/>
      <c r="U302" s="83"/>
      <c r="V302" s="83"/>
      <c r="W302" s="83"/>
      <c r="X302" s="83"/>
      <c r="Y302" s="83"/>
      <c r="Z302" s="83"/>
      <c r="AA302" s="83"/>
      <c r="AB302" s="83"/>
      <c r="AC302" s="83"/>
      <c r="AD302" s="83"/>
      <c r="AE302" s="83"/>
      <c r="AF302" s="83"/>
      <c r="AG302" s="83"/>
      <c r="AH302" s="83"/>
    </row>
    <row r="303" spans="1:34" ht="69.75" customHeight="1" x14ac:dyDescent="0.25">
      <c r="A303" s="829"/>
      <c r="B303" s="710"/>
      <c r="C303" s="710"/>
      <c r="D303" s="329" t="s">
        <v>925</v>
      </c>
      <c r="E303" s="325">
        <v>349839000</v>
      </c>
      <c r="F303" s="61">
        <v>0</v>
      </c>
      <c r="G303" s="326"/>
      <c r="H303" s="83"/>
      <c r="I303" s="83"/>
      <c r="J303" s="327"/>
      <c r="K303" s="83"/>
      <c r="L303" s="83"/>
      <c r="M303" s="83"/>
      <c r="N303" s="328"/>
      <c r="O303" s="83"/>
      <c r="P303" s="83"/>
      <c r="Q303" s="83"/>
      <c r="R303" s="83"/>
      <c r="S303" s="83"/>
      <c r="T303" s="83"/>
      <c r="U303" s="83"/>
      <c r="V303" s="83"/>
      <c r="W303" s="83"/>
      <c r="X303" s="83"/>
      <c r="Y303" s="83"/>
      <c r="Z303" s="83"/>
      <c r="AA303" s="83"/>
      <c r="AB303" s="83"/>
      <c r="AC303" s="83"/>
      <c r="AD303" s="83"/>
      <c r="AE303" s="83"/>
      <c r="AF303" s="83"/>
      <c r="AG303" s="83"/>
      <c r="AH303" s="83"/>
    </row>
    <row r="304" spans="1:34" ht="69.75" customHeight="1" x14ac:dyDescent="0.25">
      <c r="A304" s="829"/>
      <c r="B304" s="731"/>
      <c r="C304" s="731"/>
      <c r="D304" s="329" t="s">
        <v>674</v>
      </c>
      <c r="E304" s="330">
        <v>482999000</v>
      </c>
      <c r="F304" s="331">
        <v>0</v>
      </c>
      <c r="G304" s="332"/>
      <c r="H304" s="83"/>
      <c r="I304" s="83"/>
      <c r="J304" s="327"/>
      <c r="K304" s="83"/>
      <c r="L304" s="83"/>
      <c r="M304" s="83"/>
      <c r="N304" s="328"/>
      <c r="O304" s="83"/>
      <c r="P304" s="83"/>
      <c r="Q304" s="83"/>
      <c r="R304" s="83"/>
      <c r="S304" s="83"/>
      <c r="T304" s="83"/>
      <c r="U304" s="83"/>
      <c r="V304" s="83"/>
      <c r="W304" s="83"/>
      <c r="X304" s="83"/>
      <c r="Y304" s="83"/>
      <c r="Z304" s="83"/>
      <c r="AA304" s="83"/>
      <c r="AB304" s="83"/>
      <c r="AC304" s="83"/>
      <c r="AD304" s="83"/>
      <c r="AE304" s="83"/>
      <c r="AF304" s="83"/>
      <c r="AG304" s="83"/>
      <c r="AH304" s="83"/>
    </row>
    <row r="305" spans="1:34" ht="69.75" customHeight="1" x14ac:dyDescent="0.25">
      <c r="A305" s="829"/>
      <c r="B305" s="30" t="s">
        <v>747</v>
      </c>
      <c r="C305" s="30" t="s">
        <v>748</v>
      </c>
      <c r="D305" s="329" t="s">
        <v>926</v>
      </c>
      <c r="E305" s="325">
        <v>250350000</v>
      </c>
      <c r="F305" s="61">
        <v>0</v>
      </c>
      <c r="G305" s="326"/>
      <c r="H305" s="83"/>
      <c r="I305" s="83"/>
      <c r="J305" s="327"/>
      <c r="K305" s="83"/>
      <c r="L305" s="83"/>
      <c r="M305" s="83"/>
      <c r="N305" s="328"/>
      <c r="O305" s="83"/>
      <c r="P305" s="83"/>
      <c r="Q305" s="83"/>
      <c r="R305" s="83"/>
      <c r="S305" s="83"/>
      <c r="T305" s="83"/>
      <c r="U305" s="83"/>
      <c r="V305" s="83"/>
      <c r="W305" s="83"/>
      <c r="X305" s="83"/>
      <c r="Y305" s="83"/>
      <c r="Z305" s="83"/>
      <c r="AA305" s="83"/>
      <c r="AB305" s="83"/>
      <c r="AC305" s="83"/>
      <c r="AD305" s="83"/>
      <c r="AE305" s="83"/>
      <c r="AF305" s="83"/>
      <c r="AG305" s="83"/>
      <c r="AH305" s="83"/>
    </row>
    <row r="306" spans="1:34" ht="69.75" customHeight="1" x14ac:dyDescent="0.25">
      <c r="A306" s="823"/>
      <c r="B306" s="30" t="s">
        <v>751</v>
      </c>
      <c r="C306" s="30" t="s">
        <v>752</v>
      </c>
      <c r="D306" s="329" t="s">
        <v>370</v>
      </c>
      <c r="E306" s="325">
        <v>801561000</v>
      </c>
      <c r="F306" s="325">
        <v>5482052</v>
      </c>
      <c r="G306" s="326"/>
      <c r="H306" s="83"/>
      <c r="I306" s="83"/>
      <c r="J306" s="327"/>
      <c r="K306" s="83"/>
      <c r="L306" s="83"/>
      <c r="M306" s="83"/>
      <c r="N306" s="328"/>
      <c r="O306" s="83"/>
      <c r="P306" s="83"/>
      <c r="Q306" s="83"/>
      <c r="R306" s="83"/>
      <c r="S306" s="83"/>
      <c r="T306" s="83"/>
      <c r="U306" s="83"/>
      <c r="V306" s="83"/>
      <c r="W306" s="83"/>
      <c r="X306" s="83"/>
      <c r="Y306" s="83"/>
      <c r="Z306" s="83"/>
      <c r="AA306" s="83"/>
      <c r="AB306" s="83"/>
      <c r="AC306" s="83"/>
      <c r="AD306" s="83"/>
      <c r="AE306" s="83"/>
      <c r="AF306" s="83"/>
      <c r="AG306" s="83"/>
      <c r="AH306" s="83"/>
    </row>
    <row r="307" spans="1:34" ht="69.75" customHeight="1" x14ac:dyDescent="0.25">
      <c r="A307" s="874" t="s">
        <v>717</v>
      </c>
      <c r="B307" s="878" t="s">
        <v>739</v>
      </c>
      <c r="C307" s="878" t="s">
        <v>740</v>
      </c>
      <c r="D307" s="324" t="s">
        <v>339</v>
      </c>
      <c r="E307" s="325">
        <v>574654000</v>
      </c>
      <c r="F307" s="325">
        <v>12993393</v>
      </c>
      <c r="G307" s="83"/>
      <c r="H307" s="83"/>
      <c r="I307" s="83"/>
      <c r="J307" s="327"/>
      <c r="K307" s="83"/>
      <c r="L307" s="83"/>
      <c r="M307" s="83"/>
      <c r="N307" s="328"/>
      <c r="O307" s="83"/>
      <c r="P307" s="83"/>
      <c r="Q307" s="83"/>
      <c r="R307" s="83"/>
      <c r="S307" s="83"/>
      <c r="T307" s="83"/>
      <c r="U307" s="83"/>
      <c r="V307" s="83"/>
      <c r="W307" s="83"/>
      <c r="X307" s="83"/>
      <c r="Y307" s="83"/>
      <c r="Z307" s="83"/>
      <c r="AA307" s="83"/>
      <c r="AB307" s="83"/>
      <c r="AC307" s="83"/>
      <c r="AD307" s="83"/>
      <c r="AE307" s="83"/>
      <c r="AF307" s="83"/>
      <c r="AG307" s="83"/>
      <c r="AH307" s="83"/>
    </row>
    <row r="308" spans="1:34" ht="69.75" customHeight="1" x14ac:dyDescent="0.25">
      <c r="A308" s="829"/>
      <c r="B308" s="710"/>
      <c r="C308" s="710"/>
      <c r="D308" s="324" t="s">
        <v>349</v>
      </c>
      <c r="E308" s="325">
        <v>198130000</v>
      </c>
      <c r="F308" s="325">
        <v>7349100</v>
      </c>
      <c r="G308" s="83"/>
      <c r="H308" s="83"/>
      <c r="I308" s="83"/>
      <c r="J308" s="327"/>
      <c r="K308" s="83"/>
      <c r="L308" s="83"/>
      <c r="M308" s="83"/>
      <c r="N308" s="328"/>
      <c r="O308" s="83"/>
      <c r="P308" s="83"/>
      <c r="Q308" s="83"/>
      <c r="R308" s="83"/>
      <c r="S308" s="83"/>
      <c r="T308" s="83"/>
      <c r="U308" s="83"/>
      <c r="V308" s="83"/>
      <c r="W308" s="83"/>
      <c r="X308" s="83"/>
      <c r="Y308" s="83"/>
      <c r="Z308" s="83"/>
      <c r="AA308" s="83"/>
      <c r="AB308" s="83"/>
      <c r="AC308" s="83"/>
      <c r="AD308" s="83"/>
      <c r="AE308" s="83"/>
      <c r="AF308" s="83"/>
      <c r="AG308" s="83"/>
      <c r="AH308" s="83"/>
    </row>
    <row r="309" spans="1:34" ht="69.75" customHeight="1" x14ac:dyDescent="0.25">
      <c r="A309" s="829"/>
      <c r="B309" s="731"/>
      <c r="C309" s="731"/>
      <c r="D309" s="324" t="s">
        <v>351</v>
      </c>
      <c r="E309" s="325">
        <v>34285000</v>
      </c>
      <c r="F309" s="325">
        <v>2085333</v>
      </c>
      <c r="G309" s="83"/>
      <c r="H309" s="83"/>
      <c r="I309" s="83"/>
      <c r="J309" s="327"/>
      <c r="K309" s="83"/>
      <c r="L309" s="83"/>
      <c r="M309" s="83"/>
      <c r="N309" s="328"/>
      <c r="O309" s="83"/>
      <c r="P309" s="83"/>
      <c r="Q309" s="83"/>
      <c r="R309" s="83"/>
      <c r="S309" s="83"/>
      <c r="T309" s="83"/>
      <c r="U309" s="83"/>
      <c r="V309" s="83"/>
      <c r="W309" s="83"/>
      <c r="X309" s="83"/>
      <c r="Y309" s="83"/>
      <c r="Z309" s="83"/>
      <c r="AA309" s="83"/>
      <c r="AB309" s="83"/>
      <c r="AC309" s="83"/>
      <c r="AD309" s="83"/>
      <c r="AE309" s="83"/>
      <c r="AF309" s="83"/>
      <c r="AG309" s="83"/>
      <c r="AH309" s="83"/>
    </row>
    <row r="310" spans="1:34" ht="69.75" customHeight="1" x14ac:dyDescent="0.25">
      <c r="A310" s="829"/>
      <c r="B310" s="749" t="s">
        <v>743</v>
      </c>
      <c r="C310" s="749" t="s">
        <v>744</v>
      </c>
      <c r="D310" s="329" t="s">
        <v>354</v>
      </c>
      <c r="E310" s="325">
        <v>68299000</v>
      </c>
      <c r="F310" s="325">
        <v>0</v>
      </c>
      <c r="G310" s="83"/>
      <c r="H310" s="83"/>
      <c r="I310" s="83"/>
      <c r="J310" s="327"/>
      <c r="K310" s="83"/>
      <c r="L310" s="83"/>
      <c r="M310" s="83"/>
      <c r="N310" s="328"/>
      <c r="O310" s="83"/>
      <c r="P310" s="83"/>
      <c r="Q310" s="83"/>
      <c r="R310" s="83"/>
      <c r="S310" s="83"/>
      <c r="T310" s="83"/>
      <c r="U310" s="83"/>
      <c r="V310" s="83"/>
      <c r="W310" s="83"/>
      <c r="X310" s="83"/>
      <c r="Y310" s="83"/>
      <c r="Z310" s="83"/>
      <c r="AA310" s="83"/>
      <c r="AB310" s="83"/>
      <c r="AC310" s="83"/>
      <c r="AD310" s="83"/>
      <c r="AE310" s="83"/>
      <c r="AF310" s="83"/>
      <c r="AG310" s="83"/>
      <c r="AH310" s="83"/>
    </row>
    <row r="311" spans="1:34" ht="69.75" customHeight="1" x14ac:dyDescent="0.25">
      <c r="A311" s="829"/>
      <c r="B311" s="710"/>
      <c r="C311" s="710"/>
      <c r="D311" s="329" t="s">
        <v>924</v>
      </c>
      <c r="E311" s="325">
        <v>699388000</v>
      </c>
      <c r="F311" s="325">
        <v>0</v>
      </c>
      <c r="G311" s="83"/>
      <c r="H311" s="83"/>
      <c r="I311" s="83"/>
      <c r="J311" s="327"/>
      <c r="K311" s="83"/>
      <c r="L311" s="83"/>
      <c r="M311" s="83"/>
      <c r="N311" s="328"/>
      <c r="O311" s="83"/>
      <c r="P311" s="83"/>
      <c r="Q311" s="83"/>
      <c r="R311" s="83"/>
      <c r="S311" s="83"/>
      <c r="T311" s="83"/>
      <c r="U311" s="83"/>
      <c r="V311" s="83"/>
      <c r="W311" s="83"/>
      <c r="X311" s="83"/>
      <c r="Y311" s="83"/>
      <c r="Z311" s="83"/>
      <c r="AA311" s="83"/>
      <c r="AB311" s="83"/>
      <c r="AC311" s="83"/>
      <c r="AD311" s="83"/>
      <c r="AE311" s="83"/>
      <c r="AF311" s="83"/>
      <c r="AG311" s="83"/>
      <c r="AH311" s="83"/>
    </row>
    <row r="312" spans="1:34" ht="69.75" customHeight="1" x14ac:dyDescent="0.25">
      <c r="A312" s="829"/>
      <c r="B312" s="710"/>
      <c r="C312" s="710"/>
      <c r="D312" s="329" t="s">
        <v>925</v>
      </c>
      <c r="E312" s="325">
        <v>349839000</v>
      </c>
      <c r="F312" s="325">
        <v>14248600</v>
      </c>
      <c r="G312" s="83"/>
      <c r="H312" s="83"/>
      <c r="I312" s="83"/>
      <c r="J312" s="327"/>
      <c r="K312" s="83"/>
      <c r="L312" s="83"/>
      <c r="M312" s="83"/>
      <c r="N312" s="328"/>
      <c r="O312" s="83"/>
      <c r="P312" s="83"/>
      <c r="Q312" s="83"/>
      <c r="R312" s="83"/>
      <c r="S312" s="83"/>
      <c r="T312" s="83"/>
      <c r="U312" s="83"/>
      <c r="V312" s="83"/>
      <c r="W312" s="83"/>
      <c r="X312" s="83"/>
      <c r="Y312" s="83"/>
      <c r="Z312" s="83"/>
      <c r="AA312" s="83"/>
      <c r="AB312" s="83"/>
      <c r="AC312" s="83"/>
      <c r="AD312" s="83"/>
      <c r="AE312" s="83"/>
      <c r="AF312" s="83"/>
      <c r="AG312" s="83"/>
      <c r="AH312" s="83"/>
    </row>
    <row r="313" spans="1:34" ht="69.75" customHeight="1" x14ac:dyDescent="0.25">
      <c r="A313" s="829"/>
      <c r="B313" s="731"/>
      <c r="C313" s="731"/>
      <c r="D313" s="329" t="s">
        <v>674</v>
      </c>
      <c r="E313" s="330">
        <v>482999000</v>
      </c>
      <c r="F313" s="330">
        <v>13621034</v>
      </c>
      <c r="G313" s="83"/>
      <c r="H313" s="83"/>
      <c r="I313" s="83"/>
      <c r="J313" s="327"/>
      <c r="K313" s="83"/>
      <c r="L313" s="83"/>
      <c r="M313" s="83"/>
      <c r="N313" s="328"/>
      <c r="O313" s="83"/>
      <c r="P313" s="83"/>
      <c r="Q313" s="83"/>
      <c r="R313" s="83"/>
      <c r="S313" s="83"/>
      <c r="T313" s="83"/>
      <c r="U313" s="83"/>
      <c r="V313" s="83"/>
      <c r="W313" s="83"/>
      <c r="X313" s="83"/>
      <c r="Y313" s="83"/>
      <c r="Z313" s="83"/>
      <c r="AA313" s="83"/>
      <c r="AB313" s="83"/>
      <c r="AC313" s="83"/>
      <c r="AD313" s="83"/>
      <c r="AE313" s="83"/>
      <c r="AF313" s="83"/>
      <c r="AG313" s="83"/>
      <c r="AH313" s="83"/>
    </row>
    <row r="314" spans="1:34" ht="69.75" customHeight="1" x14ac:dyDescent="0.25">
      <c r="A314" s="829"/>
      <c r="B314" s="30" t="s">
        <v>747</v>
      </c>
      <c r="C314" s="30" t="s">
        <v>748</v>
      </c>
      <c r="D314" s="329" t="s">
        <v>926</v>
      </c>
      <c r="E314" s="325">
        <v>250350000</v>
      </c>
      <c r="F314" s="325">
        <v>5581534</v>
      </c>
      <c r="G314" s="83"/>
      <c r="H314" s="83"/>
      <c r="I314" s="83"/>
      <c r="J314" s="327"/>
      <c r="K314" s="83"/>
      <c r="L314" s="83"/>
      <c r="M314" s="83"/>
      <c r="N314" s="328"/>
      <c r="O314" s="83"/>
      <c r="P314" s="83"/>
      <c r="Q314" s="83"/>
      <c r="R314" s="83"/>
      <c r="S314" s="83"/>
      <c r="T314" s="83"/>
      <c r="U314" s="83"/>
      <c r="V314" s="83"/>
      <c r="W314" s="83"/>
      <c r="X314" s="83"/>
      <c r="Y314" s="83"/>
      <c r="Z314" s="83"/>
      <c r="AA314" s="83"/>
      <c r="AB314" s="83"/>
      <c r="AC314" s="83"/>
      <c r="AD314" s="83"/>
      <c r="AE314" s="83"/>
      <c r="AF314" s="83"/>
      <c r="AG314" s="83"/>
      <c r="AH314" s="83"/>
    </row>
    <row r="315" spans="1:34" ht="69.75" customHeight="1" x14ac:dyDescent="0.25">
      <c r="A315" s="823"/>
      <c r="B315" s="30" t="s">
        <v>751</v>
      </c>
      <c r="C315" s="30" t="s">
        <v>752</v>
      </c>
      <c r="D315" s="329" t="s">
        <v>370</v>
      </c>
      <c r="E315" s="325">
        <v>801561000</v>
      </c>
      <c r="F315" s="325">
        <v>19474701</v>
      </c>
      <c r="G315" s="83"/>
      <c r="H315" s="83"/>
      <c r="I315" s="83"/>
      <c r="J315" s="327"/>
      <c r="K315" s="83"/>
      <c r="L315" s="83"/>
      <c r="M315" s="83"/>
      <c r="N315" s="328"/>
      <c r="O315" s="83"/>
      <c r="P315" s="83"/>
      <c r="Q315" s="83"/>
      <c r="R315" s="83"/>
      <c r="S315" s="83"/>
      <c r="T315" s="83"/>
      <c r="U315" s="83"/>
      <c r="V315" s="83"/>
      <c r="W315" s="83"/>
      <c r="X315" s="83"/>
      <c r="Y315" s="83"/>
      <c r="Z315" s="83"/>
      <c r="AA315" s="83"/>
      <c r="AB315" s="83"/>
      <c r="AC315" s="83"/>
      <c r="AD315" s="83"/>
      <c r="AE315" s="83"/>
      <c r="AF315" s="83"/>
      <c r="AG315" s="83"/>
      <c r="AH315" s="83"/>
    </row>
    <row r="316" spans="1:34" ht="69.75" customHeight="1" x14ac:dyDescent="0.25">
      <c r="A316" s="874" t="s">
        <v>718</v>
      </c>
      <c r="B316" s="878" t="s">
        <v>739</v>
      </c>
      <c r="C316" s="878" t="s">
        <v>740</v>
      </c>
      <c r="D316" s="324" t="s">
        <v>339</v>
      </c>
      <c r="E316" s="325">
        <v>556207000</v>
      </c>
      <c r="F316" s="325">
        <v>53643627</v>
      </c>
      <c r="G316" s="326"/>
      <c r="H316" s="83"/>
      <c r="I316" s="83"/>
      <c r="J316" s="327"/>
      <c r="K316" s="83"/>
      <c r="L316" s="83"/>
      <c r="M316" s="83"/>
      <c r="N316" s="328"/>
      <c r="O316" s="83"/>
      <c r="P316" s="83"/>
      <c r="Q316" s="83"/>
      <c r="R316" s="83"/>
      <c r="S316" s="83"/>
      <c r="T316" s="83"/>
      <c r="U316" s="83"/>
      <c r="V316" s="83"/>
      <c r="W316" s="83"/>
      <c r="X316" s="83"/>
      <c r="Y316" s="83"/>
      <c r="Z316" s="83"/>
      <c r="AA316" s="83"/>
      <c r="AB316" s="83"/>
      <c r="AC316" s="83"/>
      <c r="AD316" s="83"/>
      <c r="AE316" s="83"/>
      <c r="AF316" s="83"/>
      <c r="AG316" s="83"/>
      <c r="AH316" s="83"/>
    </row>
    <row r="317" spans="1:34" ht="69.75" customHeight="1" x14ac:dyDescent="0.25">
      <c r="A317" s="829"/>
      <c r="B317" s="710"/>
      <c r="C317" s="710"/>
      <c r="D317" s="324" t="s">
        <v>349</v>
      </c>
      <c r="E317" s="325">
        <v>172920000</v>
      </c>
      <c r="F317" s="325">
        <v>22047300</v>
      </c>
      <c r="G317" s="326"/>
      <c r="H317" s="83"/>
      <c r="I317" s="83"/>
      <c r="J317" s="327"/>
      <c r="K317" s="83"/>
      <c r="L317" s="83"/>
      <c r="M317" s="83"/>
      <c r="N317" s="328"/>
      <c r="O317" s="83"/>
      <c r="P317" s="83"/>
      <c r="Q317" s="83"/>
      <c r="R317" s="83"/>
      <c r="S317" s="83"/>
      <c r="T317" s="83"/>
      <c r="U317" s="83"/>
      <c r="V317" s="83"/>
      <c r="W317" s="83"/>
      <c r="X317" s="83"/>
      <c r="Y317" s="83"/>
      <c r="Z317" s="83"/>
      <c r="AA317" s="83"/>
      <c r="AB317" s="83"/>
      <c r="AC317" s="83"/>
      <c r="AD317" s="83"/>
      <c r="AE317" s="83"/>
      <c r="AF317" s="83"/>
      <c r="AG317" s="83"/>
      <c r="AH317" s="83"/>
    </row>
    <row r="318" spans="1:34" ht="69.75" customHeight="1" x14ac:dyDescent="0.25">
      <c r="A318" s="829"/>
      <c r="B318" s="731"/>
      <c r="C318" s="731"/>
      <c r="D318" s="324" t="s">
        <v>351</v>
      </c>
      <c r="E318" s="325">
        <v>27200000</v>
      </c>
      <c r="F318" s="325">
        <v>4805333</v>
      </c>
      <c r="G318" s="326"/>
      <c r="H318" s="83"/>
      <c r="I318" s="83"/>
      <c r="J318" s="327"/>
      <c r="K318" s="83"/>
      <c r="L318" s="83"/>
      <c r="M318" s="83"/>
      <c r="N318" s="328"/>
      <c r="O318" s="83"/>
      <c r="P318" s="83"/>
      <c r="Q318" s="83"/>
      <c r="R318" s="83"/>
      <c r="S318" s="83"/>
      <c r="T318" s="83"/>
      <c r="U318" s="83"/>
      <c r="V318" s="83"/>
      <c r="W318" s="83"/>
      <c r="X318" s="83"/>
      <c r="Y318" s="83"/>
      <c r="Z318" s="83"/>
      <c r="AA318" s="83"/>
      <c r="AB318" s="83"/>
      <c r="AC318" s="83"/>
      <c r="AD318" s="83"/>
      <c r="AE318" s="83"/>
      <c r="AF318" s="83"/>
      <c r="AG318" s="83"/>
      <c r="AH318" s="83"/>
    </row>
    <row r="319" spans="1:34" ht="69.75" customHeight="1" x14ac:dyDescent="0.25">
      <c r="A319" s="829"/>
      <c r="B319" s="749" t="s">
        <v>743</v>
      </c>
      <c r="C319" s="749" t="s">
        <v>744</v>
      </c>
      <c r="D319" s="329" t="s">
        <v>354</v>
      </c>
      <c r="E319" s="325">
        <v>67897116</v>
      </c>
      <c r="F319" s="325">
        <v>4041500</v>
      </c>
      <c r="G319" s="326"/>
      <c r="H319" s="83"/>
      <c r="I319" s="83"/>
      <c r="J319" s="327"/>
      <c r="K319" s="83"/>
      <c r="L319" s="83"/>
      <c r="M319" s="83"/>
      <c r="N319" s="328"/>
      <c r="O319" s="83"/>
      <c r="P319" s="83"/>
      <c r="Q319" s="83"/>
      <c r="R319" s="83"/>
      <c r="S319" s="83"/>
      <c r="T319" s="83"/>
      <c r="U319" s="83"/>
      <c r="V319" s="83"/>
      <c r="W319" s="83"/>
      <c r="X319" s="83"/>
      <c r="Y319" s="83"/>
      <c r="Z319" s="83"/>
      <c r="AA319" s="83"/>
      <c r="AB319" s="83"/>
      <c r="AC319" s="83"/>
      <c r="AD319" s="83"/>
      <c r="AE319" s="83"/>
      <c r="AF319" s="83"/>
      <c r="AG319" s="83"/>
      <c r="AH319" s="83"/>
    </row>
    <row r="320" spans="1:34" ht="69.75" customHeight="1" x14ac:dyDescent="0.25">
      <c r="A320" s="829"/>
      <c r="B320" s="710"/>
      <c r="C320" s="710"/>
      <c r="D320" s="329" t="s">
        <v>924</v>
      </c>
      <c r="E320" s="325">
        <v>375068706</v>
      </c>
      <c r="F320" s="325">
        <v>25354666</v>
      </c>
      <c r="G320" s="326"/>
      <c r="H320" s="83"/>
      <c r="I320" s="83"/>
      <c r="J320" s="327"/>
      <c r="K320" s="83"/>
      <c r="L320" s="83"/>
      <c r="M320" s="83"/>
      <c r="N320" s="328"/>
      <c r="O320" s="83"/>
      <c r="P320" s="83"/>
      <c r="Q320" s="83"/>
      <c r="R320" s="83"/>
      <c r="S320" s="83"/>
      <c r="T320" s="83"/>
      <c r="U320" s="83"/>
      <c r="V320" s="83"/>
      <c r="W320" s="83"/>
      <c r="X320" s="83"/>
      <c r="Y320" s="83"/>
      <c r="Z320" s="83"/>
      <c r="AA320" s="83"/>
      <c r="AB320" s="83"/>
      <c r="AC320" s="83"/>
      <c r="AD320" s="83"/>
      <c r="AE320" s="83"/>
      <c r="AF320" s="83"/>
      <c r="AG320" s="83"/>
      <c r="AH320" s="83"/>
    </row>
    <row r="321" spans="1:34" ht="69.75" customHeight="1" x14ac:dyDescent="0.25">
      <c r="A321" s="829"/>
      <c r="B321" s="710"/>
      <c r="C321" s="710"/>
      <c r="D321" s="329" t="s">
        <v>925</v>
      </c>
      <c r="E321" s="325">
        <v>313790000</v>
      </c>
      <c r="F321" s="325">
        <v>45283800</v>
      </c>
      <c r="G321" s="326"/>
      <c r="H321" s="83"/>
      <c r="I321" s="83"/>
      <c r="J321" s="327"/>
      <c r="K321" s="83"/>
      <c r="L321" s="83"/>
      <c r="M321" s="83"/>
      <c r="N321" s="328"/>
      <c r="O321" s="83"/>
      <c r="P321" s="83"/>
      <c r="Q321" s="83"/>
      <c r="R321" s="83"/>
      <c r="S321" s="83"/>
      <c r="T321" s="83"/>
      <c r="U321" s="83"/>
      <c r="V321" s="83"/>
      <c r="W321" s="83"/>
      <c r="X321" s="83"/>
      <c r="Y321" s="83"/>
      <c r="Z321" s="83"/>
      <c r="AA321" s="83"/>
      <c r="AB321" s="83"/>
      <c r="AC321" s="83"/>
      <c r="AD321" s="83"/>
      <c r="AE321" s="83"/>
      <c r="AF321" s="83"/>
      <c r="AG321" s="83"/>
      <c r="AH321" s="83"/>
    </row>
    <row r="322" spans="1:34" ht="69.75" customHeight="1" x14ac:dyDescent="0.25">
      <c r="A322" s="829"/>
      <c r="B322" s="731"/>
      <c r="C322" s="731"/>
      <c r="D322" s="329" t="s">
        <v>674</v>
      </c>
      <c r="E322" s="330">
        <v>443325000</v>
      </c>
      <c r="F322" s="330">
        <v>50942234</v>
      </c>
      <c r="G322" s="332"/>
      <c r="H322" s="83"/>
      <c r="I322" s="83"/>
      <c r="J322" s="327"/>
      <c r="K322" s="83"/>
      <c r="L322" s="83"/>
      <c r="M322" s="83"/>
      <c r="N322" s="328"/>
      <c r="O322" s="83"/>
      <c r="P322" s="83"/>
      <c r="Q322" s="83"/>
      <c r="R322" s="83"/>
      <c r="S322" s="83"/>
      <c r="T322" s="83"/>
      <c r="U322" s="83"/>
      <c r="V322" s="83"/>
      <c r="W322" s="83"/>
      <c r="X322" s="83"/>
      <c r="Y322" s="83"/>
      <c r="Z322" s="83"/>
      <c r="AA322" s="83"/>
      <c r="AB322" s="83"/>
      <c r="AC322" s="83"/>
      <c r="AD322" s="83"/>
      <c r="AE322" s="83"/>
      <c r="AF322" s="83"/>
      <c r="AG322" s="83"/>
      <c r="AH322" s="83"/>
    </row>
    <row r="323" spans="1:34" ht="69.75" customHeight="1" x14ac:dyDescent="0.25">
      <c r="A323" s="829"/>
      <c r="B323" s="30" t="s">
        <v>747</v>
      </c>
      <c r="C323" s="30" t="s">
        <v>748</v>
      </c>
      <c r="D323" s="329" t="s">
        <v>926</v>
      </c>
      <c r="E323" s="325">
        <v>222016000</v>
      </c>
      <c r="F323" s="325">
        <v>22792600</v>
      </c>
      <c r="G323" s="326"/>
      <c r="H323" s="83"/>
      <c r="I323" s="83"/>
      <c r="J323" s="327"/>
      <c r="K323" s="83"/>
      <c r="L323" s="83"/>
      <c r="M323" s="83"/>
      <c r="N323" s="328"/>
      <c r="O323" s="83"/>
      <c r="P323" s="83"/>
      <c r="Q323" s="83"/>
      <c r="R323" s="83"/>
      <c r="S323" s="83"/>
      <c r="T323" s="83"/>
      <c r="U323" s="83"/>
      <c r="V323" s="83"/>
      <c r="W323" s="83"/>
      <c r="X323" s="83"/>
      <c r="Y323" s="83"/>
      <c r="Z323" s="83"/>
      <c r="AA323" s="83"/>
      <c r="AB323" s="83"/>
      <c r="AC323" s="83"/>
      <c r="AD323" s="83"/>
      <c r="AE323" s="83"/>
      <c r="AF323" s="83"/>
      <c r="AG323" s="83"/>
      <c r="AH323" s="83"/>
    </row>
    <row r="324" spans="1:34" ht="69.75" customHeight="1" x14ac:dyDescent="0.25">
      <c r="A324" s="823"/>
      <c r="B324" s="30" t="s">
        <v>751</v>
      </c>
      <c r="C324" s="30" t="s">
        <v>752</v>
      </c>
      <c r="D324" s="329" t="s">
        <v>370</v>
      </c>
      <c r="E324" s="325">
        <v>754641627</v>
      </c>
      <c r="F324" s="325">
        <v>37130834</v>
      </c>
      <c r="G324" s="326"/>
      <c r="H324" s="83"/>
      <c r="I324" s="83"/>
      <c r="J324" s="327"/>
      <c r="K324" s="83"/>
      <c r="L324" s="83"/>
      <c r="M324" s="83"/>
      <c r="N324" s="328"/>
      <c r="O324" s="83"/>
      <c r="P324" s="83"/>
      <c r="Q324" s="83"/>
      <c r="R324" s="83"/>
      <c r="S324" s="83"/>
      <c r="T324" s="83"/>
      <c r="U324" s="83"/>
      <c r="V324" s="83"/>
      <c r="W324" s="83"/>
      <c r="X324" s="83"/>
      <c r="Y324" s="83"/>
      <c r="Z324" s="83"/>
      <c r="AA324" s="83"/>
      <c r="AB324" s="83"/>
      <c r="AC324" s="83"/>
      <c r="AD324" s="83"/>
      <c r="AE324" s="83"/>
      <c r="AF324" s="83"/>
      <c r="AG324" s="83"/>
      <c r="AH324" s="83"/>
    </row>
    <row r="325" spans="1:34" ht="69.75" customHeight="1" x14ac:dyDescent="0.25">
      <c r="A325" s="874" t="s">
        <v>720</v>
      </c>
      <c r="B325" s="878" t="s">
        <v>739</v>
      </c>
      <c r="C325" s="878" t="s">
        <v>740</v>
      </c>
      <c r="D325" s="324" t="s">
        <v>339</v>
      </c>
      <c r="E325" s="325">
        <v>556207000</v>
      </c>
      <c r="F325" s="325">
        <v>173791767</v>
      </c>
      <c r="G325" s="326"/>
      <c r="H325" s="83"/>
      <c r="I325" s="83"/>
      <c r="J325" s="327"/>
      <c r="K325" s="83"/>
      <c r="L325" s="83"/>
      <c r="M325" s="83"/>
      <c r="N325" s="328"/>
      <c r="O325" s="83"/>
      <c r="P325" s="83"/>
      <c r="Q325" s="83"/>
      <c r="R325" s="83"/>
      <c r="S325" s="83"/>
      <c r="T325" s="83"/>
      <c r="U325" s="83"/>
      <c r="V325" s="83"/>
      <c r="W325" s="83"/>
      <c r="X325" s="83"/>
      <c r="Y325" s="83"/>
      <c r="Z325" s="83"/>
      <c r="AA325" s="83"/>
      <c r="AB325" s="83"/>
      <c r="AC325" s="83"/>
      <c r="AD325" s="83"/>
      <c r="AE325" s="83"/>
      <c r="AF325" s="83"/>
      <c r="AG325" s="83"/>
      <c r="AH325" s="83"/>
    </row>
    <row r="326" spans="1:34" ht="69.75" customHeight="1" x14ac:dyDescent="0.25">
      <c r="A326" s="829"/>
      <c r="B326" s="710"/>
      <c r="C326" s="710"/>
      <c r="D326" s="324" t="s">
        <v>349</v>
      </c>
      <c r="E326" s="325">
        <v>172920000</v>
      </c>
      <c r="F326" s="325">
        <v>56631300</v>
      </c>
      <c r="G326" s="326"/>
      <c r="H326" s="83"/>
      <c r="I326" s="83"/>
      <c r="J326" s="327"/>
      <c r="K326" s="83"/>
      <c r="L326" s="83"/>
      <c r="M326" s="83"/>
      <c r="N326" s="328"/>
      <c r="O326" s="83"/>
      <c r="P326" s="83"/>
      <c r="Q326" s="83"/>
      <c r="R326" s="83"/>
      <c r="S326" s="83"/>
      <c r="T326" s="83"/>
      <c r="U326" s="83"/>
      <c r="V326" s="83"/>
      <c r="W326" s="83"/>
      <c r="X326" s="83"/>
      <c r="Y326" s="83"/>
      <c r="Z326" s="83"/>
      <c r="AA326" s="83"/>
      <c r="AB326" s="83"/>
      <c r="AC326" s="83"/>
      <c r="AD326" s="83"/>
      <c r="AE326" s="83"/>
      <c r="AF326" s="83"/>
      <c r="AG326" s="83"/>
      <c r="AH326" s="83"/>
    </row>
    <row r="327" spans="1:34" ht="69.75" customHeight="1" x14ac:dyDescent="0.25">
      <c r="A327" s="829"/>
      <c r="B327" s="731"/>
      <c r="C327" s="731"/>
      <c r="D327" s="324" t="s">
        <v>351</v>
      </c>
      <c r="E327" s="325">
        <v>27200000</v>
      </c>
      <c r="F327" s="325">
        <v>10245333</v>
      </c>
      <c r="G327" s="326"/>
      <c r="H327" s="83"/>
      <c r="I327" s="83"/>
      <c r="J327" s="327"/>
      <c r="K327" s="83"/>
      <c r="L327" s="83"/>
      <c r="M327" s="83"/>
      <c r="N327" s="328"/>
      <c r="O327" s="83"/>
      <c r="P327" s="83"/>
      <c r="Q327" s="83"/>
      <c r="R327" s="83"/>
      <c r="S327" s="83"/>
      <c r="T327" s="83"/>
      <c r="U327" s="83"/>
      <c r="V327" s="83"/>
      <c r="W327" s="83"/>
      <c r="X327" s="83"/>
      <c r="Y327" s="83"/>
      <c r="Z327" s="83"/>
      <c r="AA327" s="83"/>
      <c r="AB327" s="83"/>
      <c r="AC327" s="83"/>
      <c r="AD327" s="83"/>
      <c r="AE327" s="83"/>
      <c r="AF327" s="83"/>
      <c r="AG327" s="83"/>
      <c r="AH327" s="83"/>
    </row>
    <row r="328" spans="1:34" ht="69.75" customHeight="1" x14ac:dyDescent="0.25">
      <c r="A328" s="829"/>
      <c r="B328" s="749" t="s">
        <v>743</v>
      </c>
      <c r="C328" s="749" t="s">
        <v>744</v>
      </c>
      <c r="D328" s="329" t="s">
        <v>354</v>
      </c>
      <c r="E328" s="325">
        <v>67897116</v>
      </c>
      <c r="F328" s="325">
        <v>20207500</v>
      </c>
      <c r="G328" s="326"/>
      <c r="H328" s="83"/>
      <c r="I328" s="83"/>
      <c r="J328" s="327"/>
      <c r="K328" s="83"/>
      <c r="L328" s="83"/>
      <c r="M328" s="83"/>
      <c r="N328" s="328"/>
      <c r="O328" s="83"/>
      <c r="P328" s="83"/>
      <c r="Q328" s="83"/>
      <c r="R328" s="83"/>
      <c r="S328" s="83"/>
      <c r="T328" s="83"/>
      <c r="U328" s="83"/>
      <c r="V328" s="83"/>
      <c r="W328" s="83"/>
      <c r="X328" s="83"/>
      <c r="Y328" s="83"/>
      <c r="Z328" s="83"/>
      <c r="AA328" s="83"/>
      <c r="AB328" s="83"/>
      <c r="AC328" s="83"/>
      <c r="AD328" s="83"/>
      <c r="AE328" s="83"/>
      <c r="AF328" s="83"/>
      <c r="AG328" s="83"/>
      <c r="AH328" s="83"/>
    </row>
    <row r="329" spans="1:34" ht="69.75" customHeight="1" x14ac:dyDescent="0.25">
      <c r="A329" s="829"/>
      <c r="B329" s="710"/>
      <c r="C329" s="710"/>
      <c r="D329" s="329" t="s">
        <v>924</v>
      </c>
      <c r="E329" s="325">
        <v>375068706</v>
      </c>
      <c r="F329" s="325">
        <v>112050666</v>
      </c>
      <c r="G329" s="326"/>
      <c r="H329" s="83"/>
      <c r="I329" s="83"/>
      <c r="J329" s="327"/>
      <c r="K329" s="83"/>
      <c r="L329" s="83"/>
      <c r="M329" s="83"/>
      <c r="N329" s="328"/>
      <c r="O329" s="83"/>
      <c r="P329" s="83"/>
      <c r="Q329" s="83"/>
      <c r="R329" s="83"/>
      <c r="S329" s="83"/>
      <c r="T329" s="83"/>
      <c r="U329" s="83"/>
      <c r="V329" s="83"/>
      <c r="W329" s="83"/>
      <c r="X329" s="83"/>
      <c r="Y329" s="83"/>
      <c r="Z329" s="83"/>
      <c r="AA329" s="83"/>
      <c r="AB329" s="83"/>
      <c r="AC329" s="83"/>
      <c r="AD329" s="83"/>
      <c r="AE329" s="83"/>
      <c r="AF329" s="83"/>
      <c r="AG329" s="83"/>
      <c r="AH329" s="83"/>
    </row>
    <row r="330" spans="1:34" ht="69.75" customHeight="1" x14ac:dyDescent="0.25">
      <c r="A330" s="829"/>
      <c r="B330" s="710"/>
      <c r="C330" s="710"/>
      <c r="D330" s="329" t="s">
        <v>925</v>
      </c>
      <c r="E330" s="325">
        <v>313790000</v>
      </c>
      <c r="F330" s="325">
        <v>108041800</v>
      </c>
      <c r="G330" s="326"/>
      <c r="H330" s="83"/>
      <c r="I330" s="83"/>
      <c r="J330" s="327"/>
      <c r="K330" s="83"/>
      <c r="L330" s="83"/>
      <c r="M330" s="83"/>
      <c r="N330" s="328"/>
      <c r="O330" s="83"/>
      <c r="P330" s="83"/>
      <c r="Q330" s="83"/>
      <c r="R330" s="83"/>
      <c r="S330" s="83"/>
      <c r="T330" s="83"/>
      <c r="U330" s="83"/>
      <c r="V330" s="83"/>
      <c r="W330" s="83"/>
      <c r="X330" s="83"/>
      <c r="Y330" s="83"/>
      <c r="Z330" s="83"/>
      <c r="AA330" s="83"/>
      <c r="AB330" s="83"/>
      <c r="AC330" s="83"/>
      <c r="AD330" s="83"/>
      <c r="AE330" s="83"/>
      <c r="AF330" s="83"/>
      <c r="AG330" s="83"/>
      <c r="AH330" s="83"/>
    </row>
    <row r="331" spans="1:34" ht="69.75" customHeight="1" x14ac:dyDescent="0.25">
      <c r="A331" s="829"/>
      <c r="B331" s="731"/>
      <c r="C331" s="731"/>
      <c r="D331" s="329" t="s">
        <v>674</v>
      </c>
      <c r="E331" s="330">
        <v>443325000</v>
      </c>
      <c r="F331" s="330">
        <v>146091734</v>
      </c>
      <c r="G331" s="332"/>
      <c r="H331" s="83"/>
      <c r="I331" s="83"/>
      <c r="J331" s="327"/>
      <c r="K331" s="83"/>
      <c r="L331" s="83"/>
      <c r="M331" s="83"/>
      <c r="N331" s="328"/>
      <c r="O331" s="83"/>
      <c r="P331" s="83"/>
      <c r="Q331" s="83"/>
      <c r="R331" s="83"/>
      <c r="S331" s="83"/>
      <c r="T331" s="83"/>
      <c r="U331" s="83"/>
      <c r="V331" s="83"/>
      <c r="W331" s="83"/>
      <c r="X331" s="83"/>
      <c r="Y331" s="83"/>
      <c r="Z331" s="83"/>
      <c r="AA331" s="83"/>
      <c r="AB331" s="83"/>
      <c r="AC331" s="83"/>
      <c r="AD331" s="83"/>
      <c r="AE331" s="83"/>
      <c r="AF331" s="83"/>
      <c r="AG331" s="83"/>
      <c r="AH331" s="83"/>
    </row>
    <row r="332" spans="1:34" ht="69.75" customHeight="1" x14ac:dyDescent="0.25">
      <c r="A332" s="829"/>
      <c r="B332" s="30" t="s">
        <v>747</v>
      </c>
      <c r="C332" s="30" t="s">
        <v>748</v>
      </c>
      <c r="D332" s="329" t="s">
        <v>926</v>
      </c>
      <c r="E332" s="325">
        <v>222016000</v>
      </c>
      <c r="F332" s="325">
        <v>64739434</v>
      </c>
      <c r="G332" s="326"/>
      <c r="H332" s="83"/>
      <c r="I332" s="83"/>
      <c r="J332" s="327"/>
      <c r="K332" s="83"/>
      <c r="L332" s="83"/>
      <c r="M332" s="83"/>
      <c r="N332" s="328"/>
      <c r="O332" s="83"/>
      <c r="P332" s="83"/>
      <c r="Q332" s="83"/>
      <c r="R332" s="83"/>
      <c r="S332" s="83"/>
      <c r="T332" s="83"/>
      <c r="U332" s="83"/>
      <c r="V332" s="83"/>
      <c r="W332" s="83"/>
      <c r="X332" s="83"/>
      <c r="Y332" s="83"/>
      <c r="Z332" s="83"/>
      <c r="AA332" s="83"/>
      <c r="AB332" s="83"/>
      <c r="AC332" s="83"/>
      <c r="AD332" s="83"/>
      <c r="AE332" s="83"/>
      <c r="AF332" s="83"/>
      <c r="AG332" s="83"/>
      <c r="AH332" s="83"/>
    </row>
    <row r="333" spans="1:34" ht="69.75" customHeight="1" x14ac:dyDescent="0.25">
      <c r="A333" s="823"/>
      <c r="B333" s="30" t="s">
        <v>751</v>
      </c>
      <c r="C333" s="30" t="s">
        <v>752</v>
      </c>
      <c r="D333" s="329" t="s">
        <v>370</v>
      </c>
      <c r="E333" s="325">
        <v>754641627</v>
      </c>
      <c r="F333" s="325">
        <v>192001861</v>
      </c>
      <c r="G333" s="326"/>
      <c r="H333" s="83"/>
      <c r="I333" s="83"/>
      <c r="J333" s="327"/>
      <c r="K333" s="83"/>
      <c r="L333" s="83"/>
      <c r="M333" s="83"/>
      <c r="N333" s="328"/>
      <c r="O333" s="83"/>
      <c r="P333" s="83"/>
      <c r="Q333" s="83"/>
      <c r="R333" s="83"/>
      <c r="S333" s="83"/>
      <c r="T333" s="83"/>
      <c r="U333" s="83"/>
      <c r="V333" s="83"/>
      <c r="W333" s="83"/>
      <c r="X333" s="83"/>
      <c r="Y333" s="83"/>
      <c r="Z333" s="83"/>
      <c r="AA333" s="83"/>
      <c r="AB333" s="83"/>
      <c r="AC333" s="83"/>
      <c r="AD333" s="83"/>
      <c r="AE333" s="83"/>
      <c r="AF333" s="83"/>
      <c r="AG333" s="83"/>
      <c r="AH333" s="83"/>
    </row>
    <row r="334" spans="1:34" ht="69.75" customHeight="1" x14ac:dyDescent="0.25">
      <c r="A334" s="874" t="s">
        <v>707</v>
      </c>
      <c r="B334" s="878" t="s">
        <v>739</v>
      </c>
      <c r="C334" s="878" t="s">
        <v>740</v>
      </c>
      <c r="D334" s="324" t="s">
        <v>339</v>
      </c>
      <c r="E334" s="325">
        <v>556207000</v>
      </c>
      <c r="F334" s="325">
        <v>225108767</v>
      </c>
      <c r="G334" s="326"/>
      <c r="H334" s="83"/>
      <c r="I334" s="83"/>
      <c r="J334" s="327"/>
      <c r="K334" s="83"/>
      <c r="L334" s="83"/>
      <c r="M334" s="83"/>
      <c r="N334" s="328"/>
      <c r="O334" s="83"/>
      <c r="P334" s="83"/>
      <c r="Q334" s="83"/>
      <c r="R334" s="83"/>
      <c r="S334" s="83"/>
      <c r="T334" s="83"/>
      <c r="U334" s="83"/>
      <c r="V334" s="83"/>
      <c r="W334" s="83"/>
      <c r="X334" s="83"/>
      <c r="Y334" s="83"/>
      <c r="Z334" s="83"/>
      <c r="AA334" s="83"/>
      <c r="AB334" s="83"/>
      <c r="AC334" s="83"/>
      <c r="AD334" s="83"/>
      <c r="AE334" s="83"/>
      <c r="AF334" s="83"/>
      <c r="AG334" s="83"/>
      <c r="AH334" s="83"/>
    </row>
    <row r="335" spans="1:34" ht="69.75" customHeight="1" x14ac:dyDescent="0.25">
      <c r="A335" s="829"/>
      <c r="B335" s="710"/>
      <c r="C335" s="710"/>
      <c r="D335" s="324" t="s">
        <v>349</v>
      </c>
      <c r="E335" s="325">
        <v>172920000</v>
      </c>
      <c r="F335" s="325">
        <v>73923300</v>
      </c>
      <c r="G335" s="326"/>
      <c r="H335" s="83"/>
      <c r="I335" s="83"/>
      <c r="J335" s="327"/>
      <c r="K335" s="83"/>
      <c r="L335" s="83"/>
      <c r="M335" s="83"/>
      <c r="N335" s="328"/>
      <c r="O335" s="83"/>
      <c r="P335" s="83"/>
      <c r="Q335" s="83"/>
      <c r="R335" s="83"/>
      <c r="S335" s="83"/>
      <c r="T335" s="83"/>
      <c r="U335" s="83"/>
      <c r="V335" s="83"/>
      <c r="W335" s="83"/>
      <c r="X335" s="83"/>
      <c r="Y335" s="83"/>
      <c r="Z335" s="83"/>
      <c r="AA335" s="83"/>
      <c r="AB335" s="83"/>
      <c r="AC335" s="83"/>
      <c r="AD335" s="83"/>
      <c r="AE335" s="83"/>
      <c r="AF335" s="83"/>
      <c r="AG335" s="83"/>
      <c r="AH335" s="83"/>
    </row>
    <row r="336" spans="1:34" ht="69.75" customHeight="1" x14ac:dyDescent="0.25">
      <c r="A336" s="829"/>
      <c r="B336" s="731"/>
      <c r="C336" s="731"/>
      <c r="D336" s="324" t="s">
        <v>351</v>
      </c>
      <c r="E336" s="325">
        <v>27200000</v>
      </c>
      <c r="F336" s="325">
        <v>12965333</v>
      </c>
      <c r="G336" s="326"/>
      <c r="H336" s="83"/>
      <c r="I336" s="83"/>
      <c r="J336" s="327"/>
      <c r="K336" s="83"/>
      <c r="L336" s="83"/>
      <c r="M336" s="83"/>
      <c r="N336" s="328"/>
      <c r="O336" s="83"/>
      <c r="P336" s="83"/>
      <c r="Q336" s="83"/>
      <c r="R336" s="83"/>
      <c r="S336" s="83"/>
      <c r="T336" s="83"/>
      <c r="U336" s="83"/>
      <c r="V336" s="83"/>
      <c r="W336" s="83"/>
      <c r="X336" s="83"/>
      <c r="Y336" s="83"/>
      <c r="Z336" s="83"/>
      <c r="AA336" s="83"/>
      <c r="AB336" s="83"/>
      <c r="AC336" s="83"/>
      <c r="AD336" s="83"/>
      <c r="AE336" s="83"/>
      <c r="AF336" s="83"/>
      <c r="AG336" s="83"/>
      <c r="AH336" s="83"/>
    </row>
    <row r="337" spans="1:34" ht="69.75" customHeight="1" x14ac:dyDescent="0.25">
      <c r="A337" s="829"/>
      <c r="B337" s="749" t="s">
        <v>743</v>
      </c>
      <c r="C337" s="749" t="s">
        <v>744</v>
      </c>
      <c r="D337" s="329" t="s">
        <v>354</v>
      </c>
      <c r="E337" s="325">
        <v>67897116</v>
      </c>
      <c r="F337" s="325">
        <v>28290500</v>
      </c>
      <c r="G337" s="326"/>
      <c r="H337" s="83"/>
      <c r="I337" s="83"/>
      <c r="J337" s="327"/>
      <c r="K337" s="83"/>
      <c r="L337" s="83"/>
      <c r="M337" s="83"/>
      <c r="N337" s="328"/>
      <c r="O337" s="83"/>
      <c r="P337" s="83"/>
      <c r="Q337" s="83"/>
      <c r="R337" s="83"/>
      <c r="S337" s="83"/>
      <c r="T337" s="83"/>
      <c r="U337" s="83"/>
      <c r="V337" s="83"/>
      <c r="W337" s="83"/>
      <c r="X337" s="83"/>
      <c r="Y337" s="83"/>
      <c r="Z337" s="83"/>
      <c r="AA337" s="83"/>
      <c r="AB337" s="83"/>
      <c r="AC337" s="83"/>
      <c r="AD337" s="83"/>
      <c r="AE337" s="83"/>
      <c r="AF337" s="83"/>
      <c r="AG337" s="83"/>
      <c r="AH337" s="83"/>
    </row>
    <row r="338" spans="1:34" ht="69.75" customHeight="1" x14ac:dyDescent="0.25">
      <c r="A338" s="829"/>
      <c r="B338" s="710"/>
      <c r="C338" s="710"/>
      <c r="D338" s="329" t="s">
        <v>924</v>
      </c>
      <c r="E338" s="325">
        <v>375068706</v>
      </c>
      <c r="F338" s="325">
        <v>155398666</v>
      </c>
      <c r="G338" s="326"/>
      <c r="H338" s="83"/>
      <c r="I338" s="83"/>
      <c r="J338" s="327"/>
      <c r="K338" s="83"/>
      <c r="L338" s="83"/>
      <c r="M338" s="83"/>
      <c r="N338" s="328"/>
      <c r="O338" s="83"/>
      <c r="P338" s="83"/>
      <c r="Q338" s="83"/>
      <c r="R338" s="83"/>
      <c r="S338" s="83"/>
      <c r="T338" s="83"/>
      <c r="U338" s="83"/>
      <c r="V338" s="83"/>
      <c r="W338" s="83"/>
      <c r="X338" s="83"/>
      <c r="Y338" s="83"/>
      <c r="Z338" s="83"/>
      <c r="AA338" s="83"/>
      <c r="AB338" s="83"/>
      <c r="AC338" s="83"/>
      <c r="AD338" s="83"/>
      <c r="AE338" s="83"/>
      <c r="AF338" s="83"/>
      <c r="AG338" s="83"/>
      <c r="AH338" s="83"/>
    </row>
    <row r="339" spans="1:34" ht="69.75" customHeight="1" x14ac:dyDescent="0.25">
      <c r="A339" s="829"/>
      <c r="B339" s="710"/>
      <c r="C339" s="710"/>
      <c r="D339" s="329" t="s">
        <v>925</v>
      </c>
      <c r="E339" s="325">
        <v>313790000</v>
      </c>
      <c r="F339" s="325">
        <v>135982800</v>
      </c>
      <c r="G339" s="326"/>
      <c r="H339" s="83"/>
      <c r="I339" s="83"/>
      <c r="J339" s="327"/>
      <c r="K339" s="83"/>
      <c r="L339" s="83"/>
      <c r="M339" s="83"/>
      <c r="N339" s="328"/>
      <c r="O339" s="83"/>
      <c r="P339" s="83"/>
      <c r="Q339" s="83"/>
      <c r="R339" s="83"/>
      <c r="S339" s="83"/>
      <c r="T339" s="83"/>
      <c r="U339" s="83"/>
      <c r="V339" s="83"/>
      <c r="W339" s="83"/>
      <c r="X339" s="83"/>
      <c r="Y339" s="83"/>
      <c r="Z339" s="83"/>
      <c r="AA339" s="83"/>
      <c r="AB339" s="83"/>
      <c r="AC339" s="83"/>
      <c r="AD339" s="83"/>
      <c r="AE339" s="83"/>
      <c r="AF339" s="83"/>
      <c r="AG339" s="83"/>
      <c r="AH339" s="83"/>
    </row>
    <row r="340" spans="1:34" ht="69.75" customHeight="1" x14ac:dyDescent="0.25">
      <c r="A340" s="829"/>
      <c r="B340" s="731"/>
      <c r="C340" s="731"/>
      <c r="D340" s="329" t="s">
        <v>674</v>
      </c>
      <c r="E340" s="330">
        <v>443325000</v>
      </c>
      <c r="F340" s="330">
        <v>192585734</v>
      </c>
      <c r="G340" s="332"/>
      <c r="H340" s="83"/>
      <c r="I340" s="83"/>
      <c r="J340" s="327"/>
      <c r="K340" s="83"/>
      <c r="L340" s="83"/>
      <c r="M340" s="83"/>
      <c r="N340" s="328"/>
      <c r="O340" s="83"/>
      <c r="P340" s="83"/>
      <c r="Q340" s="83"/>
      <c r="R340" s="83"/>
      <c r="S340" s="83"/>
      <c r="T340" s="83"/>
      <c r="U340" s="83"/>
      <c r="V340" s="83"/>
      <c r="W340" s="83"/>
      <c r="X340" s="83"/>
      <c r="Y340" s="83"/>
      <c r="Z340" s="83"/>
      <c r="AA340" s="83"/>
      <c r="AB340" s="83"/>
      <c r="AC340" s="83"/>
      <c r="AD340" s="83"/>
      <c r="AE340" s="83"/>
      <c r="AF340" s="83"/>
      <c r="AG340" s="83"/>
      <c r="AH340" s="83"/>
    </row>
    <row r="341" spans="1:34" ht="69.75" customHeight="1" x14ac:dyDescent="0.25">
      <c r="A341" s="829"/>
      <c r="B341" s="30" t="s">
        <v>747</v>
      </c>
      <c r="C341" s="30" t="s">
        <v>748</v>
      </c>
      <c r="D341" s="329" t="s">
        <v>926</v>
      </c>
      <c r="E341" s="325">
        <v>222016000</v>
      </c>
      <c r="F341" s="325">
        <v>86883434</v>
      </c>
      <c r="G341" s="326"/>
      <c r="H341" s="83"/>
      <c r="I341" s="83"/>
      <c r="J341" s="327"/>
      <c r="K341" s="83"/>
      <c r="L341" s="83"/>
      <c r="M341" s="83"/>
      <c r="N341" s="328"/>
      <c r="O341" s="83"/>
      <c r="P341" s="83"/>
      <c r="Q341" s="83"/>
      <c r="R341" s="83"/>
      <c r="S341" s="83"/>
      <c r="T341" s="83"/>
      <c r="U341" s="83"/>
      <c r="V341" s="83"/>
      <c r="W341" s="83"/>
      <c r="X341" s="83"/>
      <c r="Y341" s="83"/>
      <c r="Z341" s="83"/>
      <c r="AA341" s="83"/>
      <c r="AB341" s="83"/>
      <c r="AC341" s="83"/>
      <c r="AD341" s="83"/>
      <c r="AE341" s="83"/>
      <c r="AF341" s="83"/>
      <c r="AG341" s="83"/>
      <c r="AH341" s="83"/>
    </row>
    <row r="342" spans="1:34" ht="69.75" customHeight="1" x14ac:dyDescent="0.25">
      <c r="A342" s="823"/>
      <c r="B342" s="30" t="s">
        <v>751</v>
      </c>
      <c r="C342" s="30" t="s">
        <v>752</v>
      </c>
      <c r="D342" s="329" t="s">
        <v>370</v>
      </c>
      <c r="E342" s="325">
        <v>754641627</v>
      </c>
      <c r="F342" s="325">
        <v>291259304</v>
      </c>
      <c r="G342" s="326"/>
      <c r="H342" s="83"/>
      <c r="I342" s="83"/>
      <c r="J342" s="327"/>
      <c r="K342" s="83"/>
      <c r="L342" s="83"/>
      <c r="M342" s="83"/>
      <c r="N342" s="328"/>
      <c r="O342" s="83"/>
      <c r="P342" s="83"/>
      <c r="Q342" s="83"/>
      <c r="R342" s="83"/>
      <c r="S342" s="83"/>
      <c r="T342" s="83"/>
      <c r="U342" s="83"/>
      <c r="V342" s="83"/>
      <c r="W342" s="83"/>
      <c r="X342" s="83"/>
      <c r="Y342" s="83"/>
      <c r="Z342" s="83"/>
      <c r="AA342" s="83"/>
      <c r="AB342" s="83"/>
      <c r="AC342" s="83"/>
      <c r="AD342" s="83"/>
      <c r="AE342" s="83"/>
      <c r="AF342" s="83"/>
      <c r="AG342" s="83"/>
      <c r="AH342" s="83"/>
    </row>
    <row r="343" spans="1:34" ht="69.75" customHeight="1" x14ac:dyDescent="0.25">
      <c r="A343" s="874" t="s">
        <v>708</v>
      </c>
      <c r="B343" s="878" t="s">
        <v>739</v>
      </c>
      <c r="C343" s="878" t="s">
        <v>740</v>
      </c>
      <c r="D343" s="324" t="s">
        <v>339</v>
      </c>
      <c r="E343" s="325">
        <v>605339000</v>
      </c>
      <c r="F343" s="325">
        <v>276425767</v>
      </c>
      <c r="G343" s="326"/>
      <c r="H343" s="83"/>
      <c r="I343" s="83"/>
      <c r="J343" s="327"/>
      <c r="K343" s="83"/>
      <c r="L343" s="83"/>
      <c r="M343" s="83"/>
      <c r="N343" s="328"/>
      <c r="O343" s="83"/>
      <c r="P343" s="83"/>
      <c r="Q343" s="83"/>
      <c r="R343" s="83"/>
      <c r="S343" s="83"/>
      <c r="T343" s="83"/>
      <c r="U343" s="83"/>
      <c r="V343" s="83"/>
      <c r="W343" s="83"/>
      <c r="X343" s="83"/>
      <c r="Y343" s="83"/>
      <c r="Z343" s="83"/>
      <c r="AA343" s="83"/>
      <c r="AB343" s="83"/>
      <c r="AC343" s="83"/>
      <c r="AD343" s="83"/>
      <c r="AE343" s="83"/>
      <c r="AF343" s="83"/>
      <c r="AG343" s="83"/>
      <c r="AH343" s="83"/>
    </row>
    <row r="344" spans="1:34" ht="69.75" customHeight="1" x14ac:dyDescent="0.25">
      <c r="A344" s="829"/>
      <c r="B344" s="710"/>
      <c r="C344" s="710"/>
      <c r="D344" s="324" t="s">
        <v>349</v>
      </c>
      <c r="E344" s="325">
        <v>172920000</v>
      </c>
      <c r="F344" s="325">
        <v>91215300</v>
      </c>
      <c r="G344" s="326"/>
      <c r="H344" s="83"/>
      <c r="I344" s="83"/>
      <c r="J344" s="327"/>
      <c r="K344" s="83"/>
      <c r="L344" s="83"/>
      <c r="M344" s="83"/>
      <c r="N344" s="328"/>
      <c r="O344" s="83"/>
      <c r="P344" s="83"/>
      <c r="Q344" s="83"/>
      <c r="R344" s="83"/>
      <c r="S344" s="83"/>
      <c r="T344" s="83"/>
      <c r="U344" s="83"/>
      <c r="V344" s="83"/>
      <c r="W344" s="83"/>
      <c r="X344" s="83"/>
      <c r="Y344" s="83"/>
      <c r="Z344" s="83"/>
      <c r="AA344" s="83"/>
      <c r="AB344" s="83"/>
      <c r="AC344" s="83"/>
      <c r="AD344" s="83"/>
      <c r="AE344" s="83"/>
      <c r="AF344" s="83"/>
      <c r="AG344" s="83"/>
      <c r="AH344" s="83"/>
    </row>
    <row r="345" spans="1:34" ht="69.75" customHeight="1" x14ac:dyDescent="0.25">
      <c r="A345" s="829"/>
      <c r="B345" s="731"/>
      <c r="C345" s="731"/>
      <c r="D345" s="324" t="s">
        <v>351</v>
      </c>
      <c r="E345" s="325">
        <v>29920000</v>
      </c>
      <c r="F345" s="325">
        <v>15685333</v>
      </c>
      <c r="G345" s="326"/>
      <c r="H345" s="83"/>
      <c r="I345" s="83"/>
      <c r="J345" s="327"/>
      <c r="K345" s="83"/>
      <c r="L345" s="83"/>
      <c r="M345" s="83"/>
      <c r="N345" s="328"/>
      <c r="O345" s="83"/>
      <c r="P345" s="83"/>
      <c r="Q345" s="83"/>
      <c r="R345" s="83"/>
      <c r="S345" s="83"/>
      <c r="T345" s="83"/>
      <c r="U345" s="83"/>
      <c r="V345" s="83"/>
      <c r="W345" s="83"/>
      <c r="X345" s="83"/>
      <c r="Y345" s="83"/>
      <c r="Z345" s="83"/>
      <c r="AA345" s="83"/>
      <c r="AB345" s="83"/>
      <c r="AC345" s="83"/>
      <c r="AD345" s="83"/>
      <c r="AE345" s="83"/>
      <c r="AF345" s="83"/>
      <c r="AG345" s="83"/>
      <c r="AH345" s="83"/>
    </row>
    <row r="346" spans="1:34" ht="69.75" customHeight="1" x14ac:dyDescent="0.25">
      <c r="A346" s="829"/>
      <c r="B346" s="749" t="s">
        <v>743</v>
      </c>
      <c r="C346" s="749" t="s">
        <v>744</v>
      </c>
      <c r="D346" s="329" t="s">
        <v>354</v>
      </c>
      <c r="E346" s="325">
        <v>76788500</v>
      </c>
      <c r="F346" s="325">
        <v>36373500</v>
      </c>
      <c r="G346" s="326"/>
      <c r="H346" s="83"/>
      <c r="I346" s="83"/>
      <c r="J346" s="327"/>
      <c r="K346" s="83"/>
      <c r="L346" s="83"/>
      <c r="M346" s="83"/>
      <c r="N346" s="328"/>
      <c r="O346" s="83"/>
      <c r="P346" s="83"/>
      <c r="Q346" s="83"/>
      <c r="R346" s="83"/>
      <c r="S346" s="83"/>
      <c r="T346" s="83"/>
      <c r="U346" s="83"/>
      <c r="V346" s="83"/>
      <c r="W346" s="83"/>
      <c r="X346" s="83"/>
      <c r="Y346" s="83"/>
      <c r="Z346" s="83"/>
      <c r="AA346" s="83"/>
      <c r="AB346" s="83"/>
      <c r="AC346" s="83"/>
      <c r="AD346" s="83"/>
      <c r="AE346" s="83"/>
      <c r="AF346" s="83"/>
      <c r="AG346" s="83"/>
      <c r="AH346" s="83"/>
    </row>
    <row r="347" spans="1:34" ht="69.75" customHeight="1" x14ac:dyDescent="0.25">
      <c r="A347" s="829"/>
      <c r="B347" s="710"/>
      <c r="C347" s="710"/>
      <c r="D347" s="329" t="s">
        <v>924</v>
      </c>
      <c r="E347" s="325">
        <v>734844689</v>
      </c>
      <c r="F347" s="325">
        <v>198746666</v>
      </c>
      <c r="G347" s="326"/>
      <c r="H347" s="83"/>
      <c r="I347" s="83"/>
      <c r="J347" s="327"/>
      <c r="K347" s="83"/>
      <c r="L347" s="83"/>
      <c r="M347" s="83"/>
      <c r="N347" s="328"/>
      <c r="O347" s="83"/>
      <c r="P347" s="83"/>
      <c r="Q347" s="83"/>
      <c r="R347" s="83"/>
      <c r="S347" s="83"/>
      <c r="T347" s="83"/>
      <c r="U347" s="83"/>
      <c r="V347" s="83"/>
      <c r="W347" s="83"/>
      <c r="X347" s="83"/>
      <c r="Y347" s="83"/>
      <c r="Z347" s="83"/>
      <c r="AA347" s="83"/>
      <c r="AB347" s="83"/>
      <c r="AC347" s="83"/>
      <c r="AD347" s="83"/>
      <c r="AE347" s="83"/>
      <c r="AF347" s="83"/>
      <c r="AG347" s="83"/>
      <c r="AH347" s="83"/>
    </row>
    <row r="348" spans="1:34" ht="69.75" customHeight="1" x14ac:dyDescent="0.25">
      <c r="A348" s="829"/>
      <c r="B348" s="710"/>
      <c r="C348" s="710"/>
      <c r="D348" s="329" t="s">
        <v>925</v>
      </c>
      <c r="E348" s="325">
        <v>333790000</v>
      </c>
      <c r="F348" s="325">
        <v>163923800</v>
      </c>
      <c r="G348" s="326"/>
      <c r="H348" s="83"/>
      <c r="I348" s="83"/>
      <c r="J348" s="327"/>
      <c r="K348" s="83"/>
      <c r="L348" s="83"/>
      <c r="M348" s="83"/>
      <c r="N348" s="328"/>
      <c r="O348" s="83"/>
      <c r="P348" s="83"/>
      <c r="Q348" s="83"/>
      <c r="R348" s="83"/>
      <c r="S348" s="83"/>
      <c r="T348" s="83"/>
      <c r="U348" s="83"/>
      <c r="V348" s="83"/>
      <c r="W348" s="83"/>
      <c r="X348" s="83"/>
      <c r="Y348" s="83"/>
      <c r="Z348" s="83"/>
      <c r="AA348" s="83"/>
      <c r="AB348" s="83"/>
      <c r="AC348" s="83"/>
      <c r="AD348" s="83"/>
      <c r="AE348" s="83"/>
      <c r="AF348" s="83"/>
      <c r="AG348" s="83"/>
      <c r="AH348" s="83"/>
    </row>
    <row r="349" spans="1:34" ht="69.75" customHeight="1" x14ac:dyDescent="0.25">
      <c r="A349" s="829"/>
      <c r="B349" s="731"/>
      <c r="C349" s="731"/>
      <c r="D349" s="329" t="s">
        <v>674</v>
      </c>
      <c r="E349" s="330">
        <v>443888000</v>
      </c>
      <c r="F349" s="330">
        <v>239079734</v>
      </c>
      <c r="G349" s="332"/>
      <c r="H349" s="83"/>
      <c r="I349" s="83"/>
      <c r="J349" s="327"/>
      <c r="K349" s="83"/>
      <c r="L349" s="83"/>
      <c r="M349" s="83"/>
      <c r="N349" s="328"/>
      <c r="O349" s="83"/>
      <c r="P349" s="83"/>
      <c r="Q349" s="83"/>
      <c r="R349" s="83"/>
      <c r="S349" s="83"/>
      <c r="T349" s="83"/>
      <c r="U349" s="83"/>
      <c r="V349" s="83"/>
      <c r="W349" s="83"/>
      <c r="X349" s="83"/>
      <c r="Y349" s="83"/>
      <c r="Z349" s="83"/>
      <c r="AA349" s="83"/>
      <c r="AB349" s="83"/>
      <c r="AC349" s="83"/>
      <c r="AD349" s="83"/>
      <c r="AE349" s="83"/>
      <c r="AF349" s="83"/>
      <c r="AG349" s="83"/>
      <c r="AH349" s="83"/>
    </row>
    <row r="350" spans="1:34" ht="69.75" customHeight="1" x14ac:dyDescent="0.25">
      <c r="A350" s="829"/>
      <c r="B350" s="30" t="s">
        <v>747</v>
      </c>
      <c r="C350" s="30" t="s">
        <v>748</v>
      </c>
      <c r="D350" s="329" t="s">
        <v>926</v>
      </c>
      <c r="E350" s="325">
        <v>277709000</v>
      </c>
      <c r="F350" s="325">
        <v>109027434</v>
      </c>
      <c r="G350" s="326"/>
      <c r="H350" s="83"/>
      <c r="I350" s="83"/>
      <c r="J350" s="327"/>
      <c r="K350" s="83"/>
      <c r="L350" s="83"/>
      <c r="M350" s="83"/>
      <c r="N350" s="328"/>
      <c r="O350" s="83"/>
      <c r="P350" s="83"/>
      <c r="Q350" s="83"/>
      <c r="R350" s="83"/>
      <c r="S350" s="83"/>
      <c r="T350" s="83"/>
      <c r="U350" s="83"/>
      <c r="V350" s="83"/>
      <c r="W350" s="83"/>
      <c r="X350" s="83"/>
      <c r="Y350" s="83"/>
      <c r="Z350" s="83"/>
      <c r="AA350" s="83"/>
      <c r="AB350" s="83"/>
      <c r="AC350" s="83"/>
      <c r="AD350" s="83"/>
      <c r="AE350" s="83"/>
      <c r="AF350" s="83"/>
      <c r="AG350" s="83"/>
      <c r="AH350" s="83"/>
    </row>
    <row r="351" spans="1:34" ht="69.75" customHeight="1" x14ac:dyDescent="0.25">
      <c r="A351" s="823"/>
      <c r="B351" s="30" t="s">
        <v>751</v>
      </c>
      <c r="C351" s="30" t="s">
        <v>752</v>
      </c>
      <c r="D351" s="329" t="s">
        <v>370</v>
      </c>
      <c r="E351" s="325">
        <v>779641627</v>
      </c>
      <c r="F351" s="325">
        <v>382449164</v>
      </c>
      <c r="G351" s="326"/>
      <c r="H351" s="83"/>
      <c r="I351" s="83"/>
      <c r="J351" s="327"/>
      <c r="K351" s="83"/>
      <c r="L351" s="83"/>
      <c r="M351" s="83"/>
      <c r="N351" s="328"/>
      <c r="O351" s="83"/>
      <c r="P351" s="83"/>
      <c r="Q351" s="83"/>
      <c r="R351" s="83"/>
      <c r="S351" s="83"/>
      <c r="T351" s="83"/>
      <c r="U351" s="83"/>
      <c r="V351" s="83"/>
      <c r="W351" s="83"/>
      <c r="X351" s="83"/>
      <c r="Y351" s="83"/>
      <c r="Z351" s="83"/>
      <c r="AA351" s="83"/>
      <c r="AB351" s="83"/>
      <c r="AC351" s="83"/>
      <c r="AD351" s="83"/>
      <c r="AE351" s="83"/>
      <c r="AF351" s="83"/>
      <c r="AG351" s="83"/>
      <c r="AH351" s="83"/>
    </row>
    <row r="352" spans="1:34" ht="69.75" customHeight="1" x14ac:dyDescent="0.25">
      <c r="A352" s="874" t="s">
        <v>709</v>
      </c>
      <c r="B352" s="878" t="s">
        <v>739</v>
      </c>
      <c r="C352" s="878" t="s">
        <v>740</v>
      </c>
      <c r="D352" s="324" t="s">
        <v>339</v>
      </c>
      <c r="E352" s="325">
        <v>605339000</v>
      </c>
      <c r="F352" s="325">
        <v>327742767</v>
      </c>
      <c r="G352" s="326"/>
      <c r="H352" s="83"/>
      <c r="I352" s="83"/>
      <c r="J352" s="327"/>
      <c r="K352" s="83"/>
      <c r="L352" s="83"/>
      <c r="M352" s="83"/>
      <c r="N352" s="328"/>
      <c r="O352" s="83"/>
      <c r="P352" s="83"/>
      <c r="Q352" s="83"/>
      <c r="R352" s="83"/>
      <c r="S352" s="83"/>
      <c r="T352" s="83"/>
      <c r="U352" s="83"/>
      <c r="V352" s="83"/>
      <c r="W352" s="83"/>
      <c r="X352" s="83"/>
      <c r="Y352" s="83"/>
      <c r="Z352" s="83"/>
      <c r="AA352" s="83"/>
      <c r="AB352" s="83"/>
      <c r="AC352" s="83"/>
      <c r="AD352" s="83"/>
      <c r="AE352" s="83"/>
      <c r="AF352" s="83"/>
      <c r="AG352" s="83"/>
      <c r="AH352" s="83"/>
    </row>
    <row r="353" spans="1:34" ht="69.75" customHeight="1" x14ac:dyDescent="0.25">
      <c r="A353" s="829"/>
      <c r="B353" s="710"/>
      <c r="C353" s="710"/>
      <c r="D353" s="324" t="s">
        <v>349</v>
      </c>
      <c r="E353" s="325">
        <v>172920000</v>
      </c>
      <c r="F353" s="325">
        <v>108507300</v>
      </c>
      <c r="G353" s="326"/>
      <c r="H353" s="83"/>
      <c r="I353" s="83"/>
      <c r="J353" s="327"/>
      <c r="K353" s="83"/>
      <c r="L353" s="83"/>
      <c r="M353" s="83"/>
      <c r="N353" s="328"/>
      <c r="O353" s="83"/>
      <c r="P353" s="83"/>
      <c r="Q353" s="83"/>
      <c r="R353" s="83"/>
      <c r="S353" s="83"/>
      <c r="T353" s="83"/>
      <c r="U353" s="83"/>
      <c r="V353" s="83"/>
      <c r="W353" s="83"/>
      <c r="X353" s="83"/>
      <c r="Y353" s="83"/>
      <c r="Z353" s="83"/>
      <c r="AA353" s="83"/>
      <c r="AB353" s="83"/>
      <c r="AC353" s="83"/>
      <c r="AD353" s="83"/>
      <c r="AE353" s="83"/>
      <c r="AF353" s="83"/>
      <c r="AG353" s="83"/>
      <c r="AH353" s="83"/>
    </row>
    <row r="354" spans="1:34" ht="69.75" customHeight="1" x14ac:dyDescent="0.25">
      <c r="A354" s="829"/>
      <c r="B354" s="731"/>
      <c r="C354" s="731"/>
      <c r="D354" s="324" t="s">
        <v>351</v>
      </c>
      <c r="E354" s="325">
        <v>29920000</v>
      </c>
      <c r="F354" s="325">
        <v>18405333</v>
      </c>
      <c r="G354" s="326"/>
      <c r="H354" s="83"/>
      <c r="I354" s="83"/>
      <c r="J354" s="327"/>
      <c r="K354" s="83"/>
      <c r="L354" s="83"/>
      <c r="M354" s="83"/>
      <c r="N354" s="328"/>
      <c r="O354" s="83"/>
      <c r="P354" s="83"/>
      <c r="Q354" s="83"/>
      <c r="R354" s="83"/>
      <c r="S354" s="83"/>
      <c r="T354" s="83"/>
      <c r="U354" s="83"/>
      <c r="V354" s="83"/>
      <c r="W354" s="83"/>
      <c r="X354" s="83"/>
      <c r="Y354" s="83"/>
      <c r="Z354" s="83"/>
      <c r="AA354" s="83"/>
      <c r="AB354" s="83"/>
      <c r="AC354" s="83"/>
      <c r="AD354" s="83"/>
      <c r="AE354" s="83"/>
      <c r="AF354" s="83"/>
      <c r="AG354" s="83"/>
      <c r="AH354" s="83"/>
    </row>
    <row r="355" spans="1:34" ht="69.75" customHeight="1" x14ac:dyDescent="0.25">
      <c r="A355" s="829"/>
      <c r="B355" s="749" t="s">
        <v>743</v>
      </c>
      <c r="C355" s="749" t="s">
        <v>744</v>
      </c>
      <c r="D355" s="329" t="s">
        <v>354</v>
      </c>
      <c r="E355" s="325">
        <v>76788500</v>
      </c>
      <c r="F355" s="325">
        <v>44456500</v>
      </c>
      <c r="G355" s="326"/>
      <c r="H355" s="83"/>
      <c r="I355" s="83"/>
      <c r="J355" s="327"/>
      <c r="K355" s="83"/>
      <c r="L355" s="83"/>
      <c r="M355" s="83"/>
      <c r="N355" s="328"/>
      <c r="O355" s="83"/>
      <c r="P355" s="83"/>
      <c r="Q355" s="83"/>
      <c r="R355" s="83"/>
      <c r="S355" s="83"/>
      <c r="T355" s="83"/>
      <c r="U355" s="83"/>
      <c r="V355" s="83"/>
      <c r="W355" s="83"/>
      <c r="X355" s="83"/>
      <c r="Y355" s="83"/>
      <c r="Z355" s="83"/>
      <c r="AA355" s="83"/>
      <c r="AB355" s="83"/>
      <c r="AC355" s="83"/>
      <c r="AD355" s="83"/>
      <c r="AE355" s="83"/>
      <c r="AF355" s="83"/>
      <c r="AG355" s="83"/>
      <c r="AH355" s="83"/>
    </row>
    <row r="356" spans="1:34" ht="69.75" customHeight="1" x14ac:dyDescent="0.25">
      <c r="A356" s="829"/>
      <c r="B356" s="710"/>
      <c r="C356" s="710"/>
      <c r="D356" s="329" t="s">
        <v>924</v>
      </c>
      <c r="E356" s="325">
        <v>734844689</v>
      </c>
      <c r="F356" s="325">
        <v>242094666</v>
      </c>
      <c r="G356" s="326"/>
      <c r="H356" s="83"/>
      <c r="I356" s="83"/>
      <c r="J356" s="327"/>
      <c r="K356" s="83"/>
      <c r="L356" s="83"/>
      <c r="M356" s="83"/>
      <c r="N356" s="328"/>
      <c r="O356" s="83"/>
      <c r="P356" s="83"/>
      <c r="Q356" s="83"/>
      <c r="R356" s="83"/>
      <c r="S356" s="83"/>
      <c r="T356" s="83"/>
      <c r="U356" s="83"/>
      <c r="V356" s="83"/>
      <c r="W356" s="83"/>
      <c r="X356" s="83"/>
      <c r="Y356" s="83"/>
      <c r="Z356" s="83"/>
      <c r="AA356" s="83"/>
      <c r="AB356" s="83"/>
      <c r="AC356" s="83"/>
      <c r="AD356" s="83"/>
      <c r="AE356" s="83"/>
      <c r="AF356" s="83"/>
      <c r="AG356" s="83"/>
      <c r="AH356" s="83"/>
    </row>
    <row r="357" spans="1:34" ht="69.75" customHeight="1" x14ac:dyDescent="0.25">
      <c r="A357" s="829"/>
      <c r="B357" s="710"/>
      <c r="C357" s="710"/>
      <c r="D357" s="329" t="s">
        <v>925</v>
      </c>
      <c r="E357" s="325">
        <v>333790000</v>
      </c>
      <c r="F357" s="325">
        <v>195302800</v>
      </c>
      <c r="G357" s="326"/>
      <c r="H357" s="83"/>
      <c r="I357" s="83"/>
      <c r="J357" s="327"/>
      <c r="K357" s="83"/>
      <c r="L357" s="83"/>
      <c r="M357" s="83"/>
      <c r="N357" s="328"/>
      <c r="O357" s="83"/>
      <c r="P357" s="83"/>
      <c r="Q357" s="83"/>
      <c r="R357" s="83"/>
      <c r="S357" s="83"/>
      <c r="T357" s="83"/>
      <c r="U357" s="83"/>
      <c r="V357" s="83"/>
      <c r="W357" s="83"/>
      <c r="X357" s="83"/>
      <c r="Y357" s="83"/>
      <c r="Z357" s="83"/>
      <c r="AA357" s="83"/>
      <c r="AB357" s="83"/>
      <c r="AC357" s="83"/>
      <c r="AD357" s="83"/>
      <c r="AE357" s="83"/>
      <c r="AF357" s="83"/>
      <c r="AG357" s="83"/>
      <c r="AH357" s="83"/>
    </row>
    <row r="358" spans="1:34" ht="69.75" customHeight="1" x14ac:dyDescent="0.25">
      <c r="A358" s="829"/>
      <c r="B358" s="731"/>
      <c r="C358" s="731"/>
      <c r="D358" s="329" t="s">
        <v>674</v>
      </c>
      <c r="E358" s="330">
        <v>443888000</v>
      </c>
      <c r="F358" s="330">
        <v>281250734</v>
      </c>
      <c r="G358" s="332"/>
      <c r="H358" s="83"/>
      <c r="I358" s="83"/>
      <c r="J358" s="327"/>
      <c r="K358" s="83"/>
      <c r="L358" s="83"/>
      <c r="M358" s="83"/>
      <c r="N358" s="328"/>
      <c r="O358" s="83"/>
      <c r="P358" s="83"/>
      <c r="Q358" s="83"/>
      <c r="R358" s="83"/>
      <c r="S358" s="83"/>
      <c r="T358" s="83"/>
      <c r="U358" s="83"/>
      <c r="V358" s="83"/>
      <c r="W358" s="83"/>
      <c r="X358" s="83"/>
      <c r="Y358" s="83"/>
      <c r="Z358" s="83"/>
      <c r="AA358" s="83"/>
      <c r="AB358" s="83"/>
      <c r="AC358" s="83"/>
      <c r="AD358" s="83"/>
      <c r="AE358" s="83"/>
      <c r="AF358" s="83"/>
      <c r="AG358" s="83"/>
      <c r="AH358" s="83"/>
    </row>
    <row r="359" spans="1:34" ht="69.75" customHeight="1" x14ac:dyDescent="0.25">
      <c r="A359" s="829"/>
      <c r="B359" s="30" t="s">
        <v>747</v>
      </c>
      <c r="C359" s="30" t="s">
        <v>748</v>
      </c>
      <c r="D359" s="329" t="s">
        <v>926</v>
      </c>
      <c r="E359" s="325">
        <v>277709000</v>
      </c>
      <c r="F359" s="325">
        <v>135160101</v>
      </c>
      <c r="G359" s="326"/>
      <c r="H359" s="83"/>
      <c r="I359" s="83"/>
      <c r="J359" s="327"/>
      <c r="K359" s="83"/>
      <c r="L359" s="83"/>
      <c r="M359" s="83"/>
      <c r="N359" s="328"/>
      <c r="O359" s="83"/>
      <c r="P359" s="83"/>
      <c r="Q359" s="83"/>
      <c r="R359" s="83"/>
      <c r="S359" s="83"/>
      <c r="T359" s="83"/>
      <c r="U359" s="83"/>
      <c r="V359" s="83"/>
      <c r="W359" s="83"/>
      <c r="X359" s="83"/>
      <c r="Y359" s="83"/>
      <c r="Z359" s="83"/>
      <c r="AA359" s="83"/>
      <c r="AB359" s="83"/>
      <c r="AC359" s="83"/>
      <c r="AD359" s="83"/>
      <c r="AE359" s="83"/>
      <c r="AF359" s="83"/>
      <c r="AG359" s="83"/>
      <c r="AH359" s="83"/>
    </row>
    <row r="360" spans="1:34" ht="42.75" customHeight="1" x14ac:dyDescent="0.25">
      <c r="A360" s="823"/>
      <c r="B360" s="30" t="s">
        <v>751</v>
      </c>
      <c r="C360" s="30" t="s">
        <v>752</v>
      </c>
      <c r="D360" s="329" t="s">
        <v>370</v>
      </c>
      <c r="E360" s="325">
        <v>779641627</v>
      </c>
      <c r="F360" s="325">
        <v>454216764</v>
      </c>
      <c r="G360" s="326"/>
      <c r="H360" s="83"/>
      <c r="I360" s="83"/>
      <c r="J360" s="327"/>
      <c r="K360" s="83"/>
      <c r="L360" s="83"/>
      <c r="M360" s="83"/>
      <c r="N360" s="328"/>
      <c r="O360" s="83"/>
      <c r="P360" s="83"/>
      <c r="Q360" s="83"/>
      <c r="R360" s="83"/>
      <c r="S360" s="83"/>
      <c r="T360" s="83"/>
      <c r="U360" s="83"/>
      <c r="V360" s="83"/>
      <c r="W360" s="83"/>
      <c r="X360" s="83"/>
      <c r="Y360" s="83"/>
      <c r="Z360" s="83"/>
      <c r="AA360" s="83"/>
      <c r="AB360" s="83"/>
      <c r="AC360" s="83"/>
      <c r="AD360" s="83"/>
      <c r="AE360" s="83"/>
      <c r="AF360" s="83"/>
      <c r="AG360" s="83"/>
      <c r="AH360" s="83"/>
    </row>
    <row r="361" spans="1:34" ht="69.75" customHeight="1" x14ac:dyDescent="0.25">
      <c r="A361" s="874" t="s">
        <v>710</v>
      </c>
      <c r="B361" s="878" t="s">
        <v>739</v>
      </c>
      <c r="C361" s="878" t="s">
        <v>740</v>
      </c>
      <c r="D361" s="324" t="s">
        <v>339</v>
      </c>
      <c r="E361" s="325">
        <v>605339000</v>
      </c>
      <c r="F361" s="325">
        <v>379059767</v>
      </c>
      <c r="G361" s="326"/>
      <c r="H361" s="83"/>
      <c r="I361" s="83"/>
      <c r="J361" s="327"/>
      <c r="K361" s="83"/>
      <c r="L361" s="83"/>
      <c r="M361" s="83"/>
      <c r="N361" s="328"/>
      <c r="O361" s="83"/>
      <c r="P361" s="83"/>
      <c r="Q361" s="83"/>
      <c r="R361" s="83"/>
      <c r="S361" s="83"/>
      <c r="T361" s="83"/>
      <c r="U361" s="83"/>
      <c r="V361" s="83"/>
      <c r="W361" s="83"/>
      <c r="X361" s="83"/>
      <c r="Y361" s="83"/>
      <c r="Z361" s="83"/>
      <c r="AA361" s="83"/>
      <c r="AB361" s="83"/>
      <c r="AC361" s="83"/>
      <c r="AD361" s="83"/>
      <c r="AE361" s="83"/>
      <c r="AF361" s="83"/>
      <c r="AG361" s="83"/>
      <c r="AH361" s="83"/>
    </row>
    <row r="362" spans="1:34" ht="69.75" customHeight="1" x14ac:dyDescent="0.25">
      <c r="A362" s="829"/>
      <c r="B362" s="710"/>
      <c r="C362" s="710"/>
      <c r="D362" s="324" t="s">
        <v>349</v>
      </c>
      <c r="E362" s="325">
        <v>172920000</v>
      </c>
      <c r="F362" s="325">
        <v>125799300</v>
      </c>
      <c r="G362" s="326"/>
      <c r="H362" s="83"/>
      <c r="I362" s="83"/>
      <c r="J362" s="327"/>
      <c r="K362" s="83"/>
      <c r="L362" s="83"/>
      <c r="M362" s="83"/>
      <c r="N362" s="328"/>
      <c r="O362" s="83"/>
      <c r="P362" s="83"/>
      <c r="Q362" s="83"/>
      <c r="R362" s="83"/>
      <c r="S362" s="83"/>
      <c r="T362" s="83"/>
      <c r="U362" s="83"/>
      <c r="V362" s="83"/>
      <c r="W362" s="83"/>
      <c r="X362" s="83"/>
      <c r="Y362" s="83"/>
      <c r="Z362" s="83"/>
      <c r="AA362" s="83"/>
      <c r="AB362" s="83"/>
      <c r="AC362" s="83"/>
      <c r="AD362" s="83"/>
      <c r="AE362" s="83"/>
      <c r="AF362" s="83"/>
      <c r="AG362" s="83"/>
      <c r="AH362" s="83"/>
    </row>
    <row r="363" spans="1:34" ht="69.75" customHeight="1" x14ac:dyDescent="0.25">
      <c r="A363" s="829"/>
      <c r="B363" s="731"/>
      <c r="C363" s="731"/>
      <c r="D363" s="324" t="s">
        <v>351</v>
      </c>
      <c r="E363" s="325">
        <v>29920000</v>
      </c>
      <c r="F363" s="325">
        <v>21125333</v>
      </c>
      <c r="G363" s="326"/>
      <c r="H363" s="83"/>
      <c r="I363" s="83"/>
      <c r="J363" s="327"/>
      <c r="K363" s="83"/>
      <c r="L363" s="83"/>
      <c r="M363" s="83"/>
      <c r="N363" s="328"/>
      <c r="O363" s="83"/>
      <c r="P363" s="83"/>
      <c r="Q363" s="83"/>
      <c r="R363" s="83"/>
      <c r="S363" s="83"/>
      <c r="T363" s="83"/>
      <c r="U363" s="83"/>
      <c r="V363" s="83"/>
      <c r="W363" s="83"/>
      <c r="X363" s="83"/>
      <c r="Y363" s="83"/>
      <c r="Z363" s="83"/>
      <c r="AA363" s="83"/>
      <c r="AB363" s="83"/>
      <c r="AC363" s="83"/>
      <c r="AD363" s="83"/>
      <c r="AE363" s="83"/>
      <c r="AF363" s="83"/>
      <c r="AG363" s="83"/>
      <c r="AH363" s="83"/>
    </row>
    <row r="364" spans="1:34" ht="69.75" customHeight="1" x14ac:dyDescent="0.25">
      <c r="A364" s="829"/>
      <c r="B364" s="749" t="s">
        <v>743</v>
      </c>
      <c r="C364" s="749" t="s">
        <v>744</v>
      </c>
      <c r="D364" s="329" t="s">
        <v>354</v>
      </c>
      <c r="E364" s="325">
        <v>76788500</v>
      </c>
      <c r="F364" s="325">
        <v>52539500</v>
      </c>
      <c r="G364" s="326"/>
      <c r="H364" s="83"/>
      <c r="I364" s="83"/>
      <c r="J364" s="327"/>
      <c r="K364" s="83"/>
      <c r="L364" s="83"/>
      <c r="M364" s="83"/>
      <c r="N364" s="328"/>
      <c r="O364" s="83"/>
      <c r="P364" s="83"/>
      <c r="Q364" s="83"/>
      <c r="R364" s="83"/>
      <c r="S364" s="83"/>
      <c r="T364" s="83"/>
      <c r="U364" s="83"/>
      <c r="V364" s="83"/>
      <c r="W364" s="83"/>
      <c r="X364" s="83"/>
      <c r="Y364" s="83"/>
      <c r="Z364" s="83"/>
      <c r="AA364" s="83"/>
      <c r="AB364" s="83"/>
      <c r="AC364" s="83"/>
      <c r="AD364" s="83"/>
      <c r="AE364" s="83"/>
      <c r="AF364" s="83"/>
      <c r="AG364" s="83"/>
      <c r="AH364" s="83"/>
    </row>
    <row r="365" spans="1:34" ht="69.75" customHeight="1" x14ac:dyDescent="0.25">
      <c r="A365" s="829"/>
      <c r="B365" s="710"/>
      <c r="C365" s="710"/>
      <c r="D365" s="329" t="s">
        <v>924</v>
      </c>
      <c r="E365" s="325">
        <v>734844689</v>
      </c>
      <c r="F365" s="325">
        <v>310195333</v>
      </c>
      <c r="G365" s="326"/>
      <c r="H365" s="83"/>
      <c r="I365" s="83"/>
      <c r="J365" s="327"/>
      <c r="K365" s="83"/>
      <c r="L365" s="83"/>
      <c r="M365" s="83"/>
      <c r="N365" s="328"/>
      <c r="O365" s="83"/>
      <c r="P365" s="83"/>
      <c r="Q365" s="83"/>
      <c r="R365" s="83"/>
      <c r="S365" s="83"/>
      <c r="T365" s="83"/>
      <c r="U365" s="83"/>
      <c r="V365" s="83"/>
      <c r="W365" s="83"/>
      <c r="X365" s="83"/>
      <c r="Y365" s="83"/>
      <c r="Z365" s="83"/>
      <c r="AA365" s="83"/>
      <c r="AB365" s="83"/>
      <c r="AC365" s="83"/>
      <c r="AD365" s="83"/>
      <c r="AE365" s="83"/>
      <c r="AF365" s="83"/>
      <c r="AG365" s="83"/>
      <c r="AH365" s="83"/>
    </row>
    <row r="366" spans="1:34" ht="69.75" customHeight="1" x14ac:dyDescent="0.25">
      <c r="A366" s="829"/>
      <c r="B366" s="710"/>
      <c r="C366" s="710"/>
      <c r="D366" s="329" t="s">
        <v>925</v>
      </c>
      <c r="E366" s="325">
        <v>333790000</v>
      </c>
      <c r="F366" s="325">
        <v>227025600</v>
      </c>
      <c r="G366" s="326"/>
      <c r="H366" s="83"/>
      <c r="I366" s="83"/>
      <c r="J366" s="327"/>
      <c r="K366" s="83"/>
      <c r="L366" s="83"/>
      <c r="M366" s="83"/>
      <c r="N366" s="328"/>
      <c r="O366" s="83"/>
      <c r="P366" s="83"/>
      <c r="Q366" s="83"/>
      <c r="R366" s="83"/>
      <c r="S366" s="83"/>
      <c r="T366" s="83"/>
      <c r="U366" s="83"/>
      <c r="V366" s="83"/>
      <c r="W366" s="83"/>
      <c r="X366" s="83"/>
      <c r="Y366" s="83"/>
      <c r="Z366" s="83"/>
      <c r="AA366" s="83"/>
      <c r="AB366" s="83"/>
      <c r="AC366" s="83"/>
      <c r="AD366" s="83"/>
      <c r="AE366" s="83"/>
      <c r="AF366" s="83"/>
      <c r="AG366" s="83"/>
      <c r="AH366" s="83"/>
    </row>
    <row r="367" spans="1:34" ht="69.75" customHeight="1" x14ac:dyDescent="0.25">
      <c r="A367" s="829"/>
      <c r="B367" s="731"/>
      <c r="C367" s="731"/>
      <c r="D367" s="329" t="s">
        <v>674</v>
      </c>
      <c r="E367" s="330">
        <v>443888000</v>
      </c>
      <c r="F367" s="330">
        <v>326159634</v>
      </c>
      <c r="G367" s="332"/>
      <c r="H367" s="83"/>
      <c r="I367" s="83"/>
      <c r="J367" s="327"/>
      <c r="K367" s="83"/>
      <c r="L367" s="83"/>
      <c r="M367" s="83"/>
      <c r="N367" s="328"/>
      <c r="O367" s="83"/>
      <c r="P367" s="83"/>
      <c r="Q367" s="83"/>
      <c r="R367" s="83"/>
      <c r="S367" s="83"/>
      <c r="T367" s="83"/>
      <c r="U367" s="83"/>
      <c r="V367" s="83"/>
      <c r="W367" s="83"/>
      <c r="X367" s="83"/>
      <c r="Y367" s="83"/>
      <c r="Z367" s="83"/>
      <c r="AA367" s="83"/>
      <c r="AB367" s="83"/>
      <c r="AC367" s="83"/>
      <c r="AD367" s="83"/>
      <c r="AE367" s="83"/>
      <c r="AF367" s="83"/>
      <c r="AG367" s="83"/>
      <c r="AH367" s="83"/>
    </row>
    <row r="368" spans="1:34" ht="69.75" customHeight="1" x14ac:dyDescent="0.25">
      <c r="A368" s="829"/>
      <c r="B368" s="30" t="s">
        <v>747</v>
      </c>
      <c r="C368" s="30" t="s">
        <v>748</v>
      </c>
      <c r="D368" s="329" t="s">
        <v>926</v>
      </c>
      <c r="E368" s="325">
        <v>277709000</v>
      </c>
      <c r="F368" s="325">
        <v>169864101</v>
      </c>
      <c r="G368" s="326"/>
      <c r="H368" s="83"/>
      <c r="I368" s="83"/>
      <c r="J368" s="327"/>
      <c r="K368" s="83"/>
      <c r="L368" s="83"/>
      <c r="M368" s="83"/>
      <c r="N368" s="328"/>
      <c r="O368" s="83"/>
      <c r="P368" s="83"/>
      <c r="Q368" s="83"/>
      <c r="R368" s="83"/>
      <c r="S368" s="83"/>
      <c r="T368" s="83"/>
      <c r="U368" s="83"/>
      <c r="V368" s="83"/>
      <c r="W368" s="83"/>
      <c r="X368" s="83"/>
      <c r="Y368" s="83"/>
      <c r="Z368" s="83"/>
      <c r="AA368" s="83"/>
      <c r="AB368" s="83"/>
      <c r="AC368" s="83"/>
      <c r="AD368" s="83"/>
      <c r="AE368" s="83"/>
      <c r="AF368" s="83"/>
      <c r="AG368" s="83"/>
      <c r="AH368" s="83"/>
    </row>
    <row r="369" spans="1:34" ht="69.75" customHeight="1" x14ac:dyDescent="0.25">
      <c r="A369" s="823"/>
      <c r="B369" s="30" t="s">
        <v>751</v>
      </c>
      <c r="C369" s="30" t="s">
        <v>752</v>
      </c>
      <c r="D369" s="329" t="s">
        <v>370</v>
      </c>
      <c r="E369" s="325">
        <v>779641627</v>
      </c>
      <c r="F369" s="325">
        <v>520123927</v>
      </c>
      <c r="G369" s="326"/>
      <c r="H369" s="83"/>
      <c r="I369" s="83"/>
      <c r="J369" s="327"/>
      <c r="K369" s="83"/>
      <c r="L369" s="83"/>
      <c r="M369" s="83"/>
      <c r="N369" s="328"/>
      <c r="O369" s="83"/>
      <c r="P369" s="83"/>
      <c r="Q369" s="83"/>
      <c r="R369" s="83"/>
      <c r="S369" s="83"/>
      <c r="T369" s="83"/>
      <c r="U369" s="83"/>
      <c r="V369" s="83"/>
      <c r="W369" s="83"/>
      <c r="X369" s="83"/>
      <c r="Y369" s="83"/>
      <c r="Z369" s="83"/>
      <c r="AA369" s="83"/>
      <c r="AB369" s="83"/>
      <c r="AC369" s="83"/>
      <c r="AD369" s="83"/>
      <c r="AE369" s="83"/>
      <c r="AF369" s="83"/>
      <c r="AG369" s="83"/>
      <c r="AH369" s="83"/>
    </row>
    <row r="370" spans="1:34" ht="69.75" customHeight="1" x14ac:dyDescent="0.25">
      <c r="A370" s="874" t="s">
        <v>712</v>
      </c>
      <c r="B370" s="878" t="s">
        <v>739</v>
      </c>
      <c r="C370" s="878" t="s">
        <v>740</v>
      </c>
      <c r="D370" s="324" t="s">
        <v>339</v>
      </c>
      <c r="E370" s="325">
        <v>605339000</v>
      </c>
      <c r="F370" s="325">
        <v>430376767</v>
      </c>
      <c r="G370" s="326"/>
      <c r="H370" s="83"/>
      <c r="I370" s="83"/>
      <c r="J370" s="327"/>
      <c r="K370" s="83"/>
      <c r="L370" s="83"/>
      <c r="M370" s="83"/>
      <c r="N370" s="328"/>
      <c r="O370" s="83"/>
      <c r="P370" s="83"/>
      <c r="Q370" s="83"/>
      <c r="R370" s="83"/>
      <c r="S370" s="83"/>
      <c r="T370" s="83"/>
      <c r="U370" s="83"/>
      <c r="V370" s="83"/>
      <c r="W370" s="83"/>
      <c r="X370" s="83"/>
      <c r="Y370" s="83"/>
      <c r="Z370" s="83"/>
      <c r="AA370" s="83"/>
      <c r="AB370" s="83"/>
      <c r="AC370" s="83"/>
      <c r="AD370" s="83"/>
      <c r="AE370" s="83"/>
      <c r="AF370" s="83"/>
      <c r="AG370" s="83"/>
      <c r="AH370" s="83"/>
    </row>
    <row r="371" spans="1:34" ht="69.75" customHeight="1" x14ac:dyDescent="0.25">
      <c r="A371" s="829"/>
      <c r="B371" s="710"/>
      <c r="C371" s="710"/>
      <c r="D371" s="324" t="s">
        <v>349</v>
      </c>
      <c r="E371" s="325">
        <v>172920000</v>
      </c>
      <c r="F371" s="325">
        <v>143091300</v>
      </c>
      <c r="G371" s="326"/>
      <c r="H371" s="83"/>
      <c r="I371" s="83"/>
      <c r="J371" s="327"/>
      <c r="K371" s="83"/>
      <c r="L371" s="83"/>
      <c r="M371" s="83"/>
      <c r="N371" s="328"/>
      <c r="O371" s="83"/>
      <c r="P371" s="83"/>
      <c r="Q371" s="83"/>
      <c r="R371" s="83"/>
      <c r="S371" s="83"/>
      <c r="T371" s="83"/>
      <c r="U371" s="83"/>
      <c r="V371" s="83"/>
      <c r="W371" s="83"/>
      <c r="X371" s="83"/>
      <c r="Y371" s="83"/>
      <c r="Z371" s="83"/>
      <c r="AA371" s="83"/>
      <c r="AB371" s="83"/>
      <c r="AC371" s="83"/>
      <c r="AD371" s="83"/>
      <c r="AE371" s="83"/>
      <c r="AF371" s="83"/>
      <c r="AG371" s="83"/>
      <c r="AH371" s="83"/>
    </row>
    <row r="372" spans="1:34" ht="69.75" customHeight="1" x14ac:dyDescent="0.25">
      <c r="A372" s="829"/>
      <c r="B372" s="731"/>
      <c r="C372" s="731"/>
      <c r="D372" s="324" t="s">
        <v>351</v>
      </c>
      <c r="E372" s="325">
        <v>29920000</v>
      </c>
      <c r="F372" s="325">
        <v>23845333</v>
      </c>
      <c r="G372" s="326"/>
      <c r="H372" s="83"/>
      <c r="I372" s="83"/>
      <c r="J372" s="327"/>
      <c r="K372" s="83"/>
      <c r="L372" s="83"/>
      <c r="M372" s="83"/>
      <c r="N372" s="328"/>
      <c r="O372" s="83"/>
      <c r="P372" s="83"/>
      <c r="Q372" s="83"/>
      <c r="R372" s="83"/>
      <c r="S372" s="83"/>
      <c r="T372" s="83"/>
      <c r="U372" s="83"/>
      <c r="V372" s="83"/>
      <c r="W372" s="83"/>
      <c r="X372" s="83"/>
      <c r="Y372" s="83"/>
      <c r="Z372" s="83"/>
      <c r="AA372" s="83"/>
      <c r="AB372" s="83"/>
      <c r="AC372" s="83"/>
      <c r="AD372" s="83"/>
      <c r="AE372" s="83"/>
      <c r="AF372" s="83"/>
      <c r="AG372" s="83"/>
      <c r="AH372" s="83"/>
    </row>
    <row r="373" spans="1:34" ht="69.75" customHeight="1" x14ac:dyDescent="0.25">
      <c r="A373" s="829"/>
      <c r="B373" s="749" t="s">
        <v>743</v>
      </c>
      <c r="C373" s="749" t="s">
        <v>744</v>
      </c>
      <c r="D373" s="329" t="s">
        <v>354</v>
      </c>
      <c r="E373" s="325">
        <v>76788500</v>
      </c>
      <c r="F373" s="325">
        <v>60622500</v>
      </c>
      <c r="G373" s="326"/>
      <c r="H373" s="83"/>
      <c r="I373" s="83"/>
      <c r="J373" s="327"/>
      <c r="K373" s="83"/>
      <c r="L373" s="83"/>
      <c r="M373" s="83"/>
      <c r="N373" s="328"/>
      <c r="O373" s="83"/>
      <c r="P373" s="83"/>
      <c r="Q373" s="83"/>
      <c r="R373" s="83"/>
      <c r="S373" s="83"/>
      <c r="T373" s="83"/>
      <c r="U373" s="83"/>
      <c r="V373" s="83"/>
      <c r="W373" s="83"/>
      <c r="X373" s="83"/>
      <c r="Y373" s="83"/>
      <c r="Z373" s="83"/>
      <c r="AA373" s="83"/>
      <c r="AB373" s="83"/>
      <c r="AC373" s="83"/>
      <c r="AD373" s="83"/>
      <c r="AE373" s="83"/>
      <c r="AF373" s="83"/>
      <c r="AG373" s="83"/>
      <c r="AH373" s="83"/>
    </row>
    <row r="374" spans="1:34" ht="69.75" customHeight="1" x14ac:dyDescent="0.25">
      <c r="A374" s="829"/>
      <c r="B374" s="710"/>
      <c r="C374" s="710"/>
      <c r="D374" s="329" t="s">
        <v>924</v>
      </c>
      <c r="E374" s="325">
        <v>709813189</v>
      </c>
      <c r="F374" s="325">
        <v>420167333</v>
      </c>
      <c r="G374" s="326"/>
      <c r="H374" s="83"/>
      <c r="I374" s="83"/>
      <c r="J374" s="327"/>
      <c r="K374" s="83"/>
      <c r="L374" s="83"/>
      <c r="M374" s="83"/>
      <c r="N374" s="328"/>
      <c r="O374" s="83"/>
      <c r="P374" s="83"/>
      <c r="Q374" s="83"/>
      <c r="R374" s="83"/>
      <c r="S374" s="83"/>
      <c r="T374" s="83"/>
      <c r="U374" s="83"/>
      <c r="V374" s="83"/>
      <c r="W374" s="83"/>
      <c r="X374" s="83"/>
      <c r="Y374" s="83"/>
      <c r="Z374" s="83"/>
      <c r="AA374" s="83"/>
      <c r="AB374" s="83"/>
      <c r="AC374" s="83"/>
      <c r="AD374" s="83"/>
      <c r="AE374" s="83"/>
      <c r="AF374" s="83"/>
      <c r="AG374" s="83"/>
      <c r="AH374" s="83"/>
    </row>
    <row r="375" spans="1:34" ht="69.75" customHeight="1" x14ac:dyDescent="0.25">
      <c r="A375" s="829"/>
      <c r="B375" s="710"/>
      <c r="C375" s="710"/>
      <c r="D375" s="329" t="s">
        <v>925</v>
      </c>
      <c r="E375" s="325">
        <v>333790000</v>
      </c>
      <c r="F375" s="325">
        <v>269177000</v>
      </c>
      <c r="G375" s="326"/>
      <c r="H375" s="83"/>
      <c r="I375" s="83"/>
      <c r="J375" s="327"/>
      <c r="K375" s="83"/>
      <c r="L375" s="83"/>
      <c r="M375" s="83"/>
      <c r="N375" s="328"/>
      <c r="O375" s="83"/>
      <c r="P375" s="83"/>
      <c r="Q375" s="83"/>
      <c r="R375" s="83"/>
      <c r="S375" s="83"/>
      <c r="T375" s="83"/>
      <c r="U375" s="83"/>
      <c r="V375" s="83"/>
      <c r="W375" s="83"/>
      <c r="X375" s="83"/>
      <c r="Y375" s="83"/>
      <c r="Z375" s="83"/>
      <c r="AA375" s="83"/>
      <c r="AB375" s="83"/>
      <c r="AC375" s="83"/>
      <c r="AD375" s="83"/>
      <c r="AE375" s="83"/>
      <c r="AF375" s="83"/>
      <c r="AG375" s="83"/>
      <c r="AH375" s="83"/>
    </row>
    <row r="376" spans="1:34" ht="69.75" customHeight="1" x14ac:dyDescent="0.25">
      <c r="A376" s="829"/>
      <c r="B376" s="731"/>
      <c r="C376" s="731"/>
      <c r="D376" s="329" t="s">
        <v>674</v>
      </c>
      <c r="E376" s="330">
        <v>447929500</v>
      </c>
      <c r="F376" s="330">
        <v>372653634</v>
      </c>
      <c r="G376" s="332"/>
      <c r="H376" s="83"/>
      <c r="I376" s="83"/>
      <c r="J376" s="327"/>
      <c r="K376" s="83"/>
      <c r="L376" s="83"/>
      <c r="M376" s="83"/>
      <c r="N376" s="328"/>
      <c r="O376" s="83"/>
      <c r="P376" s="83"/>
      <c r="Q376" s="83"/>
      <c r="R376" s="83"/>
      <c r="S376" s="83"/>
      <c r="T376" s="83"/>
      <c r="U376" s="83"/>
      <c r="V376" s="83"/>
      <c r="W376" s="83"/>
      <c r="X376" s="83"/>
      <c r="Y376" s="83"/>
      <c r="Z376" s="83"/>
      <c r="AA376" s="83"/>
      <c r="AB376" s="83"/>
      <c r="AC376" s="83"/>
      <c r="AD376" s="83"/>
      <c r="AE376" s="83"/>
      <c r="AF376" s="83"/>
      <c r="AG376" s="83"/>
      <c r="AH376" s="83"/>
    </row>
    <row r="377" spans="1:34" ht="69.75" customHeight="1" x14ac:dyDescent="0.25">
      <c r="A377" s="829"/>
      <c r="B377" s="30" t="s">
        <v>747</v>
      </c>
      <c r="C377" s="30" t="s">
        <v>748</v>
      </c>
      <c r="D377" s="329" t="s">
        <v>926</v>
      </c>
      <c r="E377" s="325">
        <v>277709000</v>
      </c>
      <c r="F377" s="325">
        <v>204568101</v>
      </c>
      <c r="G377" s="326"/>
      <c r="H377" s="83"/>
      <c r="I377" s="83"/>
      <c r="J377" s="327"/>
      <c r="K377" s="83"/>
      <c r="L377" s="83"/>
      <c r="M377" s="83"/>
      <c r="N377" s="328"/>
      <c r="O377" s="83"/>
      <c r="P377" s="83"/>
      <c r="Q377" s="83"/>
      <c r="R377" s="83"/>
      <c r="S377" s="83"/>
      <c r="T377" s="83"/>
      <c r="U377" s="83"/>
      <c r="V377" s="83"/>
      <c r="W377" s="83"/>
      <c r="X377" s="83"/>
      <c r="Y377" s="83"/>
      <c r="Z377" s="83"/>
      <c r="AA377" s="83"/>
      <c r="AB377" s="83"/>
      <c r="AC377" s="83"/>
      <c r="AD377" s="83"/>
      <c r="AE377" s="83"/>
      <c r="AF377" s="83"/>
      <c r="AG377" s="83"/>
      <c r="AH377" s="83"/>
    </row>
    <row r="378" spans="1:34" ht="69.75" customHeight="1" x14ac:dyDescent="0.25">
      <c r="A378" s="823"/>
      <c r="B378" s="30" t="s">
        <v>751</v>
      </c>
      <c r="C378" s="30" t="s">
        <v>752</v>
      </c>
      <c r="D378" s="329" t="s">
        <v>370</v>
      </c>
      <c r="E378" s="325">
        <v>800631627</v>
      </c>
      <c r="F378" s="325">
        <v>589355555</v>
      </c>
      <c r="G378" s="326"/>
      <c r="H378" s="83"/>
      <c r="I378" s="83"/>
      <c r="J378" s="327"/>
      <c r="K378" s="83"/>
      <c r="L378" s="83"/>
      <c r="M378" s="83"/>
      <c r="N378" s="328"/>
      <c r="O378" s="83"/>
      <c r="P378" s="83"/>
      <c r="Q378" s="83"/>
      <c r="R378" s="83"/>
      <c r="S378" s="83"/>
      <c r="T378" s="83"/>
      <c r="U378" s="83"/>
      <c r="V378" s="83"/>
      <c r="W378" s="83"/>
      <c r="X378" s="83"/>
      <c r="Y378" s="83"/>
      <c r="Z378" s="83"/>
      <c r="AA378" s="83"/>
      <c r="AB378" s="83"/>
      <c r="AC378" s="83"/>
      <c r="AD378" s="83"/>
      <c r="AE378" s="83"/>
      <c r="AF378" s="83"/>
      <c r="AG378" s="83"/>
      <c r="AH378" s="83"/>
    </row>
    <row r="379" spans="1:34" ht="69.75" customHeight="1" x14ac:dyDescent="0.25">
      <c r="A379" s="874" t="s">
        <v>713</v>
      </c>
      <c r="B379" s="878" t="s">
        <v>739</v>
      </c>
      <c r="C379" s="878" t="s">
        <v>740</v>
      </c>
      <c r="D379" s="324" t="s">
        <v>339</v>
      </c>
      <c r="E379" s="325">
        <v>605339000</v>
      </c>
      <c r="F379" s="325">
        <v>527029767</v>
      </c>
      <c r="G379" s="326"/>
      <c r="H379" s="83"/>
      <c r="I379" s="83"/>
      <c r="J379" s="327"/>
      <c r="K379" s="83"/>
      <c r="L379" s="83"/>
      <c r="M379" s="83"/>
      <c r="N379" s="328"/>
      <c r="O379" s="83"/>
      <c r="P379" s="83"/>
      <c r="Q379" s="83"/>
      <c r="R379" s="83"/>
      <c r="S379" s="83"/>
      <c r="T379" s="83"/>
      <c r="U379" s="83"/>
      <c r="V379" s="83"/>
      <c r="W379" s="83"/>
      <c r="X379" s="83"/>
      <c r="Y379" s="83"/>
      <c r="Z379" s="83"/>
      <c r="AA379" s="83"/>
      <c r="AB379" s="83"/>
      <c r="AC379" s="83"/>
      <c r="AD379" s="83"/>
      <c r="AE379" s="83"/>
      <c r="AF379" s="83"/>
      <c r="AG379" s="83"/>
      <c r="AH379" s="83"/>
    </row>
    <row r="380" spans="1:34" ht="69.75" customHeight="1" x14ac:dyDescent="0.25">
      <c r="A380" s="829"/>
      <c r="B380" s="710"/>
      <c r="C380" s="710"/>
      <c r="D380" s="324" t="s">
        <v>349</v>
      </c>
      <c r="E380" s="325">
        <v>172920000</v>
      </c>
      <c r="F380" s="325">
        <v>156060300</v>
      </c>
      <c r="G380" s="326"/>
      <c r="H380" s="83"/>
      <c r="I380" s="83"/>
      <c r="J380" s="327"/>
      <c r="K380" s="83"/>
      <c r="L380" s="83"/>
      <c r="M380" s="83"/>
      <c r="N380" s="328"/>
      <c r="O380" s="83"/>
      <c r="P380" s="83"/>
      <c r="Q380" s="83"/>
      <c r="R380" s="83"/>
      <c r="S380" s="83"/>
      <c r="T380" s="83"/>
      <c r="U380" s="83"/>
      <c r="V380" s="83"/>
      <c r="W380" s="83"/>
      <c r="X380" s="83"/>
      <c r="Y380" s="83"/>
      <c r="Z380" s="83"/>
      <c r="AA380" s="83"/>
      <c r="AB380" s="83"/>
      <c r="AC380" s="83"/>
      <c r="AD380" s="83"/>
      <c r="AE380" s="83"/>
      <c r="AF380" s="83"/>
      <c r="AG380" s="83"/>
      <c r="AH380" s="83"/>
    </row>
    <row r="381" spans="1:34" ht="69.75" customHeight="1" x14ac:dyDescent="0.25">
      <c r="A381" s="829"/>
      <c r="B381" s="731"/>
      <c r="C381" s="731"/>
      <c r="D381" s="324" t="s">
        <v>351</v>
      </c>
      <c r="E381" s="325">
        <v>29920000</v>
      </c>
      <c r="F381" s="325">
        <v>26565333</v>
      </c>
      <c r="G381" s="326"/>
      <c r="H381" s="83"/>
      <c r="I381" s="83"/>
      <c r="J381" s="327"/>
      <c r="K381" s="83"/>
      <c r="L381" s="83"/>
      <c r="M381" s="83"/>
      <c r="N381" s="328"/>
      <c r="O381" s="83"/>
      <c r="P381" s="83"/>
      <c r="Q381" s="83"/>
      <c r="R381" s="83"/>
      <c r="S381" s="83"/>
      <c r="T381" s="83"/>
      <c r="U381" s="83"/>
      <c r="V381" s="83"/>
      <c r="W381" s="83"/>
      <c r="X381" s="83"/>
      <c r="Y381" s="83"/>
      <c r="Z381" s="83"/>
      <c r="AA381" s="83"/>
      <c r="AB381" s="83"/>
      <c r="AC381" s="83"/>
      <c r="AD381" s="83"/>
      <c r="AE381" s="83"/>
      <c r="AF381" s="83"/>
      <c r="AG381" s="83"/>
      <c r="AH381" s="83"/>
    </row>
    <row r="382" spans="1:34" ht="69.75" customHeight="1" x14ac:dyDescent="0.25">
      <c r="A382" s="829"/>
      <c r="B382" s="749" t="s">
        <v>743</v>
      </c>
      <c r="C382" s="749" t="s">
        <v>744</v>
      </c>
      <c r="D382" s="329" t="s">
        <v>354</v>
      </c>
      <c r="E382" s="325">
        <v>76788500</v>
      </c>
      <c r="F382" s="325">
        <v>68705500</v>
      </c>
      <c r="G382" s="326"/>
      <c r="H382" s="83"/>
      <c r="I382" s="83"/>
      <c r="J382" s="327"/>
      <c r="K382" s="83"/>
      <c r="L382" s="83"/>
      <c r="M382" s="83"/>
      <c r="N382" s="328"/>
      <c r="O382" s="83"/>
      <c r="P382" s="83"/>
      <c r="Q382" s="83"/>
      <c r="R382" s="83"/>
      <c r="S382" s="83"/>
      <c r="T382" s="83"/>
      <c r="U382" s="83"/>
      <c r="V382" s="83"/>
      <c r="W382" s="83"/>
      <c r="X382" s="83"/>
      <c r="Y382" s="83"/>
      <c r="Z382" s="83"/>
      <c r="AA382" s="83"/>
      <c r="AB382" s="83"/>
      <c r="AC382" s="83"/>
      <c r="AD382" s="83"/>
      <c r="AE382" s="83"/>
      <c r="AF382" s="83"/>
      <c r="AG382" s="83"/>
      <c r="AH382" s="83"/>
    </row>
    <row r="383" spans="1:34" ht="69.75" customHeight="1" x14ac:dyDescent="0.25">
      <c r="A383" s="829"/>
      <c r="B383" s="710"/>
      <c r="C383" s="710"/>
      <c r="D383" s="329" t="s">
        <v>924</v>
      </c>
      <c r="E383" s="325">
        <v>709813189</v>
      </c>
      <c r="F383" s="325">
        <v>519800933</v>
      </c>
      <c r="G383" s="326"/>
      <c r="H383" s="83"/>
      <c r="I383" s="83"/>
      <c r="J383" s="327"/>
      <c r="K383" s="83"/>
      <c r="L383" s="83"/>
      <c r="M383" s="83"/>
      <c r="N383" s="328"/>
      <c r="O383" s="83"/>
      <c r="P383" s="83"/>
      <c r="Q383" s="83"/>
      <c r="R383" s="83"/>
      <c r="S383" s="83"/>
      <c r="T383" s="83"/>
      <c r="U383" s="83"/>
      <c r="V383" s="83"/>
      <c r="W383" s="83"/>
      <c r="X383" s="83"/>
      <c r="Y383" s="83"/>
      <c r="Z383" s="83"/>
      <c r="AA383" s="83"/>
      <c r="AB383" s="83"/>
      <c r="AC383" s="83"/>
      <c r="AD383" s="83"/>
      <c r="AE383" s="83"/>
      <c r="AF383" s="83"/>
      <c r="AG383" s="83"/>
      <c r="AH383" s="83"/>
    </row>
    <row r="384" spans="1:34" ht="69.75" customHeight="1" x14ac:dyDescent="0.25">
      <c r="A384" s="829"/>
      <c r="B384" s="710"/>
      <c r="C384" s="710"/>
      <c r="D384" s="329" t="s">
        <v>925</v>
      </c>
      <c r="E384" s="325">
        <v>333790000</v>
      </c>
      <c r="F384" s="325">
        <v>305272667</v>
      </c>
      <c r="G384" s="326"/>
      <c r="H384" s="83"/>
      <c r="I384" s="83"/>
      <c r="J384" s="327"/>
      <c r="K384" s="83"/>
      <c r="L384" s="83"/>
      <c r="M384" s="83"/>
      <c r="N384" s="328"/>
      <c r="O384" s="83"/>
      <c r="P384" s="83"/>
      <c r="Q384" s="83"/>
      <c r="R384" s="83"/>
      <c r="S384" s="83"/>
      <c r="T384" s="83"/>
      <c r="U384" s="83"/>
      <c r="V384" s="83"/>
      <c r="W384" s="83"/>
      <c r="X384" s="83"/>
      <c r="Y384" s="83"/>
      <c r="Z384" s="83"/>
      <c r="AA384" s="83"/>
      <c r="AB384" s="83"/>
      <c r="AC384" s="83"/>
      <c r="AD384" s="83"/>
      <c r="AE384" s="83"/>
      <c r="AF384" s="83"/>
      <c r="AG384" s="83"/>
      <c r="AH384" s="83"/>
    </row>
    <row r="385" spans="1:34" ht="69.75" customHeight="1" x14ac:dyDescent="0.25">
      <c r="A385" s="829"/>
      <c r="B385" s="731"/>
      <c r="C385" s="731"/>
      <c r="D385" s="329" t="s">
        <v>674</v>
      </c>
      <c r="E385" s="330">
        <v>447929500</v>
      </c>
      <c r="F385" s="330">
        <v>418978967</v>
      </c>
      <c r="G385" s="332"/>
      <c r="H385" s="83"/>
      <c r="I385" s="83"/>
      <c r="J385" s="327"/>
      <c r="K385" s="83"/>
      <c r="L385" s="83"/>
      <c r="M385" s="83"/>
      <c r="N385" s="328"/>
      <c r="O385" s="83"/>
      <c r="P385" s="83"/>
      <c r="Q385" s="83"/>
      <c r="R385" s="83"/>
      <c r="S385" s="83"/>
      <c r="T385" s="83"/>
      <c r="U385" s="83"/>
      <c r="V385" s="83"/>
      <c r="W385" s="83"/>
      <c r="X385" s="83"/>
      <c r="Y385" s="83"/>
      <c r="Z385" s="83"/>
      <c r="AA385" s="83"/>
      <c r="AB385" s="83"/>
      <c r="AC385" s="83"/>
      <c r="AD385" s="83"/>
      <c r="AE385" s="83"/>
      <c r="AF385" s="83"/>
      <c r="AG385" s="83"/>
      <c r="AH385" s="83"/>
    </row>
    <row r="386" spans="1:34" ht="69.75" customHeight="1" x14ac:dyDescent="0.25">
      <c r="A386" s="829"/>
      <c r="B386" s="30" t="s">
        <v>747</v>
      </c>
      <c r="C386" s="30" t="s">
        <v>748</v>
      </c>
      <c r="D386" s="329" t="s">
        <v>926</v>
      </c>
      <c r="E386" s="325">
        <v>277709000</v>
      </c>
      <c r="F386" s="325">
        <v>241317968</v>
      </c>
      <c r="G386" s="326"/>
      <c r="H386" s="83"/>
      <c r="I386" s="83"/>
      <c r="J386" s="327"/>
      <c r="K386" s="83"/>
      <c r="L386" s="83"/>
      <c r="M386" s="83"/>
      <c r="N386" s="328"/>
      <c r="O386" s="83"/>
      <c r="P386" s="83"/>
      <c r="Q386" s="83"/>
      <c r="R386" s="83"/>
      <c r="S386" s="83"/>
      <c r="T386" s="83"/>
      <c r="U386" s="83"/>
      <c r="V386" s="83"/>
      <c r="W386" s="83"/>
      <c r="X386" s="83"/>
      <c r="Y386" s="83"/>
      <c r="Z386" s="83"/>
      <c r="AA386" s="83"/>
      <c r="AB386" s="83"/>
      <c r="AC386" s="83"/>
      <c r="AD386" s="83"/>
      <c r="AE386" s="83"/>
      <c r="AF386" s="83"/>
      <c r="AG386" s="83"/>
      <c r="AH386" s="83"/>
    </row>
    <row r="387" spans="1:34" ht="69.75" customHeight="1" x14ac:dyDescent="0.25">
      <c r="A387" s="823"/>
      <c r="B387" s="30" t="s">
        <v>751</v>
      </c>
      <c r="C387" s="30" t="s">
        <v>752</v>
      </c>
      <c r="D387" s="329" t="s">
        <v>370</v>
      </c>
      <c r="E387" s="325">
        <v>800631627</v>
      </c>
      <c r="F387" s="325">
        <v>709899829</v>
      </c>
      <c r="G387" s="326"/>
      <c r="H387" s="83"/>
      <c r="I387" s="83"/>
      <c r="J387" s="327"/>
      <c r="K387" s="83"/>
      <c r="L387" s="83"/>
      <c r="M387" s="83"/>
      <c r="N387" s="328"/>
      <c r="O387" s="83"/>
      <c r="P387" s="83"/>
      <c r="Q387" s="83"/>
      <c r="R387" s="83"/>
      <c r="S387" s="83"/>
      <c r="T387" s="83"/>
      <c r="U387" s="83"/>
      <c r="V387" s="83"/>
      <c r="W387" s="83"/>
      <c r="X387" s="83"/>
      <c r="Y387" s="83"/>
      <c r="Z387" s="83"/>
      <c r="AA387" s="83"/>
      <c r="AB387" s="83"/>
      <c r="AC387" s="83"/>
      <c r="AD387" s="83"/>
      <c r="AE387" s="83"/>
      <c r="AF387" s="83"/>
      <c r="AG387" s="83"/>
      <c r="AH387" s="83"/>
    </row>
    <row r="388" spans="1:34" ht="15.75" customHeight="1" x14ac:dyDescent="0.25">
      <c r="B388" s="196"/>
      <c r="C388" s="197"/>
      <c r="D388" s="197"/>
      <c r="J388" s="120"/>
      <c r="N388" s="197"/>
    </row>
    <row r="389" spans="1:34" ht="15.75" customHeight="1" x14ac:dyDescent="0.25">
      <c r="B389" s="196"/>
      <c r="C389" s="197"/>
      <c r="D389" s="197"/>
      <c r="J389" s="120"/>
      <c r="N389" s="197"/>
    </row>
    <row r="390" spans="1:34" ht="15.75" customHeight="1" x14ac:dyDescent="0.3">
      <c r="A390" s="877" t="s">
        <v>930</v>
      </c>
      <c r="B390" s="695"/>
      <c r="C390" s="695"/>
      <c r="D390" s="695"/>
      <c r="E390" s="695"/>
      <c r="F390" s="695"/>
      <c r="G390" s="736"/>
      <c r="J390" s="120"/>
      <c r="N390" s="197"/>
    </row>
    <row r="391" spans="1:34" ht="66" customHeight="1" x14ac:dyDescent="0.25">
      <c r="A391" s="198" t="s">
        <v>26</v>
      </c>
      <c r="B391" s="128" t="s">
        <v>726</v>
      </c>
      <c r="C391" s="128" t="s">
        <v>727</v>
      </c>
      <c r="D391" s="128" t="s">
        <v>920</v>
      </c>
      <c r="E391" s="128" t="s">
        <v>931</v>
      </c>
      <c r="F391" s="128" t="s">
        <v>932</v>
      </c>
      <c r="G391" s="313" t="s">
        <v>923</v>
      </c>
      <c r="J391" s="120"/>
      <c r="N391" s="197"/>
    </row>
    <row r="392" spans="1:34" ht="69.75" customHeight="1" x14ac:dyDescent="0.25">
      <c r="A392" s="874" t="s">
        <v>715</v>
      </c>
      <c r="B392" s="878" t="s">
        <v>739</v>
      </c>
      <c r="C392" s="878" t="s">
        <v>740</v>
      </c>
      <c r="D392" s="324" t="s">
        <v>339</v>
      </c>
      <c r="E392" s="325">
        <v>574654000</v>
      </c>
      <c r="F392" s="61">
        <v>0</v>
      </c>
      <c r="G392" s="326"/>
      <c r="H392" s="83"/>
      <c r="I392" s="83"/>
      <c r="J392" s="327"/>
      <c r="K392" s="83"/>
      <c r="L392" s="83"/>
      <c r="M392" s="83"/>
      <c r="N392" s="328"/>
      <c r="O392" s="83"/>
      <c r="P392" s="83"/>
      <c r="Q392" s="83"/>
      <c r="R392" s="83"/>
      <c r="S392" s="83"/>
      <c r="T392" s="83"/>
      <c r="U392" s="83"/>
      <c r="V392" s="83"/>
      <c r="W392" s="83"/>
      <c r="X392" s="83"/>
      <c r="Y392" s="83"/>
      <c r="Z392" s="83"/>
      <c r="AA392" s="83"/>
      <c r="AB392" s="83"/>
      <c r="AC392" s="83"/>
      <c r="AD392" s="83"/>
      <c r="AE392" s="83"/>
      <c r="AF392" s="83"/>
      <c r="AG392" s="83"/>
      <c r="AH392" s="83"/>
    </row>
    <row r="393" spans="1:34" ht="69.75" customHeight="1" x14ac:dyDescent="0.25">
      <c r="A393" s="829"/>
      <c r="B393" s="710"/>
      <c r="C393" s="710"/>
      <c r="D393" s="324" t="s">
        <v>349</v>
      </c>
      <c r="E393" s="325">
        <v>198130000</v>
      </c>
      <c r="F393" s="61">
        <v>0</v>
      </c>
      <c r="G393" s="326"/>
      <c r="H393" s="83"/>
      <c r="I393" s="83"/>
      <c r="J393" s="327"/>
      <c r="K393" s="83"/>
      <c r="L393" s="83"/>
      <c r="M393" s="83"/>
      <c r="N393" s="328"/>
      <c r="O393" s="83"/>
      <c r="P393" s="83"/>
      <c r="Q393" s="83"/>
      <c r="R393" s="83"/>
      <c r="S393" s="83"/>
      <c r="T393" s="83"/>
      <c r="U393" s="83"/>
      <c r="V393" s="83"/>
      <c r="W393" s="83"/>
      <c r="X393" s="83"/>
      <c r="Y393" s="83"/>
      <c r="Z393" s="83"/>
      <c r="AA393" s="83"/>
      <c r="AB393" s="83"/>
      <c r="AC393" s="83"/>
      <c r="AD393" s="83"/>
      <c r="AE393" s="83"/>
      <c r="AF393" s="83"/>
      <c r="AG393" s="83"/>
      <c r="AH393" s="83"/>
    </row>
    <row r="394" spans="1:34" ht="69.75" customHeight="1" x14ac:dyDescent="0.25">
      <c r="A394" s="829"/>
      <c r="B394" s="731"/>
      <c r="C394" s="731"/>
      <c r="D394" s="324" t="s">
        <v>351</v>
      </c>
      <c r="E394" s="325">
        <v>34285000</v>
      </c>
      <c r="F394" s="61">
        <v>0</v>
      </c>
      <c r="G394" s="326"/>
      <c r="H394" s="83"/>
      <c r="I394" s="83"/>
      <c r="J394" s="327"/>
      <c r="K394" s="83"/>
      <c r="L394" s="83"/>
      <c r="M394" s="83"/>
      <c r="N394" s="328"/>
      <c r="O394" s="83"/>
      <c r="P394" s="83"/>
      <c r="Q394" s="83"/>
      <c r="R394" s="83"/>
      <c r="S394" s="83"/>
      <c r="T394" s="83"/>
      <c r="U394" s="83"/>
      <c r="V394" s="83"/>
      <c r="W394" s="83"/>
      <c r="X394" s="83"/>
      <c r="Y394" s="83"/>
      <c r="Z394" s="83"/>
      <c r="AA394" s="83"/>
      <c r="AB394" s="83"/>
      <c r="AC394" s="83"/>
      <c r="AD394" s="83"/>
      <c r="AE394" s="83"/>
      <c r="AF394" s="83"/>
      <c r="AG394" s="83"/>
      <c r="AH394" s="83"/>
    </row>
    <row r="395" spans="1:34" ht="69.75" customHeight="1" x14ac:dyDescent="0.25">
      <c r="A395" s="829"/>
      <c r="B395" s="749" t="s">
        <v>743</v>
      </c>
      <c r="C395" s="749" t="s">
        <v>744</v>
      </c>
      <c r="D395" s="329" t="s">
        <v>354</v>
      </c>
      <c r="E395" s="325">
        <v>68299000</v>
      </c>
      <c r="F395" s="61">
        <v>0</v>
      </c>
      <c r="G395" s="326"/>
      <c r="H395" s="83"/>
      <c r="I395" s="83"/>
      <c r="J395" s="327"/>
      <c r="K395" s="83"/>
      <c r="L395" s="83"/>
      <c r="M395" s="83"/>
      <c r="N395" s="328"/>
      <c r="O395" s="83"/>
      <c r="P395" s="83"/>
      <c r="Q395" s="83"/>
      <c r="R395" s="83"/>
      <c r="S395" s="83"/>
      <c r="T395" s="83"/>
      <c r="U395" s="83"/>
      <c r="V395" s="83"/>
      <c r="W395" s="83"/>
      <c r="X395" s="83"/>
      <c r="Y395" s="83"/>
      <c r="Z395" s="83"/>
      <c r="AA395" s="83"/>
      <c r="AB395" s="83"/>
      <c r="AC395" s="83"/>
      <c r="AD395" s="83"/>
      <c r="AE395" s="83"/>
      <c r="AF395" s="83"/>
      <c r="AG395" s="83"/>
      <c r="AH395" s="83"/>
    </row>
    <row r="396" spans="1:34" ht="69.75" customHeight="1" x14ac:dyDescent="0.25">
      <c r="A396" s="829"/>
      <c r="B396" s="710"/>
      <c r="C396" s="710"/>
      <c r="D396" s="329" t="s">
        <v>924</v>
      </c>
      <c r="E396" s="325">
        <v>699388000</v>
      </c>
      <c r="F396" s="61">
        <v>0</v>
      </c>
      <c r="G396" s="326"/>
      <c r="H396" s="83"/>
      <c r="I396" s="83"/>
      <c r="J396" s="327"/>
      <c r="K396" s="83"/>
      <c r="L396" s="83"/>
      <c r="M396" s="83"/>
      <c r="N396" s="328"/>
      <c r="O396" s="83"/>
      <c r="P396" s="83"/>
      <c r="Q396" s="83"/>
      <c r="R396" s="83"/>
      <c r="S396" s="83"/>
      <c r="T396" s="83"/>
      <c r="U396" s="83"/>
      <c r="V396" s="83"/>
      <c r="W396" s="83"/>
      <c r="X396" s="83"/>
      <c r="Y396" s="83"/>
      <c r="Z396" s="83"/>
      <c r="AA396" s="83"/>
      <c r="AB396" s="83"/>
      <c r="AC396" s="83"/>
      <c r="AD396" s="83"/>
      <c r="AE396" s="83"/>
      <c r="AF396" s="83"/>
      <c r="AG396" s="83"/>
      <c r="AH396" s="83"/>
    </row>
    <row r="397" spans="1:34" ht="69.75" customHeight="1" x14ac:dyDescent="0.25">
      <c r="A397" s="829"/>
      <c r="B397" s="710"/>
      <c r="C397" s="710"/>
      <c r="D397" s="329" t="s">
        <v>925</v>
      </c>
      <c r="E397" s="325">
        <v>349839000</v>
      </c>
      <c r="F397" s="61">
        <v>0</v>
      </c>
      <c r="G397" s="326"/>
      <c r="H397" s="83"/>
      <c r="I397" s="83"/>
      <c r="J397" s="327"/>
      <c r="K397" s="83"/>
      <c r="L397" s="83"/>
      <c r="M397" s="83"/>
      <c r="N397" s="328"/>
      <c r="O397" s="83"/>
      <c r="P397" s="83"/>
      <c r="Q397" s="83"/>
      <c r="R397" s="83"/>
      <c r="S397" s="83"/>
      <c r="T397" s="83"/>
      <c r="U397" s="83"/>
      <c r="V397" s="83"/>
      <c r="W397" s="83"/>
      <c r="X397" s="83"/>
      <c r="Y397" s="83"/>
      <c r="Z397" s="83"/>
      <c r="AA397" s="83"/>
      <c r="AB397" s="83"/>
      <c r="AC397" s="83"/>
      <c r="AD397" s="83"/>
      <c r="AE397" s="83"/>
      <c r="AF397" s="83"/>
      <c r="AG397" s="83"/>
      <c r="AH397" s="83"/>
    </row>
    <row r="398" spans="1:34" ht="69.75" customHeight="1" x14ac:dyDescent="0.25">
      <c r="A398" s="829"/>
      <c r="B398" s="731"/>
      <c r="C398" s="731"/>
      <c r="D398" s="329" t="s">
        <v>674</v>
      </c>
      <c r="E398" s="330">
        <v>482999000</v>
      </c>
      <c r="F398" s="331">
        <v>0</v>
      </c>
      <c r="G398" s="332"/>
      <c r="H398" s="83"/>
      <c r="I398" s="83"/>
      <c r="J398" s="327"/>
      <c r="K398" s="83"/>
      <c r="L398" s="83"/>
      <c r="M398" s="83"/>
      <c r="N398" s="328"/>
      <c r="O398" s="83"/>
      <c r="P398" s="83"/>
      <c r="Q398" s="83"/>
      <c r="R398" s="83"/>
      <c r="S398" s="83"/>
      <c r="T398" s="83"/>
      <c r="U398" s="83"/>
      <c r="V398" s="83"/>
      <c r="W398" s="83"/>
      <c r="X398" s="83"/>
      <c r="Y398" s="83"/>
      <c r="Z398" s="83"/>
      <c r="AA398" s="83"/>
      <c r="AB398" s="83"/>
      <c r="AC398" s="83"/>
      <c r="AD398" s="83"/>
      <c r="AE398" s="83"/>
      <c r="AF398" s="83"/>
      <c r="AG398" s="83"/>
      <c r="AH398" s="83"/>
    </row>
    <row r="399" spans="1:34" ht="69.75" customHeight="1" x14ac:dyDescent="0.25">
      <c r="A399" s="829"/>
      <c r="B399" s="30" t="s">
        <v>747</v>
      </c>
      <c r="C399" s="30" t="s">
        <v>748</v>
      </c>
      <c r="D399" s="329" t="s">
        <v>926</v>
      </c>
      <c r="E399" s="325">
        <v>250350000</v>
      </c>
      <c r="F399" s="61">
        <v>0</v>
      </c>
      <c r="G399" s="326"/>
      <c r="H399" s="83"/>
      <c r="I399" s="83"/>
      <c r="J399" s="327"/>
      <c r="K399" s="83"/>
      <c r="L399" s="83"/>
      <c r="M399" s="83"/>
      <c r="N399" s="328"/>
      <c r="O399" s="83"/>
      <c r="P399" s="83"/>
      <c r="Q399" s="83"/>
      <c r="R399" s="83"/>
      <c r="S399" s="83"/>
      <c r="T399" s="83"/>
      <c r="U399" s="83"/>
      <c r="V399" s="83"/>
      <c r="W399" s="83"/>
      <c r="X399" s="83"/>
      <c r="Y399" s="83"/>
      <c r="Z399" s="83"/>
      <c r="AA399" s="83"/>
      <c r="AB399" s="83"/>
      <c r="AC399" s="83"/>
      <c r="AD399" s="83"/>
      <c r="AE399" s="83"/>
      <c r="AF399" s="83"/>
      <c r="AG399" s="83"/>
      <c r="AH399" s="83"/>
    </row>
    <row r="400" spans="1:34" ht="69.75" customHeight="1" x14ac:dyDescent="0.25">
      <c r="A400" s="823"/>
      <c r="B400" s="30" t="s">
        <v>751</v>
      </c>
      <c r="C400" s="30" t="s">
        <v>752</v>
      </c>
      <c r="D400" s="329" t="s">
        <v>370</v>
      </c>
      <c r="E400" s="325">
        <v>801561000</v>
      </c>
      <c r="F400" s="61">
        <v>0</v>
      </c>
      <c r="G400" s="326"/>
      <c r="H400" s="83"/>
      <c r="I400" s="83"/>
      <c r="J400" s="327"/>
      <c r="K400" s="83"/>
      <c r="L400" s="83"/>
      <c r="M400" s="83"/>
      <c r="N400" s="328"/>
      <c r="O400" s="83"/>
      <c r="P400" s="83"/>
      <c r="Q400" s="83"/>
      <c r="R400" s="83"/>
      <c r="S400" s="83"/>
      <c r="T400" s="83"/>
      <c r="U400" s="83"/>
      <c r="V400" s="83"/>
      <c r="W400" s="83"/>
      <c r="X400" s="83"/>
      <c r="Y400" s="83"/>
      <c r="Z400" s="83"/>
      <c r="AA400" s="83"/>
      <c r="AB400" s="83"/>
      <c r="AC400" s="83"/>
      <c r="AD400" s="83"/>
      <c r="AE400" s="83"/>
      <c r="AF400" s="83"/>
      <c r="AG400" s="83"/>
      <c r="AH400" s="83"/>
    </row>
    <row r="401" spans="1:34" ht="69.75" customHeight="1" x14ac:dyDescent="0.25">
      <c r="A401" s="874" t="s">
        <v>716</v>
      </c>
      <c r="B401" s="878" t="s">
        <v>739</v>
      </c>
      <c r="C401" s="878" t="s">
        <v>740</v>
      </c>
      <c r="D401" s="324" t="s">
        <v>339</v>
      </c>
      <c r="E401" s="325">
        <v>574654000</v>
      </c>
      <c r="F401" s="61">
        <v>0</v>
      </c>
      <c r="G401" s="326"/>
      <c r="H401" s="83"/>
      <c r="I401" s="83"/>
      <c r="J401" s="327"/>
      <c r="K401" s="83"/>
      <c r="L401" s="83"/>
      <c r="M401" s="83"/>
      <c r="N401" s="328"/>
      <c r="O401" s="83"/>
      <c r="P401" s="83"/>
      <c r="Q401" s="83"/>
      <c r="R401" s="83"/>
      <c r="S401" s="83"/>
      <c r="T401" s="83"/>
      <c r="U401" s="83"/>
      <c r="V401" s="83"/>
      <c r="W401" s="83"/>
      <c r="X401" s="83"/>
      <c r="Y401" s="83"/>
      <c r="Z401" s="83"/>
      <c r="AA401" s="83"/>
      <c r="AB401" s="83"/>
      <c r="AC401" s="83"/>
      <c r="AD401" s="83"/>
      <c r="AE401" s="83"/>
      <c r="AF401" s="83"/>
      <c r="AG401" s="83"/>
      <c r="AH401" s="83"/>
    </row>
    <row r="402" spans="1:34" ht="69.75" customHeight="1" x14ac:dyDescent="0.25">
      <c r="A402" s="829"/>
      <c r="B402" s="710"/>
      <c r="C402" s="710"/>
      <c r="D402" s="324" t="s">
        <v>349</v>
      </c>
      <c r="E402" s="325">
        <v>198130000</v>
      </c>
      <c r="F402" s="61">
        <v>0</v>
      </c>
      <c r="G402" s="326"/>
      <c r="H402" s="83"/>
      <c r="I402" s="83"/>
      <c r="J402" s="327"/>
      <c r="K402" s="83"/>
      <c r="L402" s="83"/>
      <c r="M402" s="83"/>
      <c r="N402" s="328"/>
      <c r="O402" s="83"/>
      <c r="P402" s="83"/>
      <c r="Q402" s="83"/>
      <c r="R402" s="83"/>
      <c r="S402" s="83"/>
      <c r="T402" s="83"/>
      <c r="U402" s="83"/>
      <c r="V402" s="83"/>
      <c r="W402" s="83"/>
      <c r="X402" s="83"/>
      <c r="Y402" s="83"/>
      <c r="Z402" s="83"/>
      <c r="AA402" s="83"/>
      <c r="AB402" s="83"/>
      <c r="AC402" s="83"/>
      <c r="AD402" s="83"/>
      <c r="AE402" s="83"/>
      <c r="AF402" s="83"/>
      <c r="AG402" s="83"/>
      <c r="AH402" s="83"/>
    </row>
    <row r="403" spans="1:34" ht="69.75" customHeight="1" x14ac:dyDescent="0.25">
      <c r="A403" s="829"/>
      <c r="B403" s="731"/>
      <c r="C403" s="731"/>
      <c r="D403" s="324" t="s">
        <v>351</v>
      </c>
      <c r="E403" s="325">
        <v>34285000</v>
      </c>
      <c r="F403" s="61">
        <v>0</v>
      </c>
      <c r="G403" s="326"/>
      <c r="H403" s="83"/>
      <c r="I403" s="83"/>
      <c r="J403" s="327"/>
      <c r="K403" s="83"/>
      <c r="L403" s="83"/>
      <c r="M403" s="83"/>
      <c r="N403" s="328"/>
      <c r="O403" s="83"/>
      <c r="P403" s="83"/>
      <c r="Q403" s="83"/>
      <c r="R403" s="83"/>
      <c r="S403" s="83"/>
      <c r="T403" s="83"/>
      <c r="U403" s="83"/>
      <c r="V403" s="83"/>
      <c r="W403" s="83"/>
      <c r="X403" s="83"/>
      <c r="Y403" s="83"/>
      <c r="Z403" s="83"/>
      <c r="AA403" s="83"/>
      <c r="AB403" s="83"/>
      <c r="AC403" s="83"/>
      <c r="AD403" s="83"/>
      <c r="AE403" s="83"/>
      <c r="AF403" s="83"/>
      <c r="AG403" s="83"/>
      <c r="AH403" s="83"/>
    </row>
    <row r="404" spans="1:34" ht="69.75" customHeight="1" x14ac:dyDescent="0.25">
      <c r="A404" s="829"/>
      <c r="B404" s="749" t="s">
        <v>743</v>
      </c>
      <c r="C404" s="749" t="s">
        <v>744</v>
      </c>
      <c r="D404" s="329" t="s">
        <v>354</v>
      </c>
      <c r="E404" s="325">
        <v>68299000</v>
      </c>
      <c r="F404" s="61">
        <v>0</v>
      </c>
      <c r="G404" s="326"/>
      <c r="H404" s="83"/>
      <c r="I404" s="83"/>
      <c r="J404" s="327"/>
      <c r="K404" s="83"/>
      <c r="L404" s="83"/>
      <c r="M404" s="83"/>
      <c r="N404" s="328"/>
      <c r="O404" s="83"/>
      <c r="P404" s="83"/>
      <c r="Q404" s="83"/>
      <c r="R404" s="83"/>
      <c r="S404" s="83"/>
      <c r="T404" s="83"/>
      <c r="U404" s="83"/>
      <c r="V404" s="83"/>
      <c r="W404" s="83"/>
      <c r="X404" s="83"/>
      <c r="Y404" s="83"/>
      <c r="Z404" s="83"/>
      <c r="AA404" s="83"/>
      <c r="AB404" s="83"/>
      <c r="AC404" s="83"/>
      <c r="AD404" s="83"/>
      <c r="AE404" s="83"/>
      <c r="AF404" s="83"/>
      <c r="AG404" s="83"/>
      <c r="AH404" s="83"/>
    </row>
    <row r="405" spans="1:34" ht="69.75" customHeight="1" x14ac:dyDescent="0.25">
      <c r="A405" s="829"/>
      <c r="B405" s="710"/>
      <c r="C405" s="710"/>
      <c r="D405" s="329" t="s">
        <v>924</v>
      </c>
      <c r="E405" s="325">
        <v>699388000</v>
      </c>
      <c r="F405" s="61">
        <v>0</v>
      </c>
      <c r="G405" s="326"/>
      <c r="H405" s="83"/>
      <c r="I405" s="83"/>
      <c r="J405" s="327"/>
      <c r="K405" s="83"/>
      <c r="L405" s="83"/>
      <c r="M405" s="83"/>
      <c r="N405" s="328"/>
      <c r="O405" s="83"/>
      <c r="P405" s="83"/>
      <c r="Q405" s="83"/>
      <c r="R405" s="83"/>
      <c r="S405" s="83"/>
      <c r="T405" s="83"/>
      <c r="U405" s="83"/>
      <c r="V405" s="83"/>
      <c r="W405" s="83"/>
      <c r="X405" s="83"/>
      <c r="Y405" s="83"/>
      <c r="Z405" s="83"/>
      <c r="AA405" s="83"/>
      <c r="AB405" s="83"/>
      <c r="AC405" s="83"/>
      <c r="AD405" s="83"/>
      <c r="AE405" s="83"/>
      <c r="AF405" s="83"/>
      <c r="AG405" s="83"/>
      <c r="AH405" s="83"/>
    </row>
    <row r="406" spans="1:34" ht="69.75" customHeight="1" x14ac:dyDescent="0.25">
      <c r="A406" s="829"/>
      <c r="B406" s="710"/>
      <c r="C406" s="710"/>
      <c r="D406" s="329" t="s">
        <v>925</v>
      </c>
      <c r="E406" s="325">
        <v>349839000</v>
      </c>
      <c r="F406" s="61">
        <v>0</v>
      </c>
      <c r="G406" s="326"/>
      <c r="H406" s="83"/>
      <c r="I406" s="83"/>
      <c r="J406" s="327"/>
      <c r="K406" s="83"/>
      <c r="L406" s="83"/>
      <c r="M406" s="83"/>
      <c r="N406" s="328"/>
      <c r="O406" s="83"/>
      <c r="P406" s="83"/>
      <c r="Q406" s="83"/>
      <c r="R406" s="83"/>
      <c r="S406" s="83"/>
      <c r="T406" s="83"/>
      <c r="U406" s="83"/>
      <c r="V406" s="83"/>
      <c r="W406" s="83"/>
      <c r="X406" s="83"/>
      <c r="Y406" s="83"/>
      <c r="Z406" s="83"/>
      <c r="AA406" s="83"/>
      <c r="AB406" s="83"/>
      <c r="AC406" s="83"/>
      <c r="AD406" s="83"/>
      <c r="AE406" s="83"/>
      <c r="AF406" s="83"/>
      <c r="AG406" s="83"/>
      <c r="AH406" s="83"/>
    </row>
    <row r="407" spans="1:34" ht="69.75" customHeight="1" x14ac:dyDescent="0.25">
      <c r="A407" s="829"/>
      <c r="B407" s="731"/>
      <c r="C407" s="731"/>
      <c r="D407" s="329" t="s">
        <v>674</v>
      </c>
      <c r="E407" s="330">
        <v>482999000</v>
      </c>
      <c r="F407" s="331">
        <v>0</v>
      </c>
      <c r="G407" s="332"/>
      <c r="H407" s="83"/>
      <c r="I407" s="83"/>
      <c r="J407" s="327"/>
      <c r="K407" s="83"/>
      <c r="L407" s="83"/>
      <c r="M407" s="83"/>
      <c r="N407" s="328"/>
      <c r="O407" s="83"/>
      <c r="P407" s="83"/>
      <c r="Q407" s="83"/>
      <c r="R407" s="83"/>
      <c r="S407" s="83"/>
      <c r="T407" s="83"/>
      <c r="U407" s="83"/>
      <c r="V407" s="83"/>
      <c r="W407" s="83"/>
      <c r="X407" s="83"/>
      <c r="Y407" s="83"/>
      <c r="Z407" s="83"/>
      <c r="AA407" s="83"/>
      <c r="AB407" s="83"/>
      <c r="AC407" s="83"/>
      <c r="AD407" s="83"/>
      <c r="AE407" s="83"/>
      <c r="AF407" s="83"/>
      <c r="AG407" s="83"/>
      <c r="AH407" s="83"/>
    </row>
    <row r="408" spans="1:34" ht="69.75" customHeight="1" x14ac:dyDescent="0.25">
      <c r="A408" s="829"/>
      <c r="B408" s="30" t="s">
        <v>747</v>
      </c>
      <c r="C408" s="30" t="s">
        <v>748</v>
      </c>
      <c r="D408" s="329" t="s">
        <v>926</v>
      </c>
      <c r="E408" s="325">
        <v>250350000</v>
      </c>
      <c r="F408" s="61">
        <v>0</v>
      </c>
      <c r="G408" s="326"/>
      <c r="H408" s="83"/>
      <c r="I408" s="83"/>
      <c r="J408" s="327"/>
      <c r="K408" s="83"/>
      <c r="L408" s="83"/>
      <c r="M408" s="83"/>
      <c r="N408" s="328"/>
      <c r="O408" s="83"/>
      <c r="P408" s="83"/>
      <c r="Q408" s="83"/>
      <c r="R408" s="83"/>
      <c r="S408" s="83"/>
      <c r="T408" s="83"/>
      <c r="U408" s="83"/>
      <c r="V408" s="83"/>
      <c r="W408" s="83"/>
      <c r="X408" s="83"/>
      <c r="Y408" s="83"/>
      <c r="Z408" s="83"/>
      <c r="AA408" s="83"/>
      <c r="AB408" s="83"/>
      <c r="AC408" s="83"/>
      <c r="AD408" s="83"/>
      <c r="AE408" s="83"/>
      <c r="AF408" s="83"/>
      <c r="AG408" s="83"/>
      <c r="AH408" s="83"/>
    </row>
    <row r="409" spans="1:34" ht="69.75" customHeight="1" x14ac:dyDescent="0.25">
      <c r="A409" s="823"/>
      <c r="B409" s="30" t="s">
        <v>751</v>
      </c>
      <c r="C409" s="30" t="s">
        <v>752</v>
      </c>
      <c r="D409" s="329" t="s">
        <v>370</v>
      </c>
      <c r="E409" s="325">
        <v>801561000</v>
      </c>
      <c r="F409" s="325">
        <v>5482052</v>
      </c>
      <c r="G409" s="326"/>
      <c r="H409" s="83"/>
      <c r="I409" s="83"/>
      <c r="J409" s="327"/>
      <c r="K409" s="83"/>
      <c r="L409" s="83"/>
      <c r="M409" s="83"/>
      <c r="N409" s="328"/>
      <c r="O409" s="83"/>
      <c r="P409" s="83"/>
      <c r="Q409" s="83"/>
      <c r="R409" s="83"/>
      <c r="S409" s="83"/>
      <c r="T409" s="83"/>
      <c r="U409" s="83"/>
      <c r="V409" s="83"/>
      <c r="W409" s="83"/>
      <c r="X409" s="83"/>
      <c r="Y409" s="83"/>
      <c r="Z409" s="83"/>
      <c r="AA409" s="83"/>
      <c r="AB409" s="83"/>
      <c r="AC409" s="83"/>
      <c r="AD409" s="83"/>
      <c r="AE409" s="83"/>
      <c r="AF409" s="83"/>
      <c r="AG409" s="83"/>
      <c r="AH409" s="83"/>
    </row>
    <row r="410" spans="1:34" ht="69.75" customHeight="1" x14ac:dyDescent="0.25">
      <c r="A410" s="874" t="s">
        <v>717</v>
      </c>
      <c r="B410" s="878" t="s">
        <v>739</v>
      </c>
      <c r="C410" s="878" t="s">
        <v>740</v>
      </c>
      <c r="D410" s="324" t="s">
        <v>339</v>
      </c>
      <c r="E410" s="325">
        <v>574654000</v>
      </c>
      <c r="F410" s="325">
        <v>12993393</v>
      </c>
      <c r="G410" s="326"/>
      <c r="H410" s="83"/>
      <c r="I410" s="83"/>
      <c r="J410" s="327"/>
      <c r="K410" s="83"/>
      <c r="L410" s="83"/>
      <c r="M410" s="83"/>
      <c r="N410" s="328"/>
      <c r="O410" s="83"/>
      <c r="P410" s="83"/>
      <c r="Q410" s="83"/>
      <c r="R410" s="83"/>
      <c r="S410" s="83"/>
      <c r="T410" s="83"/>
      <c r="U410" s="83"/>
      <c r="V410" s="83"/>
      <c r="W410" s="83"/>
      <c r="X410" s="83"/>
      <c r="Y410" s="83"/>
      <c r="Z410" s="83"/>
      <c r="AA410" s="83"/>
      <c r="AB410" s="83"/>
      <c r="AC410" s="83"/>
      <c r="AD410" s="83"/>
      <c r="AE410" s="83"/>
      <c r="AF410" s="83"/>
      <c r="AG410" s="83"/>
      <c r="AH410" s="83"/>
    </row>
    <row r="411" spans="1:34" ht="69.75" customHeight="1" x14ac:dyDescent="0.25">
      <c r="A411" s="829"/>
      <c r="B411" s="710"/>
      <c r="C411" s="710"/>
      <c r="D411" s="324" t="s">
        <v>349</v>
      </c>
      <c r="E411" s="325">
        <v>198130000</v>
      </c>
      <c r="F411" s="325">
        <v>7349100</v>
      </c>
      <c r="G411" s="326"/>
      <c r="H411" s="83"/>
      <c r="I411" s="83"/>
      <c r="J411" s="327"/>
      <c r="K411" s="83"/>
      <c r="L411" s="83"/>
      <c r="M411" s="83"/>
      <c r="N411" s="328"/>
      <c r="O411" s="83"/>
      <c r="P411" s="83"/>
      <c r="Q411" s="83"/>
      <c r="R411" s="83"/>
      <c r="S411" s="83"/>
      <c r="T411" s="83"/>
      <c r="U411" s="83"/>
      <c r="V411" s="83"/>
      <c r="W411" s="83"/>
      <c r="X411" s="83"/>
      <c r="Y411" s="83"/>
      <c r="Z411" s="83"/>
      <c r="AA411" s="83"/>
      <c r="AB411" s="83"/>
      <c r="AC411" s="83"/>
      <c r="AD411" s="83"/>
      <c r="AE411" s="83"/>
      <c r="AF411" s="83"/>
      <c r="AG411" s="83"/>
      <c r="AH411" s="83"/>
    </row>
    <row r="412" spans="1:34" ht="69.75" customHeight="1" x14ac:dyDescent="0.25">
      <c r="A412" s="829"/>
      <c r="B412" s="731"/>
      <c r="C412" s="731"/>
      <c r="D412" s="324" t="s">
        <v>351</v>
      </c>
      <c r="E412" s="325">
        <v>34285000</v>
      </c>
      <c r="F412" s="325">
        <v>2085333</v>
      </c>
      <c r="G412" s="326"/>
      <c r="H412" s="83"/>
      <c r="I412" s="83"/>
      <c r="J412" s="327"/>
      <c r="K412" s="83"/>
      <c r="L412" s="83"/>
      <c r="M412" s="83"/>
      <c r="N412" s="328"/>
      <c r="O412" s="83"/>
      <c r="P412" s="83"/>
      <c r="Q412" s="83"/>
      <c r="R412" s="83"/>
      <c r="S412" s="83"/>
      <c r="T412" s="83"/>
      <c r="U412" s="83"/>
      <c r="V412" s="83"/>
      <c r="W412" s="83"/>
      <c r="X412" s="83"/>
      <c r="Y412" s="83"/>
      <c r="Z412" s="83"/>
      <c r="AA412" s="83"/>
      <c r="AB412" s="83"/>
      <c r="AC412" s="83"/>
      <c r="AD412" s="83"/>
      <c r="AE412" s="83"/>
      <c r="AF412" s="83"/>
      <c r="AG412" s="83"/>
      <c r="AH412" s="83"/>
    </row>
    <row r="413" spans="1:34" ht="69.75" customHeight="1" x14ac:dyDescent="0.25">
      <c r="A413" s="829"/>
      <c r="B413" s="749" t="s">
        <v>743</v>
      </c>
      <c r="C413" s="749" t="s">
        <v>744</v>
      </c>
      <c r="D413" s="329" t="s">
        <v>354</v>
      </c>
      <c r="E413" s="325">
        <v>68299000</v>
      </c>
      <c r="F413" s="325">
        <v>0</v>
      </c>
      <c r="G413" s="326"/>
      <c r="H413" s="83"/>
      <c r="I413" s="83"/>
      <c r="J413" s="327"/>
      <c r="K413" s="83"/>
      <c r="L413" s="83"/>
      <c r="M413" s="83"/>
      <c r="N413" s="328"/>
      <c r="O413" s="83"/>
      <c r="P413" s="83"/>
      <c r="Q413" s="83"/>
      <c r="R413" s="83"/>
      <c r="S413" s="83"/>
      <c r="T413" s="83"/>
      <c r="U413" s="83"/>
      <c r="V413" s="83"/>
      <c r="W413" s="83"/>
      <c r="X413" s="83"/>
      <c r="Y413" s="83"/>
      <c r="Z413" s="83"/>
      <c r="AA413" s="83"/>
      <c r="AB413" s="83"/>
      <c r="AC413" s="83"/>
      <c r="AD413" s="83"/>
      <c r="AE413" s="83"/>
      <c r="AF413" s="83"/>
      <c r="AG413" s="83"/>
      <c r="AH413" s="83"/>
    </row>
    <row r="414" spans="1:34" ht="69.75" customHeight="1" x14ac:dyDescent="0.25">
      <c r="A414" s="829"/>
      <c r="B414" s="710"/>
      <c r="C414" s="710"/>
      <c r="D414" s="329" t="s">
        <v>924</v>
      </c>
      <c r="E414" s="325">
        <v>699388000</v>
      </c>
      <c r="F414" s="325">
        <v>0</v>
      </c>
      <c r="G414" s="326"/>
      <c r="H414" s="83"/>
      <c r="I414" s="83"/>
      <c r="J414" s="327"/>
      <c r="K414" s="83"/>
      <c r="L414" s="83"/>
      <c r="M414" s="83"/>
      <c r="N414" s="328"/>
      <c r="O414" s="83"/>
      <c r="P414" s="83"/>
      <c r="Q414" s="83"/>
      <c r="R414" s="83"/>
      <c r="S414" s="83"/>
      <c r="T414" s="83"/>
      <c r="U414" s="83"/>
      <c r="V414" s="83"/>
      <c r="W414" s="83"/>
      <c r="X414" s="83"/>
      <c r="Y414" s="83"/>
      <c r="Z414" s="83"/>
      <c r="AA414" s="83"/>
      <c r="AB414" s="83"/>
      <c r="AC414" s="83"/>
      <c r="AD414" s="83"/>
      <c r="AE414" s="83"/>
      <c r="AF414" s="83"/>
      <c r="AG414" s="83"/>
      <c r="AH414" s="83"/>
    </row>
    <row r="415" spans="1:34" ht="69.75" customHeight="1" x14ac:dyDescent="0.25">
      <c r="A415" s="829"/>
      <c r="B415" s="710"/>
      <c r="C415" s="710"/>
      <c r="D415" s="329" t="s">
        <v>925</v>
      </c>
      <c r="E415" s="325">
        <v>349839000</v>
      </c>
      <c r="F415" s="325">
        <v>14248600</v>
      </c>
      <c r="G415" s="326"/>
      <c r="H415" s="83"/>
      <c r="I415" s="83"/>
      <c r="J415" s="327"/>
      <c r="K415" s="83"/>
      <c r="L415" s="83"/>
      <c r="M415" s="83"/>
      <c r="N415" s="328"/>
      <c r="O415" s="83"/>
      <c r="P415" s="83"/>
      <c r="Q415" s="83"/>
      <c r="R415" s="83"/>
      <c r="S415" s="83"/>
      <c r="T415" s="83"/>
      <c r="U415" s="83"/>
      <c r="V415" s="83"/>
      <c r="W415" s="83"/>
      <c r="X415" s="83"/>
      <c r="Y415" s="83"/>
      <c r="Z415" s="83"/>
      <c r="AA415" s="83"/>
      <c r="AB415" s="83"/>
      <c r="AC415" s="83"/>
      <c r="AD415" s="83"/>
      <c r="AE415" s="83"/>
      <c r="AF415" s="83"/>
      <c r="AG415" s="83"/>
      <c r="AH415" s="83"/>
    </row>
    <row r="416" spans="1:34" ht="69.75" customHeight="1" x14ac:dyDescent="0.25">
      <c r="A416" s="829"/>
      <c r="B416" s="731"/>
      <c r="C416" s="731"/>
      <c r="D416" s="329" t="s">
        <v>674</v>
      </c>
      <c r="E416" s="330">
        <v>482999000</v>
      </c>
      <c r="F416" s="330">
        <v>13621034</v>
      </c>
      <c r="G416" s="326"/>
      <c r="H416" s="83"/>
      <c r="I416" s="83"/>
      <c r="J416" s="327"/>
      <c r="K416" s="83"/>
      <c r="L416" s="83"/>
      <c r="M416" s="83"/>
      <c r="N416" s="328"/>
      <c r="O416" s="83"/>
      <c r="P416" s="83"/>
      <c r="Q416" s="83"/>
      <c r="R416" s="83"/>
      <c r="S416" s="83"/>
      <c r="T416" s="83"/>
      <c r="U416" s="83"/>
      <c r="V416" s="83"/>
      <c r="W416" s="83"/>
      <c r="X416" s="83"/>
      <c r="Y416" s="83"/>
      <c r="Z416" s="83"/>
      <c r="AA416" s="83"/>
      <c r="AB416" s="83"/>
      <c r="AC416" s="83"/>
      <c r="AD416" s="83"/>
      <c r="AE416" s="83"/>
      <c r="AF416" s="83"/>
      <c r="AG416" s="83"/>
      <c r="AH416" s="83"/>
    </row>
    <row r="417" spans="1:34" ht="69.75" customHeight="1" x14ac:dyDescent="0.25">
      <c r="A417" s="829"/>
      <c r="B417" s="30" t="s">
        <v>747</v>
      </c>
      <c r="C417" s="30" t="s">
        <v>748</v>
      </c>
      <c r="D417" s="329" t="s">
        <v>926</v>
      </c>
      <c r="E417" s="325">
        <v>250350000</v>
      </c>
      <c r="F417" s="325">
        <v>5581534</v>
      </c>
      <c r="G417" s="326"/>
      <c r="H417" s="83"/>
      <c r="I417" s="83"/>
      <c r="J417" s="327"/>
      <c r="K417" s="83"/>
      <c r="L417" s="83"/>
      <c r="M417" s="83"/>
      <c r="N417" s="328"/>
      <c r="O417" s="83"/>
      <c r="P417" s="83"/>
      <c r="Q417" s="83"/>
      <c r="R417" s="83"/>
      <c r="S417" s="83"/>
      <c r="T417" s="83"/>
      <c r="U417" s="83"/>
      <c r="V417" s="83"/>
      <c r="W417" s="83"/>
      <c r="X417" s="83"/>
      <c r="Y417" s="83"/>
      <c r="Z417" s="83"/>
      <c r="AA417" s="83"/>
      <c r="AB417" s="83"/>
      <c r="AC417" s="83"/>
      <c r="AD417" s="83"/>
      <c r="AE417" s="83"/>
      <c r="AF417" s="83"/>
      <c r="AG417" s="83"/>
      <c r="AH417" s="83"/>
    </row>
    <row r="418" spans="1:34" ht="69.75" customHeight="1" x14ac:dyDescent="0.25">
      <c r="A418" s="823"/>
      <c r="B418" s="30" t="s">
        <v>751</v>
      </c>
      <c r="C418" s="30" t="s">
        <v>752</v>
      </c>
      <c r="D418" s="329" t="s">
        <v>370</v>
      </c>
      <c r="E418" s="325">
        <v>801561000</v>
      </c>
      <c r="F418" s="325">
        <v>19474701</v>
      </c>
      <c r="G418" s="326"/>
      <c r="H418" s="83"/>
      <c r="I418" s="83"/>
      <c r="J418" s="327"/>
      <c r="K418" s="83"/>
      <c r="L418" s="83"/>
      <c r="M418" s="83"/>
      <c r="N418" s="328"/>
      <c r="O418" s="83"/>
      <c r="P418" s="83"/>
      <c r="Q418" s="83"/>
      <c r="R418" s="83"/>
      <c r="S418" s="83"/>
      <c r="T418" s="83"/>
      <c r="U418" s="83"/>
      <c r="V418" s="83"/>
      <c r="W418" s="83"/>
      <c r="X418" s="83"/>
      <c r="Y418" s="83"/>
      <c r="Z418" s="83"/>
      <c r="AA418" s="83"/>
      <c r="AB418" s="83"/>
      <c r="AC418" s="83"/>
      <c r="AD418" s="83"/>
      <c r="AE418" s="83"/>
      <c r="AF418" s="83"/>
      <c r="AG418" s="83"/>
      <c r="AH418" s="83"/>
    </row>
    <row r="419" spans="1:34" ht="69.75" customHeight="1" x14ac:dyDescent="0.25">
      <c r="A419" s="874" t="s">
        <v>718</v>
      </c>
      <c r="B419" s="878" t="s">
        <v>739</v>
      </c>
      <c r="C419" s="878" t="s">
        <v>740</v>
      </c>
      <c r="D419" s="324" t="s">
        <v>339</v>
      </c>
      <c r="E419" s="325">
        <v>556207000</v>
      </c>
      <c r="F419" s="325">
        <v>53643627</v>
      </c>
      <c r="G419" s="326"/>
      <c r="H419" s="83"/>
      <c r="I419" s="83"/>
      <c r="J419" s="327"/>
      <c r="K419" s="83"/>
      <c r="L419" s="83"/>
      <c r="M419" s="83"/>
      <c r="N419" s="328"/>
      <c r="O419" s="83"/>
      <c r="P419" s="83"/>
      <c r="Q419" s="83"/>
      <c r="R419" s="83"/>
      <c r="S419" s="83"/>
      <c r="T419" s="83"/>
      <c r="U419" s="83"/>
      <c r="V419" s="83"/>
      <c r="W419" s="83"/>
      <c r="X419" s="83"/>
      <c r="Y419" s="83"/>
      <c r="Z419" s="83"/>
      <c r="AA419" s="83"/>
      <c r="AB419" s="83"/>
      <c r="AC419" s="83"/>
      <c r="AD419" s="83"/>
      <c r="AE419" s="83"/>
      <c r="AF419" s="83"/>
      <c r="AG419" s="83"/>
      <c r="AH419" s="83"/>
    </row>
    <row r="420" spans="1:34" ht="69.75" customHeight="1" x14ac:dyDescent="0.25">
      <c r="A420" s="829"/>
      <c r="B420" s="710"/>
      <c r="C420" s="710"/>
      <c r="D420" s="324" t="s">
        <v>349</v>
      </c>
      <c r="E420" s="325">
        <v>172920000</v>
      </c>
      <c r="F420" s="325">
        <v>22047300</v>
      </c>
      <c r="G420" s="326"/>
      <c r="H420" s="83"/>
      <c r="I420" s="83"/>
      <c r="J420" s="327"/>
      <c r="K420" s="83"/>
      <c r="L420" s="83"/>
      <c r="M420" s="83"/>
      <c r="N420" s="328"/>
      <c r="O420" s="83"/>
      <c r="P420" s="83"/>
      <c r="Q420" s="83"/>
      <c r="R420" s="83"/>
      <c r="S420" s="83"/>
      <c r="T420" s="83"/>
      <c r="U420" s="83"/>
      <c r="V420" s="83"/>
      <c r="W420" s="83"/>
      <c r="X420" s="83"/>
      <c r="Y420" s="83"/>
      <c r="Z420" s="83"/>
      <c r="AA420" s="83"/>
      <c r="AB420" s="83"/>
      <c r="AC420" s="83"/>
      <c r="AD420" s="83"/>
      <c r="AE420" s="83"/>
      <c r="AF420" s="83"/>
      <c r="AG420" s="83"/>
      <c r="AH420" s="83"/>
    </row>
    <row r="421" spans="1:34" ht="69.75" customHeight="1" x14ac:dyDescent="0.25">
      <c r="A421" s="829"/>
      <c r="B421" s="731"/>
      <c r="C421" s="731"/>
      <c r="D421" s="324" t="s">
        <v>351</v>
      </c>
      <c r="E421" s="325">
        <v>27200000</v>
      </c>
      <c r="F421" s="325">
        <v>4805333</v>
      </c>
      <c r="G421" s="326"/>
      <c r="H421" s="83"/>
      <c r="I421" s="83"/>
      <c r="J421" s="327"/>
      <c r="K421" s="83"/>
      <c r="L421" s="83"/>
      <c r="M421" s="83"/>
      <c r="N421" s="328"/>
      <c r="O421" s="83"/>
      <c r="P421" s="83"/>
      <c r="Q421" s="83"/>
      <c r="R421" s="83"/>
      <c r="S421" s="83"/>
      <c r="T421" s="83"/>
      <c r="U421" s="83"/>
      <c r="V421" s="83"/>
      <c r="W421" s="83"/>
      <c r="X421" s="83"/>
      <c r="Y421" s="83"/>
      <c r="Z421" s="83"/>
      <c r="AA421" s="83"/>
      <c r="AB421" s="83"/>
      <c r="AC421" s="83"/>
      <c r="AD421" s="83"/>
      <c r="AE421" s="83"/>
      <c r="AF421" s="83"/>
      <c r="AG421" s="83"/>
      <c r="AH421" s="83"/>
    </row>
    <row r="422" spans="1:34" ht="69.75" customHeight="1" x14ac:dyDescent="0.25">
      <c r="A422" s="829"/>
      <c r="B422" s="749" t="s">
        <v>743</v>
      </c>
      <c r="C422" s="749" t="s">
        <v>744</v>
      </c>
      <c r="D422" s="329" t="s">
        <v>354</v>
      </c>
      <c r="E422" s="325">
        <v>67897116</v>
      </c>
      <c r="F422" s="325">
        <v>4041500</v>
      </c>
      <c r="G422" s="326"/>
      <c r="H422" s="83"/>
      <c r="I422" s="83"/>
      <c r="J422" s="327"/>
      <c r="K422" s="83"/>
      <c r="L422" s="83"/>
      <c r="M422" s="83"/>
      <c r="N422" s="328"/>
      <c r="O422" s="83"/>
      <c r="P422" s="83"/>
      <c r="Q422" s="83"/>
      <c r="R422" s="83"/>
      <c r="S422" s="83"/>
      <c r="T422" s="83"/>
      <c r="U422" s="83"/>
      <c r="V422" s="83"/>
      <c r="W422" s="83"/>
      <c r="X422" s="83"/>
      <c r="Y422" s="83"/>
      <c r="Z422" s="83"/>
      <c r="AA422" s="83"/>
      <c r="AB422" s="83"/>
      <c r="AC422" s="83"/>
      <c r="AD422" s="83"/>
      <c r="AE422" s="83"/>
      <c r="AF422" s="83"/>
      <c r="AG422" s="83"/>
      <c r="AH422" s="83"/>
    </row>
    <row r="423" spans="1:34" ht="69.75" customHeight="1" x14ac:dyDescent="0.25">
      <c r="A423" s="829"/>
      <c r="B423" s="710"/>
      <c r="C423" s="710"/>
      <c r="D423" s="329" t="s">
        <v>924</v>
      </c>
      <c r="E423" s="325">
        <v>375068706</v>
      </c>
      <c r="F423" s="325">
        <v>25354666</v>
      </c>
      <c r="G423" s="326"/>
      <c r="H423" s="83"/>
      <c r="I423" s="83"/>
      <c r="J423" s="327"/>
      <c r="K423" s="83"/>
      <c r="L423" s="83"/>
      <c r="M423" s="83"/>
      <c r="N423" s="328"/>
      <c r="O423" s="83"/>
      <c r="P423" s="83"/>
      <c r="Q423" s="83"/>
      <c r="R423" s="83"/>
      <c r="S423" s="83"/>
      <c r="T423" s="83"/>
      <c r="U423" s="83"/>
      <c r="V423" s="83"/>
      <c r="W423" s="83"/>
      <c r="X423" s="83"/>
      <c r="Y423" s="83"/>
      <c r="Z423" s="83"/>
      <c r="AA423" s="83"/>
      <c r="AB423" s="83"/>
      <c r="AC423" s="83"/>
      <c r="AD423" s="83"/>
      <c r="AE423" s="83"/>
      <c r="AF423" s="83"/>
      <c r="AG423" s="83"/>
      <c r="AH423" s="83"/>
    </row>
    <row r="424" spans="1:34" ht="69.75" customHeight="1" x14ac:dyDescent="0.25">
      <c r="A424" s="829"/>
      <c r="B424" s="710"/>
      <c r="C424" s="710"/>
      <c r="D424" s="329" t="s">
        <v>925</v>
      </c>
      <c r="E424" s="325">
        <v>313790000</v>
      </c>
      <c r="F424" s="325">
        <v>45283800</v>
      </c>
      <c r="G424" s="326"/>
      <c r="H424" s="83"/>
      <c r="I424" s="83"/>
      <c r="J424" s="327"/>
      <c r="K424" s="83"/>
      <c r="L424" s="83"/>
      <c r="M424" s="83"/>
      <c r="N424" s="328"/>
      <c r="O424" s="83"/>
      <c r="P424" s="83"/>
      <c r="Q424" s="83"/>
      <c r="R424" s="83"/>
      <c r="S424" s="83"/>
      <c r="T424" s="83"/>
      <c r="U424" s="83"/>
      <c r="V424" s="83"/>
      <c r="W424" s="83"/>
      <c r="X424" s="83"/>
      <c r="Y424" s="83"/>
      <c r="Z424" s="83"/>
      <c r="AA424" s="83"/>
      <c r="AB424" s="83"/>
      <c r="AC424" s="83"/>
      <c r="AD424" s="83"/>
      <c r="AE424" s="83"/>
      <c r="AF424" s="83"/>
      <c r="AG424" s="83"/>
      <c r="AH424" s="83"/>
    </row>
    <row r="425" spans="1:34" ht="69.75" customHeight="1" x14ac:dyDescent="0.25">
      <c r="A425" s="829"/>
      <c r="B425" s="731"/>
      <c r="C425" s="731"/>
      <c r="D425" s="329" t="s">
        <v>674</v>
      </c>
      <c r="E425" s="330">
        <v>443325000</v>
      </c>
      <c r="F425" s="330">
        <v>50942234</v>
      </c>
      <c r="G425" s="326"/>
      <c r="H425" s="83"/>
      <c r="I425" s="83"/>
      <c r="J425" s="327"/>
      <c r="K425" s="83"/>
      <c r="L425" s="83"/>
      <c r="M425" s="83"/>
      <c r="N425" s="328"/>
      <c r="O425" s="83"/>
      <c r="P425" s="83"/>
      <c r="Q425" s="83"/>
      <c r="R425" s="83"/>
      <c r="S425" s="83"/>
      <c r="T425" s="83"/>
      <c r="U425" s="83"/>
      <c r="V425" s="83"/>
      <c r="W425" s="83"/>
      <c r="X425" s="83"/>
      <c r="Y425" s="83"/>
      <c r="Z425" s="83"/>
      <c r="AA425" s="83"/>
      <c r="AB425" s="83"/>
      <c r="AC425" s="83"/>
      <c r="AD425" s="83"/>
      <c r="AE425" s="83"/>
      <c r="AF425" s="83"/>
      <c r="AG425" s="83"/>
      <c r="AH425" s="83"/>
    </row>
    <row r="426" spans="1:34" ht="69.75" customHeight="1" x14ac:dyDescent="0.25">
      <c r="A426" s="829"/>
      <c r="B426" s="30" t="s">
        <v>747</v>
      </c>
      <c r="C426" s="30" t="s">
        <v>748</v>
      </c>
      <c r="D426" s="329" t="s">
        <v>926</v>
      </c>
      <c r="E426" s="325">
        <v>222016000</v>
      </c>
      <c r="F426" s="325">
        <v>22792600</v>
      </c>
      <c r="G426" s="326"/>
      <c r="H426" s="83"/>
      <c r="I426" s="83"/>
      <c r="J426" s="327"/>
      <c r="K426" s="83"/>
      <c r="L426" s="83"/>
      <c r="M426" s="83"/>
      <c r="N426" s="328"/>
      <c r="O426" s="83"/>
      <c r="P426" s="83"/>
      <c r="Q426" s="83"/>
      <c r="R426" s="83"/>
      <c r="S426" s="83"/>
      <c r="T426" s="83"/>
      <c r="U426" s="83"/>
      <c r="V426" s="83"/>
      <c r="W426" s="83"/>
      <c r="X426" s="83"/>
      <c r="Y426" s="83"/>
      <c r="Z426" s="83"/>
      <c r="AA426" s="83"/>
      <c r="AB426" s="83"/>
      <c r="AC426" s="83"/>
      <c r="AD426" s="83"/>
      <c r="AE426" s="83"/>
      <c r="AF426" s="83"/>
      <c r="AG426" s="83"/>
      <c r="AH426" s="83"/>
    </row>
    <row r="427" spans="1:34" ht="69.75" customHeight="1" x14ac:dyDescent="0.25">
      <c r="A427" s="823"/>
      <c r="B427" s="30" t="s">
        <v>751</v>
      </c>
      <c r="C427" s="30" t="s">
        <v>752</v>
      </c>
      <c r="D427" s="329" t="s">
        <v>370</v>
      </c>
      <c r="E427" s="325">
        <v>754641627</v>
      </c>
      <c r="F427" s="325">
        <v>37130834</v>
      </c>
      <c r="G427" s="326"/>
      <c r="H427" s="83"/>
      <c r="I427" s="83"/>
      <c r="J427" s="327"/>
      <c r="K427" s="83"/>
      <c r="L427" s="83"/>
      <c r="M427" s="83"/>
      <c r="N427" s="328"/>
      <c r="O427" s="83"/>
      <c r="P427" s="83"/>
      <c r="Q427" s="83"/>
      <c r="R427" s="83"/>
      <c r="S427" s="83"/>
      <c r="T427" s="83"/>
      <c r="U427" s="83"/>
      <c r="V427" s="83"/>
      <c r="W427" s="83"/>
      <c r="X427" s="83"/>
      <c r="Y427" s="83"/>
      <c r="Z427" s="83"/>
      <c r="AA427" s="83"/>
      <c r="AB427" s="83"/>
      <c r="AC427" s="83"/>
      <c r="AD427" s="83"/>
      <c r="AE427" s="83"/>
      <c r="AF427" s="83"/>
      <c r="AG427" s="83"/>
      <c r="AH427" s="83"/>
    </row>
    <row r="428" spans="1:34" ht="69.75" customHeight="1" x14ac:dyDescent="0.25">
      <c r="A428" s="874" t="s">
        <v>720</v>
      </c>
      <c r="B428" s="878" t="s">
        <v>739</v>
      </c>
      <c r="C428" s="878" t="s">
        <v>740</v>
      </c>
      <c r="D428" s="324" t="s">
        <v>339</v>
      </c>
      <c r="E428" s="325">
        <v>556207000</v>
      </c>
      <c r="F428" s="325">
        <v>173791767</v>
      </c>
      <c r="G428" s="326"/>
      <c r="H428" s="83"/>
      <c r="I428" s="83"/>
      <c r="J428" s="327"/>
      <c r="K428" s="83"/>
      <c r="L428" s="83"/>
      <c r="M428" s="83"/>
      <c r="N428" s="328"/>
      <c r="O428" s="83"/>
      <c r="P428" s="83"/>
      <c r="Q428" s="83"/>
      <c r="R428" s="83"/>
      <c r="S428" s="83"/>
      <c r="T428" s="83"/>
      <c r="U428" s="83"/>
      <c r="V428" s="83"/>
      <c r="W428" s="83"/>
      <c r="X428" s="83"/>
      <c r="Y428" s="83"/>
      <c r="Z428" s="83"/>
      <c r="AA428" s="83"/>
      <c r="AB428" s="83"/>
      <c r="AC428" s="83"/>
      <c r="AD428" s="83"/>
      <c r="AE428" s="83"/>
      <c r="AF428" s="83"/>
      <c r="AG428" s="83"/>
      <c r="AH428" s="83"/>
    </row>
    <row r="429" spans="1:34" ht="69.75" customHeight="1" x14ac:dyDescent="0.25">
      <c r="A429" s="829"/>
      <c r="B429" s="710"/>
      <c r="C429" s="710"/>
      <c r="D429" s="324" t="s">
        <v>349</v>
      </c>
      <c r="E429" s="325">
        <v>172920000</v>
      </c>
      <c r="F429" s="325">
        <v>56631300</v>
      </c>
      <c r="G429" s="326"/>
      <c r="H429" s="83"/>
      <c r="I429" s="83"/>
      <c r="J429" s="327"/>
      <c r="K429" s="83"/>
      <c r="L429" s="83"/>
      <c r="M429" s="83"/>
      <c r="N429" s="328"/>
      <c r="O429" s="83"/>
      <c r="P429" s="83"/>
      <c r="Q429" s="83"/>
      <c r="R429" s="83"/>
      <c r="S429" s="83"/>
      <c r="T429" s="83"/>
      <c r="U429" s="83"/>
      <c r="V429" s="83"/>
      <c r="W429" s="83"/>
      <c r="X429" s="83"/>
      <c r="Y429" s="83"/>
      <c r="Z429" s="83"/>
      <c r="AA429" s="83"/>
      <c r="AB429" s="83"/>
      <c r="AC429" s="83"/>
      <c r="AD429" s="83"/>
      <c r="AE429" s="83"/>
      <c r="AF429" s="83"/>
      <c r="AG429" s="83"/>
      <c r="AH429" s="83"/>
    </row>
    <row r="430" spans="1:34" ht="69.75" customHeight="1" x14ac:dyDescent="0.25">
      <c r="A430" s="829"/>
      <c r="B430" s="731"/>
      <c r="C430" s="731"/>
      <c r="D430" s="324" t="s">
        <v>351</v>
      </c>
      <c r="E430" s="325">
        <v>27200000</v>
      </c>
      <c r="F430" s="325">
        <v>10245333</v>
      </c>
      <c r="G430" s="326"/>
      <c r="H430" s="83"/>
      <c r="I430" s="83"/>
      <c r="J430" s="327"/>
      <c r="K430" s="83"/>
      <c r="L430" s="83"/>
      <c r="M430" s="83"/>
      <c r="N430" s="328"/>
      <c r="O430" s="83"/>
      <c r="P430" s="83"/>
      <c r="Q430" s="83"/>
      <c r="R430" s="83"/>
      <c r="S430" s="83"/>
      <c r="T430" s="83"/>
      <c r="U430" s="83"/>
      <c r="V430" s="83"/>
      <c r="W430" s="83"/>
      <c r="X430" s="83"/>
      <c r="Y430" s="83"/>
      <c r="Z430" s="83"/>
      <c r="AA430" s="83"/>
      <c r="AB430" s="83"/>
      <c r="AC430" s="83"/>
      <c r="AD430" s="83"/>
      <c r="AE430" s="83"/>
      <c r="AF430" s="83"/>
      <c r="AG430" s="83"/>
      <c r="AH430" s="83"/>
    </row>
    <row r="431" spans="1:34" ht="69.75" customHeight="1" x14ac:dyDescent="0.25">
      <c r="A431" s="829"/>
      <c r="B431" s="749" t="s">
        <v>743</v>
      </c>
      <c r="C431" s="749" t="s">
        <v>744</v>
      </c>
      <c r="D431" s="329" t="s">
        <v>354</v>
      </c>
      <c r="E431" s="325">
        <v>67897116</v>
      </c>
      <c r="F431" s="325">
        <v>20207500</v>
      </c>
      <c r="G431" s="326"/>
      <c r="H431" s="83"/>
      <c r="I431" s="83"/>
      <c r="J431" s="327"/>
      <c r="K431" s="83"/>
      <c r="L431" s="83"/>
      <c r="M431" s="83"/>
      <c r="N431" s="328"/>
      <c r="O431" s="83"/>
      <c r="P431" s="83"/>
      <c r="Q431" s="83"/>
      <c r="R431" s="83"/>
      <c r="S431" s="83"/>
      <c r="T431" s="83"/>
      <c r="U431" s="83"/>
      <c r="V431" s="83"/>
      <c r="W431" s="83"/>
      <c r="X431" s="83"/>
      <c r="Y431" s="83"/>
      <c r="Z431" s="83"/>
      <c r="AA431" s="83"/>
      <c r="AB431" s="83"/>
      <c r="AC431" s="83"/>
      <c r="AD431" s="83"/>
      <c r="AE431" s="83"/>
      <c r="AF431" s="83"/>
      <c r="AG431" s="83"/>
      <c r="AH431" s="83"/>
    </row>
    <row r="432" spans="1:34" ht="69.75" customHeight="1" x14ac:dyDescent="0.25">
      <c r="A432" s="829"/>
      <c r="B432" s="710"/>
      <c r="C432" s="710"/>
      <c r="D432" s="329" t="s">
        <v>924</v>
      </c>
      <c r="E432" s="325">
        <v>375068706</v>
      </c>
      <c r="F432" s="325">
        <v>112050666</v>
      </c>
      <c r="G432" s="326"/>
      <c r="H432" s="83"/>
      <c r="I432" s="83"/>
      <c r="J432" s="327"/>
      <c r="K432" s="83"/>
      <c r="L432" s="83"/>
      <c r="M432" s="83"/>
      <c r="N432" s="328"/>
      <c r="O432" s="83"/>
      <c r="P432" s="83"/>
      <c r="Q432" s="83"/>
      <c r="R432" s="83"/>
      <c r="S432" s="83"/>
      <c r="T432" s="83"/>
      <c r="U432" s="83"/>
      <c r="V432" s="83"/>
      <c r="W432" s="83"/>
      <c r="X432" s="83"/>
      <c r="Y432" s="83"/>
      <c r="Z432" s="83"/>
      <c r="AA432" s="83"/>
      <c r="AB432" s="83"/>
      <c r="AC432" s="83"/>
      <c r="AD432" s="83"/>
      <c r="AE432" s="83"/>
      <c r="AF432" s="83"/>
      <c r="AG432" s="83"/>
      <c r="AH432" s="83"/>
    </row>
    <row r="433" spans="1:34" ht="69.75" customHeight="1" x14ac:dyDescent="0.25">
      <c r="A433" s="829"/>
      <c r="B433" s="710"/>
      <c r="C433" s="710"/>
      <c r="D433" s="329" t="s">
        <v>925</v>
      </c>
      <c r="E433" s="325">
        <v>313790000</v>
      </c>
      <c r="F433" s="325">
        <v>108041800</v>
      </c>
      <c r="G433" s="326"/>
      <c r="H433" s="83"/>
      <c r="I433" s="83"/>
      <c r="J433" s="327"/>
      <c r="K433" s="83"/>
      <c r="L433" s="83"/>
      <c r="M433" s="83"/>
      <c r="N433" s="328"/>
      <c r="O433" s="83"/>
      <c r="P433" s="83"/>
      <c r="Q433" s="83"/>
      <c r="R433" s="83"/>
      <c r="S433" s="83"/>
      <c r="T433" s="83"/>
      <c r="U433" s="83"/>
      <c r="V433" s="83"/>
      <c r="W433" s="83"/>
      <c r="X433" s="83"/>
      <c r="Y433" s="83"/>
      <c r="Z433" s="83"/>
      <c r="AA433" s="83"/>
      <c r="AB433" s="83"/>
      <c r="AC433" s="83"/>
      <c r="AD433" s="83"/>
      <c r="AE433" s="83"/>
      <c r="AF433" s="83"/>
      <c r="AG433" s="83"/>
      <c r="AH433" s="83"/>
    </row>
    <row r="434" spans="1:34" ht="69.75" customHeight="1" x14ac:dyDescent="0.25">
      <c r="A434" s="829"/>
      <c r="B434" s="731"/>
      <c r="C434" s="731"/>
      <c r="D434" s="329" t="s">
        <v>674</v>
      </c>
      <c r="E434" s="330">
        <v>443325000</v>
      </c>
      <c r="F434" s="330">
        <v>146091734</v>
      </c>
      <c r="G434" s="332"/>
      <c r="H434" s="83"/>
      <c r="I434" s="83"/>
      <c r="J434" s="327"/>
      <c r="K434" s="83"/>
      <c r="L434" s="83"/>
      <c r="M434" s="83"/>
      <c r="N434" s="328"/>
      <c r="O434" s="83"/>
      <c r="P434" s="83"/>
      <c r="Q434" s="83"/>
      <c r="R434" s="83"/>
      <c r="S434" s="83"/>
      <c r="T434" s="83"/>
      <c r="U434" s="83"/>
      <c r="V434" s="83"/>
      <c r="W434" s="83"/>
      <c r="X434" s="83"/>
      <c r="Y434" s="83"/>
      <c r="Z434" s="83"/>
      <c r="AA434" s="83"/>
      <c r="AB434" s="83"/>
      <c r="AC434" s="83"/>
      <c r="AD434" s="83"/>
      <c r="AE434" s="83"/>
      <c r="AF434" s="83"/>
      <c r="AG434" s="83"/>
      <c r="AH434" s="83"/>
    </row>
    <row r="435" spans="1:34" ht="69.75" customHeight="1" x14ac:dyDescent="0.25">
      <c r="A435" s="829"/>
      <c r="B435" s="30" t="s">
        <v>747</v>
      </c>
      <c r="C435" s="30" t="s">
        <v>748</v>
      </c>
      <c r="D435" s="329" t="s">
        <v>926</v>
      </c>
      <c r="E435" s="325">
        <v>222016000</v>
      </c>
      <c r="F435" s="325">
        <v>64739434</v>
      </c>
      <c r="G435" s="326"/>
      <c r="H435" s="83"/>
      <c r="I435" s="83"/>
      <c r="J435" s="327"/>
      <c r="K435" s="83"/>
      <c r="L435" s="83"/>
      <c r="M435" s="83"/>
      <c r="N435" s="328"/>
      <c r="O435" s="83"/>
      <c r="P435" s="83"/>
      <c r="Q435" s="83"/>
      <c r="R435" s="83"/>
      <c r="S435" s="83"/>
      <c r="T435" s="83"/>
      <c r="U435" s="83"/>
      <c r="V435" s="83"/>
      <c r="W435" s="83"/>
      <c r="X435" s="83"/>
      <c r="Y435" s="83"/>
      <c r="Z435" s="83"/>
      <c r="AA435" s="83"/>
      <c r="AB435" s="83"/>
      <c r="AC435" s="83"/>
      <c r="AD435" s="83"/>
      <c r="AE435" s="83"/>
      <c r="AF435" s="83"/>
      <c r="AG435" s="83"/>
      <c r="AH435" s="83"/>
    </row>
    <row r="436" spans="1:34" ht="69.75" customHeight="1" x14ac:dyDescent="0.25">
      <c r="A436" s="823"/>
      <c r="B436" s="30" t="s">
        <v>751</v>
      </c>
      <c r="C436" s="30" t="s">
        <v>752</v>
      </c>
      <c r="D436" s="329" t="s">
        <v>370</v>
      </c>
      <c r="E436" s="325">
        <v>754641627</v>
      </c>
      <c r="F436" s="325">
        <v>192001861</v>
      </c>
      <c r="G436" s="326"/>
      <c r="H436" s="83"/>
      <c r="I436" s="83"/>
      <c r="J436" s="327"/>
      <c r="K436" s="83"/>
      <c r="L436" s="83"/>
      <c r="M436" s="83"/>
      <c r="N436" s="328"/>
      <c r="O436" s="83"/>
      <c r="P436" s="83"/>
      <c r="Q436" s="83"/>
      <c r="R436" s="83"/>
      <c r="S436" s="83"/>
      <c r="T436" s="83"/>
      <c r="U436" s="83"/>
      <c r="V436" s="83"/>
      <c r="W436" s="83"/>
      <c r="X436" s="83"/>
      <c r="Y436" s="83"/>
      <c r="Z436" s="83"/>
      <c r="AA436" s="83"/>
      <c r="AB436" s="83"/>
      <c r="AC436" s="83"/>
      <c r="AD436" s="83"/>
      <c r="AE436" s="83"/>
      <c r="AF436" s="83"/>
      <c r="AG436" s="83"/>
      <c r="AH436" s="83"/>
    </row>
    <row r="437" spans="1:34" ht="69.75" customHeight="1" x14ac:dyDescent="0.25">
      <c r="A437" s="874" t="s">
        <v>707</v>
      </c>
      <c r="B437" s="878" t="s">
        <v>739</v>
      </c>
      <c r="C437" s="878" t="s">
        <v>740</v>
      </c>
      <c r="D437" s="324" t="s">
        <v>339</v>
      </c>
      <c r="E437" s="325">
        <v>556207000</v>
      </c>
      <c r="F437" s="325">
        <v>225108767</v>
      </c>
      <c r="G437" s="326"/>
      <c r="H437" s="83"/>
      <c r="I437" s="83"/>
      <c r="J437" s="327"/>
      <c r="K437" s="83"/>
      <c r="L437" s="83"/>
      <c r="M437" s="83"/>
      <c r="N437" s="328"/>
      <c r="O437" s="83"/>
      <c r="P437" s="83"/>
      <c r="Q437" s="83"/>
      <c r="R437" s="83"/>
      <c r="S437" s="83"/>
      <c r="T437" s="83"/>
      <c r="U437" s="83"/>
      <c r="V437" s="83"/>
      <c r="W437" s="83"/>
      <c r="X437" s="83"/>
      <c r="Y437" s="83"/>
      <c r="Z437" s="83"/>
      <c r="AA437" s="83"/>
      <c r="AB437" s="83"/>
      <c r="AC437" s="83"/>
      <c r="AD437" s="83"/>
      <c r="AE437" s="83"/>
      <c r="AF437" s="83"/>
      <c r="AG437" s="83"/>
      <c r="AH437" s="83"/>
    </row>
    <row r="438" spans="1:34" ht="69.75" customHeight="1" x14ac:dyDescent="0.25">
      <c r="A438" s="829"/>
      <c r="B438" s="710"/>
      <c r="C438" s="710"/>
      <c r="D438" s="324" t="s">
        <v>349</v>
      </c>
      <c r="E438" s="325">
        <v>172920000</v>
      </c>
      <c r="F438" s="325">
        <v>73923300</v>
      </c>
      <c r="G438" s="326"/>
      <c r="H438" s="83"/>
      <c r="I438" s="83"/>
      <c r="J438" s="327"/>
      <c r="K438" s="83"/>
      <c r="L438" s="83"/>
      <c r="M438" s="83"/>
      <c r="N438" s="328"/>
      <c r="O438" s="83"/>
      <c r="P438" s="83"/>
      <c r="Q438" s="83"/>
      <c r="R438" s="83"/>
      <c r="S438" s="83"/>
      <c r="T438" s="83"/>
      <c r="U438" s="83"/>
      <c r="V438" s="83"/>
      <c r="W438" s="83"/>
      <c r="X438" s="83"/>
      <c r="Y438" s="83"/>
      <c r="Z438" s="83"/>
      <c r="AA438" s="83"/>
      <c r="AB438" s="83"/>
      <c r="AC438" s="83"/>
      <c r="AD438" s="83"/>
      <c r="AE438" s="83"/>
      <c r="AF438" s="83"/>
      <c r="AG438" s="83"/>
      <c r="AH438" s="83"/>
    </row>
    <row r="439" spans="1:34" ht="69.75" customHeight="1" x14ac:dyDescent="0.25">
      <c r="A439" s="829"/>
      <c r="B439" s="731"/>
      <c r="C439" s="731"/>
      <c r="D439" s="324" t="s">
        <v>351</v>
      </c>
      <c r="E439" s="325">
        <v>27200000</v>
      </c>
      <c r="F439" s="325">
        <v>12965333</v>
      </c>
      <c r="G439" s="326"/>
      <c r="H439" s="83"/>
      <c r="I439" s="83"/>
      <c r="J439" s="327"/>
      <c r="K439" s="83"/>
      <c r="L439" s="83"/>
      <c r="M439" s="83"/>
      <c r="N439" s="328"/>
      <c r="O439" s="83"/>
      <c r="P439" s="83"/>
      <c r="Q439" s="83"/>
      <c r="R439" s="83"/>
      <c r="S439" s="83"/>
      <c r="T439" s="83"/>
      <c r="U439" s="83"/>
      <c r="V439" s="83"/>
      <c r="W439" s="83"/>
      <c r="X439" s="83"/>
      <c r="Y439" s="83"/>
      <c r="Z439" s="83"/>
      <c r="AA439" s="83"/>
      <c r="AB439" s="83"/>
      <c r="AC439" s="83"/>
      <c r="AD439" s="83"/>
      <c r="AE439" s="83"/>
      <c r="AF439" s="83"/>
      <c r="AG439" s="83"/>
      <c r="AH439" s="83"/>
    </row>
    <row r="440" spans="1:34" ht="69.75" customHeight="1" x14ac:dyDescent="0.25">
      <c r="A440" s="829"/>
      <c r="B440" s="749" t="s">
        <v>743</v>
      </c>
      <c r="C440" s="749" t="s">
        <v>744</v>
      </c>
      <c r="D440" s="329" t="s">
        <v>354</v>
      </c>
      <c r="E440" s="325">
        <v>67897116</v>
      </c>
      <c r="F440" s="325">
        <v>28290500</v>
      </c>
      <c r="G440" s="326"/>
      <c r="H440" s="83"/>
      <c r="I440" s="83"/>
      <c r="J440" s="327"/>
      <c r="K440" s="83"/>
      <c r="L440" s="83"/>
      <c r="M440" s="83"/>
      <c r="N440" s="328"/>
      <c r="O440" s="83"/>
      <c r="P440" s="83"/>
      <c r="Q440" s="83"/>
      <c r="R440" s="83"/>
      <c r="S440" s="83"/>
      <c r="T440" s="83"/>
      <c r="U440" s="83"/>
      <c r="V440" s="83"/>
      <c r="W440" s="83"/>
      <c r="X440" s="83"/>
      <c r="Y440" s="83"/>
      <c r="Z440" s="83"/>
      <c r="AA440" s="83"/>
      <c r="AB440" s="83"/>
      <c r="AC440" s="83"/>
      <c r="AD440" s="83"/>
      <c r="AE440" s="83"/>
      <c r="AF440" s="83"/>
      <c r="AG440" s="83"/>
      <c r="AH440" s="83"/>
    </row>
    <row r="441" spans="1:34" ht="69.75" customHeight="1" x14ac:dyDescent="0.25">
      <c r="A441" s="829"/>
      <c r="B441" s="710"/>
      <c r="C441" s="710"/>
      <c r="D441" s="329" t="s">
        <v>924</v>
      </c>
      <c r="E441" s="325">
        <v>375068706</v>
      </c>
      <c r="F441" s="325">
        <v>155398666</v>
      </c>
      <c r="G441" s="326"/>
      <c r="H441" s="83"/>
      <c r="I441" s="83"/>
      <c r="J441" s="327"/>
      <c r="K441" s="83"/>
      <c r="L441" s="83"/>
      <c r="M441" s="83"/>
      <c r="N441" s="328"/>
      <c r="O441" s="83"/>
      <c r="P441" s="83"/>
      <c r="Q441" s="83"/>
      <c r="R441" s="83"/>
      <c r="S441" s="83"/>
      <c r="T441" s="83"/>
      <c r="U441" s="83"/>
      <c r="V441" s="83"/>
      <c r="W441" s="83"/>
      <c r="X441" s="83"/>
      <c r="Y441" s="83"/>
      <c r="Z441" s="83"/>
      <c r="AA441" s="83"/>
      <c r="AB441" s="83"/>
      <c r="AC441" s="83"/>
      <c r="AD441" s="83"/>
      <c r="AE441" s="83"/>
      <c r="AF441" s="83"/>
      <c r="AG441" s="83"/>
      <c r="AH441" s="83"/>
    </row>
    <row r="442" spans="1:34" ht="69.75" customHeight="1" x14ac:dyDescent="0.25">
      <c r="A442" s="829"/>
      <c r="B442" s="710"/>
      <c r="C442" s="710"/>
      <c r="D442" s="329" t="s">
        <v>925</v>
      </c>
      <c r="E442" s="325">
        <v>313790000</v>
      </c>
      <c r="F442" s="325">
        <v>135982800</v>
      </c>
      <c r="G442" s="326"/>
      <c r="H442" s="83"/>
      <c r="I442" s="83"/>
      <c r="J442" s="327"/>
      <c r="K442" s="83"/>
      <c r="L442" s="83"/>
      <c r="M442" s="83"/>
      <c r="N442" s="328"/>
      <c r="O442" s="83"/>
      <c r="P442" s="83"/>
      <c r="Q442" s="83"/>
      <c r="R442" s="83"/>
      <c r="S442" s="83"/>
      <c r="T442" s="83"/>
      <c r="U442" s="83"/>
      <c r="V442" s="83"/>
      <c r="W442" s="83"/>
      <c r="X442" s="83"/>
      <c r="Y442" s="83"/>
      <c r="Z442" s="83"/>
      <c r="AA442" s="83"/>
      <c r="AB442" s="83"/>
      <c r="AC442" s="83"/>
      <c r="AD442" s="83"/>
      <c r="AE442" s="83"/>
      <c r="AF442" s="83"/>
      <c r="AG442" s="83"/>
      <c r="AH442" s="83"/>
    </row>
    <row r="443" spans="1:34" ht="69.75" customHeight="1" x14ac:dyDescent="0.25">
      <c r="A443" s="829"/>
      <c r="B443" s="731"/>
      <c r="C443" s="731"/>
      <c r="D443" s="329" t="s">
        <v>674</v>
      </c>
      <c r="E443" s="330">
        <v>443325000</v>
      </c>
      <c r="F443" s="330">
        <v>192585734</v>
      </c>
      <c r="G443" s="332"/>
      <c r="H443" s="83"/>
      <c r="I443" s="83"/>
      <c r="J443" s="327"/>
      <c r="K443" s="83"/>
      <c r="L443" s="83"/>
      <c r="M443" s="83"/>
      <c r="N443" s="328"/>
      <c r="O443" s="83"/>
      <c r="P443" s="83"/>
      <c r="Q443" s="83"/>
      <c r="R443" s="83"/>
      <c r="S443" s="83"/>
      <c r="T443" s="83"/>
      <c r="U443" s="83"/>
      <c r="V443" s="83"/>
      <c r="W443" s="83"/>
      <c r="X443" s="83"/>
      <c r="Y443" s="83"/>
      <c r="Z443" s="83"/>
      <c r="AA443" s="83"/>
      <c r="AB443" s="83"/>
      <c r="AC443" s="83"/>
      <c r="AD443" s="83"/>
      <c r="AE443" s="83"/>
      <c r="AF443" s="83"/>
      <c r="AG443" s="83"/>
      <c r="AH443" s="83"/>
    </row>
    <row r="444" spans="1:34" ht="69.75" customHeight="1" x14ac:dyDescent="0.25">
      <c r="A444" s="829"/>
      <c r="B444" s="30" t="s">
        <v>747</v>
      </c>
      <c r="C444" s="30" t="s">
        <v>748</v>
      </c>
      <c r="D444" s="329" t="s">
        <v>926</v>
      </c>
      <c r="E444" s="325">
        <v>222016000</v>
      </c>
      <c r="F444" s="325">
        <v>86883434</v>
      </c>
      <c r="G444" s="326"/>
      <c r="H444" s="83"/>
      <c r="I444" s="83"/>
      <c r="J444" s="327"/>
      <c r="K444" s="83"/>
      <c r="L444" s="83"/>
      <c r="M444" s="83"/>
      <c r="N444" s="328"/>
      <c r="O444" s="83"/>
      <c r="P444" s="83"/>
      <c r="Q444" s="83"/>
      <c r="R444" s="83"/>
      <c r="S444" s="83"/>
      <c r="T444" s="83"/>
      <c r="U444" s="83"/>
      <c r="V444" s="83"/>
      <c r="W444" s="83"/>
      <c r="X444" s="83"/>
      <c r="Y444" s="83"/>
      <c r="Z444" s="83"/>
      <c r="AA444" s="83"/>
      <c r="AB444" s="83"/>
      <c r="AC444" s="83"/>
      <c r="AD444" s="83"/>
      <c r="AE444" s="83"/>
      <c r="AF444" s="83"/>
      <c r="AG444" s="83"/>
      <c r="AH444" s="83"/>
    </row>
    <row r="445" spans="1:34" ht="69.75" customHeight="1" x14ac:dyDescent="0.25">
      <c r="A445" s="823"/>
      <c r="B445" s="30" t="s">
        <v>751</v>
      </c>
      <c r="C445" s="30" t="s">
        <v>752</v>
      </c>
      <c r="D445" s="329" t="s">
        <v>370</v>
      </c>
      <c r="E445" s="325">
        <v>754641627</v>
      </c>
      <c r="F445" s="325">
        <v>291259304</v>
      </c>
      <c r="G445" s="326"/>
      <c r="H445" s="83"/>
      <c r="I445" s="83"/>
      <c r="J445" s="327"/>
      <c r="K445" s="83"/>
      <c r="L445" s="83"/>
      <c r="M445" s="83"/>
      <c r="N445" s="328"/>
      <c r="O445" s="83"/>
      <c r="P445" s="83"/>
      <c r="Q445" s="83"/>
      <c r="R445" s="83"/>
      <c r="S445" s="83"/>
      <c r="T445" s="83"/>
      <c r="U445" s="83"/>
      <c r="V445" s="83"/>
      <c r="W445" s="83"/>
      <c r="X445" s="83"/>
      <c r="Y445" s="83"/>
      <c r="Z445" s="83"/>
      <c r="AA445" s="83"/>
      <c r="AB445" s="83"/>
      <c r="AC445" s="83"/>
      <c r="AD445" s="83"/>
      <c r="AE445" s="83"/>
      <c r="AF445" s="83"/>
      <c r="AG445" s="83"/>
      <c r="AH445" s="83"/>
    </row>
    <row r="446" spans="1:34" ht="69.75" customHeight="1" x14ac:dyDescent="0.25">
      <c r="A446" s="874" t="s">
        <v>708</v>
      </c>
      <c r="B446" s="878" t="s">
        <v>739</v>
      </c>
      <c r="C446" s="878" t="s">
        <v>740</v>
      </c>
      <c r="D446" s="324" t="s">
        <v>339</v>
      </c>
      <c r="E446" s="325">
        <v>605339000</v>
      </c>
      <c r="F446" s="325">
        <v>276425767</v>
      </c>
      <c r="G446" s="326"/>
      <c r="H446" s="83"/>
      <c r="I446" s="83"/>
      <c r="J446" s="327"/>
      <c r="K446" s="83"/>
      <c r="L446" s="83"/>
      <c r="M446" s="83"/>
      <c r="N446" s="328"/>
      <c r="O446" s="83"/>
      <c r="P446" s="83"/>
      <c r="Q446" s="83"/>
      <c r="R446" s="83"/>
      <c r="S446" s="83"/>
      <c r="T446" s="83"/>
      <c r="U446" s="83"/>
      <c r="V446" s="83"/>
      <c r="W446" s="83"/>
      <c r="X446" s="83"/>
      <c r="Y446" s="83"/>
      <c r="Z446" s="83"/>
      <c r="AA446" s="83"/>
      <c r="AB446" s="83"/>
      <c r="AC446" s="83"/>
      <c r="AD446" s="83"/>
      <c r="AE446" s="83"/>
      <c r="AF446" s="83"/>
      <c r="AG446" s="83"/>
      <c r="AH446" s="83"/>
    </row>
    <row r="447" spans="1:34" ht="69.75" customHeight="1" x14ac:dyDescent="0.25">
      <c r="A447" s="829"/>
      <c r="B447" s="710"/>
      <c r="C447" s="710"/>
      <c r="D447" s="324" t="s">
        <v>349</v>
      </c>
      <c r="E447" s="325">
        <v>172920000</v>
      </c>
      <c r="F447" s="325">
        <v>91215300</v>
      </c>
      <c r="G447" s="326"/>
      <c r="H447" s="83"/>
      <c r="I447" s="83"/>
      <c r="J447" s="327"/>
      <c r="K447" s="83"/>
      <c r="L447" s="83"/>
      <c r="M447" s="83"/>
      <c r="N447" s="328"/>
      <c r="O447" s="83"/>
      <c r="P447" s="83"/>
      <c r="Q447" s="83"/>
      <c r="R447" s="83"/>
      <c r="S447" s="83"/>
      <c r="T447" s="83"/>
      <c r="U447" s="83"/>
      <c r="V447" s="83"/>
      <c r="W447" s="83"/>
      <c r="X447" s="83"/>
      <c r="Y447" s="83"/>
      <c r="Z447" s="83"/>
      <c r="AA447" s="83"/>
      <c r="AB447" s="83"/>
      <c r="AC447" s="83"/>
      <c r="AD447" s="83"/>
      <c r="AE447" s="83"/>
      <c r="AF447" s="83"/>
      <c r="AG447" s="83"/>
      <c r="AH447" s="83"/>
    </row>
    <row r="448" spans="1:34" ht="69.75" customHeight="1" x14ac:dyDescent="0.25">
      <c r="A448" s="829"/>
      <c r="B448" s="731"/>
      <c r="C448" s="731"/>
      <c r="D448" s="324" t="s">
        <v>351</v>
      </c>
      <c r="E448" s="325">
        <v>29920000</v>
      </c>
      <c r="F448" s="325">
        <v>15685333</v>
      </c>
      <c r="G448" s="326"/>
      <c r="H448" s="83"/>
      <c r="I448" s="83"/>
      <c r="J448" s="327"/>
      <c r="K448" s="83"/>
      <c r="L448" s="83"/>
      <c r="M448" s="83"/>
      <c r="N448" s="328"/>
      <c r="O448" s="83"/>
      <c r="P448" s="83"/>
      <c r="Q448" s="83"/>
      <c r="R448" s="83"/>
      <c r="S448" s="83"/>
      <c r="T448" s="83"/>
      <c r="U448" s="83"/>
      <c r="V448" s="83"/>
      <c r="W448" s="83"/>
      <c r="X448" s="83"/>
      <c r="Y448" s="83"/>
      <c r="Z448" s="83"/>
      <c r="AA448" s="83"/>
      <c r="AB448" s="83"/>
      <c r="AC448" s="83"/>
      <c r="AD448" s="83"/>
      <c r="AE448" s="83"/>
      <c r="AF448" s="83"/>
      <c r="AG448" s="83"/>
      <c r="AH448" s="83"/>
    </row>
    <row r="449" spans="1:34" ht="69.75" customHeight="1" x14ac:dyDescent="0.25">
      <c r="A449" s="829"/>
      <c r="B449" s="749" t="s">
        <v>743</v>
      </c>
      <c r="C449" s="749" t="s">
        <v>744</v>
      </c>
      <c r="D449" s="329" t="s">
        <v>354</v>
      </c>
      <c r="E449" s="325">
        <v>76788500</v>
      </c>
      <c r="F449" s="325">
        <v>36373500</v>
      </c>
      <c r="G449" s="326"/>
      <c r="H449" s="83"/>
      <c r="I449" s="83"/>
      <c r="J449" s="327"/>
      <c r="K449" s="83"/>
      <c r="L449" s="83"/>
      <c r="M449" s="83"/>
      <c r="N449" s="328"/>
      <c r="O449" s="83"/>
      <c r="P449" s="83"/>
      <c r="Q449" s="83"/>
      <c r="R449" s="83"/>
      <c r="S449" s="83"/>
      <c r="T449" s="83"/>
      <c r="U449" s="83"/>
      <c r="V449" s="83"/>
      <c r="W449" s="83"/>
      <c r="X449" s="83"/>
      <c r="Y449" s="83"/>
      <c r="Z449" s="83"/>
      <c r="AA449" s="83"/>
      <c r="AB449" s="83"/>
      <c r="AC449" s="83"/>
      <c r="AD449" s="83"/>
      <c r="AE449" s="83"/>
      <c r="AF449" s="83"/>
      <c r="AG449" s="83"/>
      <c r="AH449" s="83"/>
    </row>
    <row r="450" spans="1:34" ht="69.75" customHeight="1" x14ac:dyDescent="0.25">
      <c r="A450" s="829"/>
      <c r="B450" s="710"/>
      <c r="C450" s="710"/>
      <c r="D450" s="329" t="s">
        <v>924</v>
      </c>
      <c r="E450" s="325">
        <v>734844689</v>
      </c>
      <c r="F450" s="325">
        <v>198746666</v>
      </c>
      <c r="G450" s="326"/>
      <c r="H450" s="83"/>
      <c r="I450" s="83"/>
      <c r="J450" s="327"/>
      <c r="K450" s="83"/>
      <c r="L450" s="83"/>
      <c r="M450" s="83"/>
      <c r="N450" s="328"/>
      <c r="O450" s="83"/>
      <c r="P450" s="83"/>
      <c r="Q450" s="83"/>
      <c r="R450" s="83"/>
      <c r="S450" s="83"/>
      <c r="T450" s="83"/>
      <c r="U450" s="83"/>
      <c r="V450" s="83"/>
      <c r="W450" s="83"/>
      <c r="X450" s="83"/>
      <c r="Y450" s="83"/>
      <c r="Z450" s="83"/>
      <c r="AA450" s="83"/>
      <c r="AB450" s="83"/>
      <c r="AC450" s="83"/>
      <c r="AD450" s="83"/>
      <c r="AE450" s="83"/>
      <c r="AF450" s="83"/>
      <c r="AG450" s="83"/>
      <c r="AH450" s="83"/>
    </row>
    <row r="451" spans="1:34" ht="69.75" customHeight="1" x14ac:dyDescent="0.25">
      <c r="A451" s="829"/>
      <c r="B451" s="710"/>
      <c r="C451" s="710"/>
      <c r="D451" s="329" t="s">
        <v>925</v>
      </c>
      <c r="E451" s="325">
        <v>333790000</v>
      </c>
      <c r="F451" s="325">
        <v>163923800</v>
      </c>
      <c r="G451" s="326"/>
      <c r="H451" s="83"/>
      <c r="I451" s="83"/>
      <c r="J451" s="327"/>
      <c r="K451" s="83"/>
      <c r="L451" s="83"/>
      <c r="M451" s="83"/>
      <c r="N451" s="328"/>
      <c r="O451" s="83"/>
      <c r="P451" s="83"/>
      <c r="Q451" s="83"/>
      <c r="R451" s="83"/>
      <c r="S451" s="83"/>
      <c r="T451" s="83"/>
      <c r="U451" s="83"/>
      <c r="V451" s="83"/>
      <c r="W451" s="83"/>
      <c r="X451" s="83"/>
      <c r="Y451" s="83"/>
      <c r="Z451" s="83"/>
      <c r="AA451" s="83"/>
      <c r="AB451" s="83"/>
      <c r="AC451" s="83"/>
      <c r="AD451" s="83"/>
      <c r="AE451" s="83"/>
      <c r="AF451" s="83"/>
      <c r="AG451" s="83"/>
      <c r="AH451" s="83"/>
    </row>
    <row r="452" spans="1:34" ht="69.75" customHeight="1" x14ac:dyDescent="0.25">
      <c r="A452" s="829"/>
      <c r="B452" s="731"/>
      <c r="C452" s="731"/>
      <c r="D452" s="329" t="s">
        <v>674</v>
      </c>
      <c r="E452" s="330">
        <v>443888000</v>
      </c>
      <c r="F452" s="330">
        <v>239079734</v>
      </c>
      <c r="G452" s="332"/>
      <c r="H452" s="83"/>
      <c r="I452" s="83"/>
      <c r="J452" s="327"/>
      <c r="K452" s="83"/>
      <c r="L452" s="83"/>
      <c r="M452" s="83"/>
      <c r="N452" s="328"/>
      <c r="O452" s="83"/>
      <c r="P452" s="83"/>
      <c r="Q452" s="83"/>
      <c r="R452" s="83"/>
      <c r="S452" s="83"/>
      <c r="T452" s="83"/>
      <c r="U452" s="83"/>
      <c r="V452" s="83"/>
      <c r="W452" s="83"/>
      <c r="X452" s="83"/>
      <c r="Y452" s="83"/>
      <c r="Z452" s="83"/>
      <c r="AA452" s="83"/>
      <c r="AB452" s="83"/>
      <c r="AC452" s="83"/>
      <c r="AD452" s="83"/>
      <c r="AE452" s="83"/>
      <c r="AF452" s="83"/>
      <c r="AG452" s="83"/>
      <c r="AH452" s="83"/>
    </row>
    <row r="453" spans="1:34" ht="69.75" customHeight="1" x14ac:dyDescent="0.25">
      <c r="A453" s="829"/>
      <c r="B453" s="30" t="s">
        <v>747</v>
      </c>
      <c r="C453" s="30" t="s">
        <v>748</v>
      </c>
      <c r="D453" s="329" t="s">
        <v>926</v>
      </c>
      <c r="E453" s="325">
        <v>277709000</v>
      </c>
      <c r="F453" s="325">
        <v>109027434</v>
      </c>
      <c r="G453" s="326"/>
      <c r="H453" s="83"/>
      <c r="I453" s="83"/>
      <c r="J453" s="327"/>
      <c r="K453" s="83"/>
      <c r="L453" s="83"/>
      <c r="M453" s="83"/>
      <c r="N453" s="328"/>
      <c r="O453" s="83"/>
      <c r="P453" s="83"/>
      <c r="Q453" s="83"/>
      <c r="R453" s="83"/>
      <c r="S453" s="83"/>
      <c r="T453" s="83"/>
      <c r="U453" s="83"/>
      <c r="V453" s="83"/>
      <c r="W453" s="83"/>
      <c r="X453" s="83"/>
      <c r="Y453" s="83"/>
      <c r="Z453" s="83"/>
      <c r="AA453" s="83"/>
      <c r="AB453" s="83"/>
      <c r="AC453" s="83"/>
      <c r="AD453" s="83"/>
      <c r="AE453" s="83"/>
      <c r="AF453" s="83"/>
      <c r="AG453" s="83"/>
      <c r="AH453" s="83"/>
    </row>
    <row r="454" spans="1:34" ht="69.75" customHeight="1" x14ac:dyDescent="0.25">
      <c r="A454" s="823"/>
      <c r="B454" s="30" t="s">
        <v>751</v>
      </c>
      <c r="C454" s="30" t="s">
        <v>752</v>
      </c>
      <c r="D454" s="329" t="s">
        <v>370</v>
      </c>
      <c r="E454" s="325">
        <v>779641627</v>
      </c>
      <c r="F454" s="325">
        <v>382449164</v>
      </c>
      <c r="G454" s="326"/>
      <c r="H454" s="83"/>
      <c r="I454" s="83"/>
      <c r="J454" s="327"/>
      <c r="K454" s="83"/>
      <c r="L454" s="83"/>
      <c r="M454" s="83"/>
      <c r="N454" s="328"/>
      <c r="O454" s="83"/>
      <c r="P454" s="83"/>
      <c r="Q454" s="83"/>
      <c r="R454" s="83"/>
      <c r="S454" s="83"/>
      <c r="T454" s="83"/>
      <c r="U454" s="83"/>
      <c r="V454" s="83"/>
      <c r="W454" s="83"/>
      <c r="X454" s="83"/>
      <c r="Y454" s="83"/>
      <c r="Z454" s="83"/>
      <c r="AA454" s="83"/>
      <c r="AB454" s="83"/>
      <c r="AC454" s="83"/>
      <c r="AD454" s="83"/>
      <c r="AE454" s="83"/>
      <c r="AF454" s="83"/>
      <c r="AG454" s="83"/>
      <c r="AH454" s="83"/>
    </row>
    <row r="455" spans="1:34" ht="69.75" customHeight="1" x14ac:dyDescent="0.25">
      <c r="A455" s="874" t="s">
        <v>709</v>
      </c>
      <c r="B455" s="878" t="s">
        <v>739</v>
      </c>
      <c r="C455" s="878" t="s">
        <v>740</v>
      </c>
      <c r="D455" s="324" t="s">
        <v>339</v>
      </c>
      <c r="E455" s="325">
        <v>605339000</v>
      </c>
      <c r="F455" s="325">
        <v>327742767</v>
      </c>
      <c r="G455" s="326"/>
      <c r="H455" s="83"/>
      <c r="I455" s="83"/>
      <c r="J455" s="327"/>
      <c r="K455" s="83"/>
      <c r="L455" s="83"/>
      <c r="M455" s="83"/>
      <c r="N455" s="328"/>
      <c r="O455" s="83"/>
      <c r="P455" s="83"/>
      <c r="Q455" s="83"/>
      <c r="R455" s="83"/>
      <c r="S455" s="83"/>
      <c r="T455" s="83"/>
      <c r="U455" s="83"/>
      <c r="V455" s="83"/>
      <c r="W455" s="83"/>
      <c r="X455" s="83"/>
      <c r="Y455" s="83"/>
      <c r="Z455" s="83"/>
      <c r="AA455" s="83"/>
      <c r="AB455" s="83"/>
      <c r="AC455" s="83"/>
      <c r="AD455" s="83"/>
      <c r="AE455" s="83"/>
      <c r="AF455" s="83"/>
      <c r="AG455" s="83"/>
      <c r="AH455" s="83"/>
    </row>
    <row r="456" spans="1:34" ht="69.75" customHeight="1" x14ac:dyDescent="0.25">
      <c r="A456" s="829"/>
      <c r="B456" s="710"/>
      <c r="C456" s="710"/>
      <c r="D456" s="324" t="s">
        <v>349</v>
      </c>
      <c r="E456" s="325">
        <v>172920000</v>
      </c>
      <c r="F456" s="325">
        <v>108507300</v>
      </c>
      <c r="G456" s="326"/>
      <c r="H456" s="83"/>
      <c r="I456" s="83"/>
      <c r="J456" s="327"/>
      <c r="K456" s="83"/>
      <c r="L456" s="83"/>
      <c r="M456" s="83"/>
      <c r="N456" s="328"/>
      <c r="O456" s="83"/>
      <c r="P456" s="83"/>
      <c r="Q456" s="83"/>
      <c r="R456" s="83"/>
      <c r="S456" s="83"/>
      <c r="T456" s="83"/>
      <c r="U456" s="83"/>
      <c r="V456" s="83"/>
      <c r="W456" s="83"/>
      <c r="X456" s="83"/>
      <c r="Y456" s="83"/>
      <c r="Z456" s="83"/>
      <c r="AA456" s="83"/>
      <c r="AB456" s="83"/>
      <c r="AC456" s="83"/>
      <c r="AD456" s="83"/>
      <c r="AE456" s="83"/>
      <c r="AF456" s="83"/>
      <c r="AG456" s="83"/>
      <c r="AH456" s="83"/>
    </row>
    <row r="457" spans="1:34" ht="69.75" customHeight="1" x14ac:dyDescent="0.25">
      <c r="A457" s="829"/>
      <c r="B457" s="731"/>
      <c r="C457" s="731"/>
      <c r="D457" s="324" t="s">
        <v>351</v>
      </c>
      <c r="E457" s="325">
        <v>29920000</v>
      </c>
      <c r="F457" s="325">
        <v>18405333</v>
      </c>
      <c r="G457" s="326"/>
      <c r="H457" s="83"/>
      <c r="I457" s="83"/>
      <c r="J457" s="327"/>
      <c r="K457" s="83"/>
      <c r="L457" s="83"/>
      <c r="M457" s="83"/>
      <c r="N457" s="328"/>
      <c r="O457" s="83"/>
      <c r="P457" s="83"/>
      <c r="Q457" s="83"/>
      <c r="R457" s="83"/>
      <c r="S457" s="83"/>
      <c r="T457" s="83"/>
      <c r="U457" s="83"/>
      <c r="V457" s="83"/>
      <c r="W457" s="83"/>
      <c r="X457" s="83"/>
      <c r="Y457" s="83"/>
      <c r="Z457" s="83"/>
      <c r="AA457" s="83"/>
      <c r="AB457" s="83"/>
      <c r="AC457" s="83"/>
      <c r="AD457" s="83"/>
      <c r="AE457" s="83"/>
      <c r="AF457" s="83"/>
      <c r="AG457" s="83"/>
      <c r="AH457" s="83"/>
    </row>
    <row r="458" spans="1:34" ht="69.75" customHeight="1" x14ac:dyDescent="0.25">
      <c r="A458" s="829"/>
      <c r="B458" s="749" t="s">
        <v>743</v>
      </c>
      <c r="C458" s="749" t="s">
        <v>744</v>
      </c>
      <c r="D458" s="329" t="s">
        <v>354</v>
      </c>
      <c r="E458" s="325">
        <v>76788500</v>
      </c>
      <c r="F458" s="325">
        <v>44456500</v>
      </c>
      <c r="G458" s="326"/>
      <c r="H458" s="83"/>
      <c r="I458" s="83"/>
      <c r="J458" s="327"/>
      <c r="K458" s="83"/>
      <c r="L458" s="83"/>
      <c r="M458" s="83"/>
      <c r="N458" s="328"/>
      <c r="O458" s="83"/>
      <c r="P458" s="83"/>
      <c r="Q458" s="83"/>
      <c r="R458" s="83"/>
      <c r="S458" s="83"/>
      <c r="T458" s="83"/>
      <c r="U458" s="83"/>
      <c r="V458" s="83"/>
      <c r="W458" s="83"/>
      <c r="X458" s="83"/>
      <c r="Y458" s="83"/>
      <c r="Z458" s="83"/>
      <c r="AA458" s="83"/>
      <c r="AB458" s="83"/>
      <c r="AC458" s="83"/>
      <c r="AD458" s="83"/>
      <c r="AE458" s="83"/>
      <c r="AF458" s="83"/>
      <c r="AG458" s="83"/>
      <c r="AH458" s="83"/>
    </row>
    <row r="459" spans="1:34" ht="69.75" customHeight="1" x14ac:dyDescent="0.25">
      <c r="A459" s="829"/>
      <c r="B459" s="710"/>
      <c r="C459" s="710"/>
      <c r="D459" s="329" t="s">
        <v>924</v>
      </c>
      <c r="E459" s="325">
        <v>734844689</v>
      </c>
      <c r="F459" s="325">
        <v>242094666</v>
      </c>
      <c r="G459" s="326"/>
      <c r="H459" s="83"/>
      <c r="I459" s="83"/>
      <c r="J459" s="327"/>
      <c r="K459" s="83"/>
      <c r="L459" s="83"/>
      <c r="M459" s="83"/>
      <c r="N459" s="328"/>
      <c r="O459" s="83"/>
      <c r="P459" s="83"/>
      <c r="Q459" s="83"/>
      <c r="R459" s="83"/>
      <c r="S459" s="83"/>
      <c r="T459" s="83"/>
      <c r="U459" s="83"/>
      <c r="V459" s="83"/>
      <c r="W459" s="83"/>
      <c r="X459" s="83"/>
      <c r="Y459" s="83"/>
      <c r="Z459" s="83"/>
      <c r="AA459" s="83"/>
      <c r="AB459" s="83"/>
      <c r="AC459" s="83"/>
      <c r="AD459" s="83"/>
      <c r="AE459" s="83"/>
      <c r="AF459" s="83"/>
      <c r="AG459" s="83"/>
      <c r="AH459" s="83"/>
    </row>
    <row r="460" spans="1:34" ht="69.75" customHeight="1" x14ac:dyDescent="0.25">
      <c r="A460" s="829"/>
      <c r="B460" s="710"/>
      <c r="C460" s="710"/>
      <c r="D460" s="329" t="s">
        <v>925</v>
      </c>
      <c r="E460" s="325">
        <v>333790000</v>
      </c>
      <c r="F460" s="325">
        <v>195302800</v>
      </c>
      <c r="G460" s="326"/>
      <c r="H460" s="83"/>
      <c r="I460" s="83"/>
      <c r="J460" s="327"/>
      <c r="K460" s="83"/>
      <c r="L460" s="83"/>
      <c r="M460" s="83"/>
      <c r="N460" s="328"/>
      <c r="O460" s="83"/>
      <c r="P460" s="83"/>
      <c r="Q460" s="83"/>
      <c r="R460" s="83"/>
      <c r="S460" s="83"/>
      <c r="T460" s="83"/>
      <c r="U460" s="83"/>
      <c r="V460" s="83"/>
      <c r="W460" s="83"/>
      <c r="X460" s="83"/>
      <c r="Y460" s="83"/>
      <c r="Z460" s="83"/>
      <c r="AA460" s="83"/>
      <c r="AB460" s="83"/>
      <c r="AC460" s="83"/>
      <c r="AD460" s="83"/>
      <c r="AE460" s="83"/>
      <c r="AF460" s="83"/>
      <c r="AG460" s="83"/>
      <c r="AH460" s="83"/>
    </row>
    <row r="461" spans="1:34" ht="69.75" customHeight="1" x14ac:dyDescent="0.25">
      <c r="A461" s="829"/>
      <c r="B461" s="731"/>
      <c r="C461" s="731"/>
      <c r="D461" s="329" t="s">
        <v>674</v>
      </c>
      <c r="E461" s="330">
        <v>443888000</v>
      </c>
      <c r="F461" s="330">
        <v>281250734</v>
      </c>
      <c r="G461" s="332"/>
      <c r="H461" s="83"/>
      <c r="I461" s="83"/>
      <c r="J461" s="327"/>
      <c r="K461" s="83"/>
      <c r="L461" s="83"/>
      <c r="M461" s="83"/>
      <c r="N461" s="328"/>
      <c r="O461" s="83"/>
      <c r="P461" s="83"/>
      <c r="Q461" s="83"/>
      <c r="R461" s="83"/>
      <c r="S461" s="83"/>
      <c r="T461" s="83"/>
      <c r="U461" s="83"/>
      <c r="V461" s="83"/>
      <c r="W461" s="83"/>
      <c r="X461" s="83"/>
      <c r="Y461" s="83"/>
      <c r="Z461" s="83"/>
      <c r="AA461" s="83"/>
      <c r="AB461" s="83"/>
      <c r="AC461" s="83"/>
      <c r="AD461" s="83"/>
      <c r="AE461" s="83"/>
      <c r="AF461" s="83"/>
      <c r="AG461" s="83"/>
      <c r="AH461" s="83"/>
    </row>
    <row r="462" spans="1:34" ht="69.75" customHeight="1" x14ac:dyDescent="0.25">
      <c r="A462" s="829"/>
      <c r="B462" s="30" t="s">
        <v>747</v>
      </c>
      <c r="C462" s="30" t="s">
        <v>748</v>
      </c>
      <c r="D462" s="329" t="s">
        <v>926</v>
      </c>
      <c r="E462" s="325">
        <v>277709000</v>
      </c>
      <c r="F462" s="325">
        <v>135160101</v>
      </c>
      <c r="G462" s="326"/>
      <c r="H462" s="83"/>
      <c r="I462" s="83"/>
      <c r="J462" s="327"/>
      <c r="K462" s="83"/>
      <c r="L462" s="83"/>
      <c r="M462" s="83"/>
      <c r="N462" s="328"/>
      <c r="O462" s="83"/>
      <c r="P462" s="83"/>
      <c r="Q462" s="83"/>
      <c r="R462" s="83"/>
      <c r="S462" s="83"/>
      <c r="T462" s="83"/>
      <c r="U462" s="83"/>
      <c r="V462" s="83"/>
      <c r="W462" s="83"/>
      <c r="X462" s="83"/>
      <c r="Y462" s="83"/>
      <c r="Z462" s="83"/>
      <c r="AA462" s="83"/>
      <c r="AB462" s="83"/>
      <c r="AC462" s="83"/>
      <c r="AD462" s="83"/>
      <c r="AE462" s="83"/>
      <c r="AF462" s="83"/>
      <c r="AG462" s="83"/>
      <c r="AH462" s="83"/>
    </row>
    <row r="463" spans="1:34" ht="42.75" customHeight="1" x14ac:dyDescent="0.25">
      <c r="A463" s="823"/>
      <c r="B463" s="30" t="s">
        <v>751</v>
      </c>
      <c r="C463" s="30" t="s">
        <v>752</v>
      </c>
      <c r="D463" s="329" t="s">
        <v>370</v>
      </c>
      <c r="E463" s="325">
        <v>779641627</v>
      </c>
      <c r="F463" s="325">
        <v>454216764</v>
      </c>
      <c r="G463" s="326"/>
      <c r="H463" s="83"/>
      <c r="I463" s="83"/>
      <c r="J463" s="327"/>
      <c r="K463" s="83"/>
      <c r="L463" s="83"/>
      <c r="M463" s="83"/>
      <c r="N463" s="328"/>
      <c r="O463" s="83"/>
      <c r="P463" s="83"/>
      <c r="Q463" s="83"/>
      <c r="R463" s="83"/>
      <c r="S463" s="83"/>
      <c r="T463" s="83"/>
      <c r="U463" s="83"/>
      <c r="V463" s="83"/>
      <c r="W463" s="83"/>
      <c r="X463" s="83"/>
      <c r="Y463" s="83"/>
      <c r="Z463" s="83"/>
      <c r="AA463" s="83"/>
      <c r="AB463" s="83"/>
      <c r="AC463" s="83"/>
      <c r="AD463" s="83"/>
      <c r="AE463" s="83"/>
      <c r="AF463" s="83"/>
      <c r="AG463" s="83"/>
      <c r="AH463" s="83"/>
    </row>
    <row r="464" spans="1:34" ht="69.75" customHeight="1" x14ac:dyDescent="0.25">
      <c r="A464" s="874" t="s">
        <v>710</v>
      </c>
      <c r="B464" s="878" t="s">
        <v>739</v>
      </c>
      <c r="C464" s="878" t="s">
        <v>740</v>
      </c>
      <c r="D464" s="324" t="s">
        <v>339</v>
      </c>
      <c r="E464" s="325">
        <v>605339000</v>
      </c>
      <c r="F464" s="325">
        <v>379059767</v>
      </c>
      <c r="G464" s="326"/>
      <c r="H464" s="83"/>
      <c r="I464" s="83"/>
      <c r="J464" s="327"/>
      <c r="K464" s="83"/>
      <c r="L464" s="83"/>
      <c r="M464" s="83"/>
      <c r="N464" s="328"/>
      <c r="O464" s="83"/>
      <c r="P464" s="83"/>
      <c r="Q464" s="83"/>
      <c r="R464" s="83"/>
      <c r="S464" s="83"/>
      <c r="T464" s="83"/>
      <c r="U464" s="83"/>
      <c r="V464" s="83"/>
      <c r="W464" s="83"/>
      <c r="X464" s="83"/>
      <c r="Y464" s="83"/>
      <c r="Z464" s="83"/>
      <c r="AA464" s="83"/>
      <c r="AB464" s="83"/>
      <c r="AC464" s="83"/>
      <c r="AD464" s="83"/>
      <c r="AE464" s="83"/>
      <c r="AF464" s="83"/>
      <c r="AG464" s="83"/>
      <c r="AH464" s="83"/>
    </row>
    <row r="465" spans="1:34" ht="69.75" customHeight="1" x14ac:dyDescent="0.25">
      <c r="A465" s="829"/>
      <c r="B465" s="710"/>
      <c r="C465" s="710"/>
      <c r="D465" s="324" t="s">
        <v>349</v>
      </c>
      <c r="E465" s="325">
        <v>172920000</v>
      </c>
      <c r="F465" s="325">
        <v>125799300</v>
      </c>
      <c r="G465" s="326"/>
      <c r="H465" s="83"/>
      <c r="I465" s="83"/>
      <c r="J465" s="327"/>
      <c r="K465" s="83"/>
      <c r="L465" s="83"/>
      <c r="M465" s="83"/>
      <c r="N465" s="328"/>
      <c r="O465" s="83"/>
      <c r="P465" s="83"/>
      <c r="Q465" s="83"/>
      <c r="R465" s="83"/>
      <c r="S465" s="83"/>
      <c r="T465" s="83"/>
      <c r="U465" s="83"/>
      <c r="V465" s="83"/>
      <c r="W465" s="83"/>
      <c r="X465" s="83"/>
      <c r="Y465" s="83"/>
      <c r="Z465" s="83"/>
      <c r="AA465" s="83"/>
      <c r="AB465" s="83"/>
      <c r="AC465" s="83"/>
      <c r="AD465" s="83"/>
      <c r="AE465" s="83"/>
      <c r="AF465" s="83"/>
      <c r="AG465" s="83"/>
      <c r="AH465" s="83"/>
    </row>
    <row r="466" spans="1:34" ht="69.75" customHeight="1" x14ac:dyDescent="0.25">
      <c r="A466" s="829"/>
      <c r="B466" s="731"/>
      <c r="C466" s="731"/>
      <c r="D466" s="324" t="s">
        <v>351</v>
      </c>
      <c r="E466" s="325">
        <v>29920000</v>
      </c>
      <c r="F466" s="325">
        <v>21125333</v>
      </c>
      <c r="G466" s="326"/>
      <c r="H466" s="83"/>
      <c r="I466" s="83"/>
      <c r="J466" s="327"/>
      <c r="K466" s="83"/>
      <c r="L466" s="83"/>
      <c r="M466" s="83"/>
      <c r="N466" s="328"/>
      <c r="O466" s="83"/>
      <c r="P466" s="83"/>
      <c r="Q466" s="83"/>
      <c r="R466" s="83"/>
      <c r="S466" s="83"/>
      <c r="T466" s="83"/>
      <c r="U466" s="83"/>
      <c r="V466" s="83"/>
      <c r="W466" s="83"/>
      <c r="X466" s="83"/>
      <c r="Y466" s="83"/>
      <c r="Z466" s="83"/>
      <c r="AA466" s="83"/>
      <c r="AB466" s="83"/>
      <c r="AC466" s="83"/>
      <c r="AD466" s="83"/>
      <c r="AE466" s="83"/>
      <c r="AF466" s="83"/>
      <c r="AG466" s="83"/>
      <c r="AH466" s="83"/>
    </row>
    <row r="467" spans="1:34" ht="69.75" customHeight="1" x14ac:dyDescent="0.25">
      <c r="A467" s="829"/>
      <c r="B467" s="749" t="s">
        <v>743</v>
      </c>
      <c r="C467" s="749" t="s">
        <v>744</v>
      </c>
      <c r="D467" s="329" t="s">
        <v>354</v>
      </c>
      <c r="E467" s="325">
        <v>76788500</v>
      </c>
      <c r="F467" s="325">
        <v>52539500</v>
      </c>
      <c r="G467" s="326"/>
      <c r="H467" s="83"/>
      <c r="I467" s="83"/>
      <c r="J467" s="327"/>
      <c r="K467" s="83"/>
      <c r="L467" s="83"/>
      <c r="M467" s="83"/>
      <c r="N467" s="328"/>
      <c r="O467" s="83"/>
      <c r="P467" s="83"/>
      <c r="Q467" s="83"/>
      <c r="R467" s="83"/>
      <c r="S467" s="83"/>
      <c r="T467" s="83"/>
      <c r="U467" s="83"/>
      <c r="V467" s="83"/>
      <c r="W467" s="83"/>
      <c r="X467" s="83"/>
      <c r="Y467" s="83"/>
      <c r="Z467" s="83"/>
      <c r="AA467" s="83"/>
      <c r="AB467" s="83"/>
      <c r="AC467" s="83"/>
      <c r="AD467" s="83"/>
      <c r="AE467" s="83"/>
      <c r="AF467" s="83"/>
      <c r="AG467" s="83"/>
      <c r="AH467" s="83"/>
    </row>
    <row r="468" spans="1:34" ht="69.75" customHeight="1" x14ac:dyDescent="0.25">
      <c r="A468" s="829"/>
      <c r="B468" s="710"/>
      <c r="C468" s="710"/>
      <c r="D468" s="329" t="s">
        <v>924</v>
      </c>
      <c r="E468" s="325">
        <v>734844689</v>
      </c>
      <c r="F468" s="325">
        <v>310195333</v>
      </c>
      <c r="G468" s="326"/>
      <c r="H468" s="83"/>
      <c r="I468" s="83"/>
      <c r="J468" s="327"/>
      <c r="K468" s="83"/>
      <c r="L468" s="83"/>
      <c r="M468" s="83"/>
      <c r="N468" s="328"/>
      <c r="O468" s="83"/>
      <c r="P468" s="83"/>
      <c r="Q468" s="83"/>
      <c r="R468" s="83"/>
      <c r="S468" s="83"/>
      <c r="T468" s="83"/>
      <c r="U468" s="83"/>
      <c r="V468" s="83"/>
      <c r="W468" s="83"/>
      <c r="X468" s="83"/>
      <c r="Y468" s="83"/>
      <c r="Z468" s="83"/>
      <c r="AA468" s="83"/>
      <c r="AB468" s="83"/>
      <c r="AC468" s="83"/>
      <c r="AD468" s="83"/>
      <c r="AE468" s="83"/>
      <c r="AF468" s="83"/>
      <c r="AG468" s="83"/>
      <c r="AH468" s="83"/>
    </row>
    <row r="469" spans="1:34" ht="69.75" customHeight="1" x14ac:dyDescent="0.25">
      <c r="A469" s="829"/>
      <c r="B469" s="710"/>
      <c r="C469" s="710"/>
      <c r="D469" s="329" t="s">
        <v>925</v>
      </c>
      <c r="E469" s="325">
        <v>333790000</v>
      </c>
      <c r="F469" s="325">
        <v>227025600</v>
      </c>
      <c r="G469" s="326"/>
      <c r="H469" s="83"/>
      <c r="I469" s="83"/>
      <c r="J469" s="327"/>
      <c r="K469" s="83"/>
      <c r="L469" s="83"/>
      <c r="M469" s="83"/>
      <c r="N469" s="328"/>
      <c r="O469" s="83"/>
      <c r="P469" s="83"/>
      <c r="Q469" s="83"/>
      <c r="R469" s="83"/>
      <c r="S469" s="83"/>
      <c r="T469" s="83"/>
      <c r="U469" s="83"/>
      <c r="V469" s="83"/>
      <c r="W469" s="83"/>
      <c r="X469" s="83"/>
      <c r="Y469" s="83"/>
      <c r="Z469" s="83"/>
      <c r="AA469" s="83"/>
      <c r="AB469" s="83"/>
      <c r="AC469" s="83"/>
      <c r="AD469" s="83"/>
      <c r="AE469" s="83"/>
      <c r="AF469" s="83"/>
      <c r="AG469" s="83"/>
      <c r="AH469" s="83"/>
    </row>
    <row r="470" spans="1:34" ht="69.75" customHeight="1" x14ac:dyDescent="0.25">
      <c r="A470" s="829"/>
      <c r="B470" s="731"/>
      <c r="C470" s="731"/>
      <c r="D470" s="329" t="s">
        <v>674</v>
      </c>
      <c r="E470" s="330">
        <v>443888000</v>
      </c>
      <c r="F470" s="330">
        <v>326159634</v>
      </c>
      <c r="G470" s="332"/>
      <c r="H470" s="83"/>
      <c r="I470" s="83"/>
      <c r="J470" s="327"/>
      <c r="K470" s="83"/>
      <c r="L470" s="83"/>
      <c r="M470" s="83"/>
      <c r="N470" s="328"/>
      <c r="O470" s="83"/>
      <c r="P470" s="83"/>
      <c r="Q470" s="83"/>
      <c r="R470" s="83"/>
      <c r="S470" s="83"/>
      <c r="T470" s="83"/>
      <c r="U470" s="83"/>
      <c r="V470" s="83"/>
      <c r="W470" s="83"/>
      <c r="X470" s="83"/>
      <c r="Y470" s="83"/>
      <c r="Z470" s="83"/>
      <c r="AA470" s="83"/>
      <c r="AB470" s="83"/>
      <c r="AC470" s="83"/>
      <c r="AD470" s="83"/>
      <c r="AE470" s="83"/>
      <c r="AF470" s="83"/>
      <c r="AG470" s="83"/>
      <c r="AH470" s="83"/>
    </row>
    <row r="471" spans="1:34" ht="69.75" customHeight="1" x14ac:dyDescent="0.25">
      <c r="A471" s="829"/>
      <c r="B471" s="30" t="s">
        <v>747</v>
      </c>
      <c r="C471" s="30" t="s">
        <v>748</v>
      </c>
      <c r="D471" s="329" t="s">
        <v>926</v>
      </c>
      <c r="E471" s="325">
        <v>277709000</v>
      </c>
      <c r="F471" s="325">
        <v>169864101</v>
      </c>
      <c r="G471" s="326"/>
      <c r="H471" s="83"/>
      <c r="I471" s="83"/>
      <c r="J471" s="327"/>
      <c r="K471" s="83"/>
      <c r="L471" s="83"/>
      <c r="M471" s="83"/>
      <c r="N471" s="328"/>
      <c r="O471" s="83"/>
      <c r="P471" s="83"/>
      <c r="Q471" s="83"/>
      <c r="R471" s="83"/>
      <c r="S471" s="83"/>
      <c r="T471" s="83"/>
      <c r="U471" s="83"/>
      <c r="V471" s="83"/>
      <c r="W471" s="83"/>
      <c r="X471" s="83"/>
      <c r="Y471" s="83"/>
      <c r="Z471" s="83"/>
      <c r="AA471" s="83"/>
      <c r="AB471" s="83"/>
      <c r="AC471" s="83"/>
      <c r="AD471" s="83"/>
      <c r="AE471" s="83"/>
      <c r="AF471" s="83"/>
      <c r="AG471" s="83"/>
      <c r="AH471" s="83"/>
    </row>
    <row r="472" spans="1:34" ht="69.75" customHeight="1" x14ac:dyDescent="0.25">
      <c r="A472" s="823"/>
      <c r="B472" s="30" t="s">
        <v>751</v>
      </c>
      <c r="C472" s="30" t="s">
        <v>752</v>
      </c>
      <c r="D472" s="329" t="s">
        <v>370</v>
      </c>
      <c r="E472" s="325">
        <v>779641627</v>
      </c>
      <c r="F472" s="325">
        <v>520123927</v>
      </c>
      <c r="G472" s="326"/>
      <c r="H472" s="83"/>
      <c r="I472" s="83"/>
      <c r="J472" s="327"/>
      <c r="K472" s="83"/>
      <c r="L472" s="83"/>
      <c r="M472" s="83"/>
      <c r="N472" s="328"/>
      <c r="O472" s="83"/>
      <c r="P472" s="83"/>
      <c r="Q472" s="83"/>
      <c r="R472" s="83"/>
      <c r="S472" s="83"/>
      <c r="T472" s="83"/>
      <c r="U472" s="83"/>
      <c r="V472" s="83"/>
      <c r="W472" s="83"/>
      <c r="X472" s="83"/>
      <c r="Y472" s="83"/>
      <c r="Z472" s="83"/>
      <c r="AA472" s="83"/>
      <c r="AB472" s="83"/>
      <c r="AC472" s="83"/>
      <c r="AD472" s="83"/>
      <c r="AE472" s="83"/>
      <c r="AF472" s="83"/>
      <c r="AG472" s="83"/>
      <c r="AH472" s="83"/>
    </row>
    <row r="473" spans="1:34" ht="69.75" customHeight="1" x14ac:dyDescent="0.25">
      <c r="A473" s="874" t="s">
        <v>712</v>
      </c>
      <c r="B473" s="878" t="s">
        <v>739</v>
      </c>
      <c r="C473" s="878" t="s">
        <v>740</v>
      </c>
      <c r="D473" s="324" t="s">
        <v>339</v>
      </c>
      <c r="E473" s="325">
        <v>605339000</v>
      </c>
      <c r="F473" s="325">
        <v>430376767</v>
      </c>
      <c r="G473" s="326"/>
      <c r="H473" s="83"/>
      <c r="I473" s="83"/>
      <c r="J473" s="327"/>
      <c r="K473" s="83"/>
      <c r="L473" s="83"/>
      <c r="M473" s="83"/>
      <c r="N473" s="328"/>
      <c r="O473" s="83"/>
      <c r="P473" s="83"/>
      <c r="Q473" s="83"/>
      <c r="R473" s="83"/>
      <c r="S473" s="83"/>
      <c r="T473" s="83"/>
      <c r="U473" s="83"/>
      <c r="V473" s="83"/>
      <c r="W473" s="83"/>
      <c r="X473" s="83"/>
      <c r="Y473" s="83"/>
      <c r="Z473" s="83"/>
      <c r="AA473" s="83"/>
      <c r="AB473" s="83"/>
      <c r="AC473" s="83"/>
      <c r="AD473" s="83"/>
      <c r="AE473" s="83"/>
      <c r="AF473" s="83"/>
      <c r="AG473" s="83"/>
      <c r="AH473" s="83"/>
    </row>
    <row r="474" spans="1:34" ht="69.75" customHeight="1" x14ac:dyDescent="0.25">
      <c r="A474" s="829"/>
      <c r="B474" s="710"/>
      <c r="C474" s="710"/>
      <c r="D474" s="324" t="s">
        <v>349</v>
      </c>
      <c r="E474" s="325">
        <v>172920000</v>
      </c>
      <c r="F474" s="325">
        <v>143091300</v>
      </c>
      <c r="G474" s="326"/>
      <c r="H474" s="83"/>
      <c r="I474" s="83"/>
      <c r="J474" s="327"/>
      <c r="K474" s="83"/>
      <c r="L474" s="83"/>
      <c r="M474" s="83"/>
      <c r="N474" s="328"/>
      <c r="O474" s="83"/>
      <c r="P474" s="83"/>
      <c r="Q474" s="83"/>
      <c r="R474" s="83"/>
      <c r="S474" s="83"/>
      <c r="T474" s="83"/>
      <c r="U474" s="83"/>
      <c r="V474" s="83"/>
      <c r="W474" s="83"/>
      <c r="X474" s="83"/>
      <c r="Y474" s="83"/>
      <c r="Z474" s="83"/>
      <c r="AA474" s="83"/>
      <c r="AB474" s="83"/>
      <c r="AC474" s="83"/>
      <c r="AD474" s="83"/>
      <c r="AE474" s="83"/>
      <c r="AF474" s="83"/>
      <c r="AG474" s="83"/>
      <c r="AH474" s="83"/>
    </row>
    <row r="475" spans="1:34" ht="69.75" customHeight="1" x14ac:dyDescent="0.25">
      <c r="A475" s="829"/>
      <c r="B475" s="731"/>
      <c r="C475" s="731"/>
      <c r="D475" s="324" t="s">
        <v>351</v>
      </c>
      <c r="E475" s="325">
        <v>29920000</v>
      </c>
      <c r="F475" s="325">
        <v>23845333</v>
      </c>
      <c r="G475" s="326"/>
      <c r="H475" s="83"/>
      <c r="I475" s="83"/>
      <c r="J475" s="327"/>
      <c r="K475" s="83"/>
      <c r="L475" s="83"/>
      <c r="M475" s="83"/>
      <c r="N475" s="328"/>
      <c r="O475" s="83"/>
      <c r="P475" s="83"/>
      <c r="Q475" s="83"/>
      <c r="R475" s="83"/>
      <c r="S475" s="83"/>
      <c r="T475" s="83"/>
      <c r="U475" s="83"/>
      <c r="V475" s="83"/>
      <c r="W475" s="83"/>
      <c r="X475" s="83"/>
      <c r="Y475" s="83"/>
      <c r="Z475" s="83"/>
      <c r="AA475" s="83"/>
      <c r="AB475" s="83"/>
      <c r="AC475" s="83"/>
      <c r="AD475" s="83"/>
      <c r="AE475" s="83"/>
      <c r="AF475" s="83"/>
      <c r="AG475" s="83"/>
      <c r="AH475" s="83"/>
    </row>
    <row r="476" spans="1:34" ht="69.75" customHeight="1" x14ac:dyDescent="0.25">
      <c r="A476" s="829"/>
      <c r="B476" s="749" t="s">
        <v>743</v>
      </c>
      <c r="C476" s="749" t="s">
        <v>744</v>
      </c>
      <c r="D476" s="329" t="s">
        <v>354</v>
      </c>
      <c r="E476" s="325">
        <v>76788500</v>
      </c>
      <c r="F476" s="325">
        <v>60622500</v>
      </c>
      <c r="G476" s="326"/>
      <c r="H476" s="83"/>
      <c r="I476" s="83"/>
      <c r="J476" s="327"/>
      <c r="K476" s="83"/>
      <c r="L476" s="83"/>
      <c r="M476" s="83"/>
      <c r="N476" s="328"/>
      <c r="O476" s="83"/>
      <c r="P476" s="83"/>
      <c r="Q476" s="83"/>
      <c r="R476" s="83"/>
      <c r="S476" s="83"/>
      <c r="T476" s="83"/>
      <c r="U476" s="83"/>
      <c r="V476" s="83"/>
      <c r="W476" s="83"/>
      <c r="X476" s="83"/>
      <c r="Y476" s="83"/>
      <c r="Z476" s="83"/>
      <c r="AA476" s="83"/>
      <c r="AB476" s="83"/>
      <c r="AC476" s="83"/>
      <c r="AD476" s="83"/>
      <c r="AE476" s="83"/>
      <c r="AF476" s="83"/>
      <c r="AG476" s="83"/>
      <c r="AH476" s="83"/>
    </row>
    <row r="477" spans="1:34" ht="69.75" customHeight="1" x14ac:dyDescent="0.25">
      <c r="A477" s="829"/>
      <c r="B477" s="710"/>
      <c r="C477" s="710"/>
      <c r="D477" s="329" t="s">
        <v>924</v>
      </c>
      <c r="E477" s="325">
        <v>709813189</v>
      </c>
      <c r="F477" s="325">
        <v>420167333</v>
      </c>
      <c r="G477" s="326"/>
      <c r="H477" s="83"/>
      <c r="I477" s="83"/>
      <c r="J477" s="327"/>
      <c r="K477" s="83"/>
      <c r="L477" s="83"/>
      <c r="M477" s="83"/>
      <c r="N477" s="328"/>
      <c r="O477" s="83"/>
      <c r="P477" s="83"/>
      <c r="Q477" s="83"/>
      <c r="R477" s="83"/>
      <c r="S477" s="83"/>
      <c r="T477" s="83"/>
      <c r="U477" s="83"/>
      <c r="V477" s="83"/>
      <c r="W477" s="83"/>
      <c r="X477" s="83"/>
      <c r="Y477" s="83"/>
      <c r="Z477" s="83"/>
      <c r="AA477" s="83"/>
      <c r="AB477" s="83"/>
      <c r="AC477" s="83"/>
      <c r="AD477" s="83"/>
      <c r="AE477" s="83"/>
      <c r="AF477" s="83"/>
      <c r="AG477" s="83"/>
      <c r="AH477" s="83"/>
    </row>
    <row r="478" spans="1:34" ht="69.75" customHeight="1" x14ac:dyDescent="0.25">
      <c r="A478" s="829"/>
      <c r="B478" s="710"/>
      <c r="C478" s="710"/>
      <c r="D478" s="329" t="s">
        <v>925</v>
      </c>
      <c r="E478" s="325">
        <v>333790000</v>
      </c>
      <c r="F478" s="325">
        <v>269177000</v>
      </c>
      <c r="G478" s="326"/>
      <c r="H478" s="83"/>
      <c r="I478" s="83"/>
      <c r="J478" s="327"/>
      <c r="K478" s="83"/>
      <c r="L478" s="83"/>
      <c r="M478" s="83"/>
      <c r="N478" s="328"/>
      <c r="O478" s="83"/>
      <c r="P478" s="83"/>
      <c r="Q478" s="83"/>
      <c r="R478" s="83"/>
      <c r="S478" s="83"/>
      <c r="T478" s="83"/>
      <c r="U478" s="83"/>
      <c r="V478" s="83"/>
      <c r="W478" s="83"/>
      <c r="X478" s="83"/>
      <c r="Y478" s="83"/>
      <c r="Z478" s="83"/>
      <c r="AA478" s="83"/>
      <c r="AB478" s="83"/>
      <c r="AC478" s="83"/>
      <c r="AD478" s="83"/>
      <c r="AE478" s="83"/>
      <c r="AF478" s="83"/>
      <c r="AG478" s="83"/>
      <c r="AH478" s="83"/>
    </row>
    <row r="479" spans="1:34" ht="69.75" customHeight="1" x14ac:dyDescent="0.25">
      <c r="A479" s="829"/>
      <c r="B479" s="731"/>
      <c r="C479" s="731"/>
      <c r="D479" s="329" t="s">
        <v>674</v>
      </c>
      <c r="E479" s="330">
        <v>447929500</v>
      </c>
      <c r="F479" s="330">
        <v>372653634</v>
      </c>
      <c r="G479" s="332"/>
      <c r="H479" s="83"/>
      <c r="I479" s="83"/>
      <c r="J479" s="327"/>
      <c r="K479" s="83"/>
      <c r="L479" s="83"/>
      <c r="M479" s="83"/>
      <c r="N479" s="328"/>
      <c r="O479" s="83"/>
      <c r="P479" s="83"/>
      <c r="Q479" s="83"/>
      <c r="R479" s="83"/>
      <c r="S479" s="83"/>
      <c r="T479" s="83"/>
      <c r="U479" s="83"/>
      <c r="V479" s="83"/>
      <c r="W479" s="83"/>
      <c r="X479" s="83"/>
      <c r="Y479" s="83"/>
      <c r="Z479" s="83"/>
      <c r="AA479" s="83"/>
      <c r="AB479" s="83"/>
      <c r="AC479" s="83"/>
      <c r="AD479" s="83"/>
      <c r="AE479" s="83"/>
      <c r="AF479" s="83"/>
      <c r="AG479" s="83"/>
      <c r="AH479" s="83"/>
    </row>
    <row r="480" spans="1:34" ht="69.75" customHeight="1" x14ac:dyDescent="0.25">
      <c r="A480" s="829"/>
      <c r="B480" s="30" t="s">
        <v>747</v>
      </c>
      <c r="C480" s="30" t="s">
        <v>748</v>
      </c>
      <c r="D480" s="329" t="s">
        <v>926</v>
      </c>
      <c r="E480" s="325">
        <v>277709000</v>
      </c>
      <c r="F480" s="325">
        <v>204568101</v>
      </c>
      <c r="G480" s="326"/>
      <c r="H480" s="83"/>
      <c r="I480" s="83"/>
      <c r="J480" s="327"/>
      <c r="K480" s="83"/>
      <c r="L480" s="83"/>
      <c r="M480" s="83"/>
      <c r="N480" s="328"/>
      <c r="O480" s="83"/>
      <c r="P480" s="83"/>
      <c r="Q480" s="83"/>
      <c r="R480" s="83"/>
      <c r="S480" s="83"/>
      <c r="T480" s="83"/>
      <c r="U480" s="83"/>
      <c r="V480" s="83"/>
      <c r="W480" s="83"/>
      <c r="X480" s="83"/>
      <c r="Y480" s="83"/>
      <c r="Z480" s="83"/>
      <c r="AA480" s="83"/>
      <c r="AB480" s="83"/>
      <c r="AC480" s="83"/>
      <c r="AD480" s="83"/>
      <c r="AE480" s="83"/>
      <c r="AF480" s="83"/>
      <c r="AG480" s="83"/>
      <c r="AH480" s="83"/>
    </row>
    <row r="481" spans="1:34" ht="69.75" customHeight="1" x14ac:dyDescent="0.25">
      <c r="A481" s="823"/>
      <c r="B481" s="30" t="s">
        <v>751</v>
      </c>
      <c r="C481" s="30" t="s">
        <v>752</v>
      </c>
      <c r="D481" s="329" t="s">
        <v>370</v>
      </c>
      <c r="E481" s="325">
        <v>800631627</v>
      </c>
      <c r="F481" s="325">
        <v>589355555</v>
      </c>
      <c r="G481" s="326"/>
      <c r="H481" s="83"/>
      <c r="I481" s="83"/>
      <c r="J481" s="327"/>
      <c r="K481" s="83"/>
      <c r="L481" s="83"/>
      <c r="M481" s="83"/>
      <c r="N481" s="328"/>
      <c r="O481" s="83"/>
      <c r="P481" s="83"/>
      <c r="Q481" s="83"/>
      <c r="R481" s="83"/>
      <c r="S481" s="83"/>
      <c r="T481" s="83"/>
      <c r="U481" s="83"/>
      <c r="V481" s="83"/>
      <c r="W481" s="83"/>
      <c r="X481" s="83"/>
      <c r="Y481" s="83"/>
      <c r="Z481" s="83"/>
      <c r="AA481" s="83"/>
      <c r="AB481" s="83"/>
      <c r="AC481" s="83"/>
      <c r="AD481" s="83"/>
      <c r="AE481" s="83"/>
      <c r="AF481" s="83"/>
      <c r="AG481" s="83"/>
      <c r="AH481" s="83"/>
    </row>
    <row r="482" spans="1:34" ht="69.75" customHeight="1" x14ac:dyDescent="0.25">
      <c r="A482" s="874" t="s">
        <v>715</v>
      </c>
      <c r="B482" s="878" t="s">
        <v>739</v>
      </c>
      <c r="C482" s="878" t="s">
        <v>740</v>
      </c>
      <c r="D482" s="324" t="s">
        <v>339</v>
      </c>
      <c r="E482" s="325">
        <v>971277000</v>
      </c>
      <c r="F482" s="325">
        <v>0</v>
      </c>
      <c r="G482" s="326"/>
      <c r="H482" s="83"/>
      <c r="I482" s="83"/>
      <c r="J482" s="327"/>
      <c r="K482" s="83"/>
      <c r="L482" s="83"/>
      <c r="M482" s="83"/>
      <c r="N482" s="328"/>
      <c r="O482" s="83"/>
      <c r="P482" s="83"/>
      <c r="Q482" s="83"/>
      <c r="R482" s="83"/>
      <c r="S482" s="83"/>
      <c r="T482" s="83"/>
      <c r="U482" s="83"/>
      <c r="V482" s="83"/>
      <c r="W482" s="83"/>
      <c r="X482" s="83"/>
      <c r="Y482" s="83"/>
      <c r="Z482" s="83"/>
      <c r="AA482" s="83"/>
      <c r="AB482" s="83"/>
      <c r="AC482" s="83"/>
      <c r="AD482" s="83"/>
      <c r="AE482" s="83"/>
      <c r="AF482" s="83"/>
      <c r="AG482" s="83"/>
      <c r="AH482" s="83"/>
    </row>
    <row r="483" spans="1:34" ht="69.75" customHeight="1" x14ac:dyDescent="0.25">
      <c r="A483" s="829"/>
      <c r="B483" s="710"/>
      <c r="C483" s="710"/>
      <c r="D483" s="324" t="s">
        <v>349</v>
      </c>
      <c r="E483" s="325">
        <v>132270000</v>
      </c>
      <c r="F483" s="325">
        <v>0</v>
      </c>
      <c r="G483" s="326"/>
      <c r="H483" s="83"/>
      <c r="I483" s="83"/>
      <c r="J483" s="327"/>
      <c r="K483" s="83"/>
      <c r="L483" s="83"/>
      <c r="M483" s="83"/>
      <c r="N483" s="328"/>
      <c r="O483" s="83"/>
      <c r="P483" s="83"/>
      <c r="Q483" s="83"/>
      <c r="R483" s="83"/>
      <c r="S483" s="83"/>
      <c r="T483" s="83"/>
      <c r="U483" s="83"/>
      <c r="V483" s="83"/>
      <c r="W483" s="83"/>
      <c r="X483" s="83"/>
      <c r="Y483" s="83"/>
      <c r="Z483" s="83"/>
      <c r="AA483" s="83"/>
      <c r="AB483" s="83"/>
      <c r="AC483" s="83"/>
      <c r="AD483" s="83"/>
      <c r="AE483" s="83"/>
      <c r="AF483" s="83"/>
      <c r="AG483" s="83"/>
      <c r="AH483" s="83"/>
    </row>
    <row r="484" spans="1:34" ht="69.75" customHeight="1" x14ac:dyDescent="0.25">
      <c r="A484" s="829"/>
      <c r="B484" s="731"/>
      <c r="C484" s="731"/>
      <c r="D484" s="324" t="s">
        <v>351</v>
      </c>
      <c r="E484" s="325">
        <v>30100000</v>
      </c>
      <c r="F484" s="325">
        <v>0</v>
      </c>
      <c r="G484" s="326"/>
      <c r="H484" s="83"/>
      <c r="I484" s="83"/>
      <c r="J484" s="327"/>
      <c r="K484" s="83"/>
      <c r="L484" s="83"/>
      <c r="M484" s="83"/>
      <c r="N484" s="328"/>
      <c r="O484" s="83"/>
      <c r="P484" s="83"/>
      <c r="Q484" s="83"/>
      <c r="R484" s="83"/>
      <c r="S484" s="83"/>
      <c r="T484" s="83"/>
      <c r="U484" s="83"/>
      <c r="V484" s="83"/>
      <c r="W484" s="83"/>
      <c r="X484" s="83"/>
      <c r="Y484" s="83"/>
      <c r="Z484" s="83"/>
      <c r="AA484" s="83"/>
      <c r="AB484" s="83"/>
      <c r="AC484" s="83"/>
      <c r="AD484" s="83"/>
      <c r="AE484" s="83"/>
      <c r="AF484" s="83"/>
      <c r="AG484" s="83"/>
      <c r="AH484" s="83"/>
    </row>
    <row r="485" spans="1:34" ht="69.75" customHeight="1" x14ac:dyDescent="0.25">
      <c r="A485" s="829"/>
      <c r="B485" s="749" t="s">
        <v>743</v>
      </c>
      <c r="C485" s="749" t="s">
        <v>744</v>
      </c>
      <c r="D485" s="329" t="s">
        <v>354</v>
      </c>
      <c r="E485" s="325">
        <v>70434000</v>
      </c>
      <c r="F485" s="325">
        <v>0</v>
      </c>
      <c r="G485" s="326"/>
      <c r="H485" s="83"/>
      <c r="I485" s="83"/>
      <c r="J485" s="327"/>
      <c r="K485" s="83"/>
      <c r="L485" s="83"/>
      <c r="M485" s="83"/>
      <c r="N485" s="328"/>
      <c r="O485" s="83"/>
      <c r="P485" s="83"/>
      <c r="Q485" s="83"/>
      <c r="R485" s="83"/>
      <c r="S485" s="83"/>
      <c r="T485" s="83"/>
      <c r="U485" s="83"/>
      <c r="V485" s="83"/>
      <c r="W485" s="83"/>
      <c r="X485" s="83"/>
      <c r="Y485" s="83"/>
      <c r="Z485" s="83"/>
      <c r="AA485" s="83"/>
      <c r="AB485" s="83"/>
      <c r="AC485" s="83"/>
      <c r="AD485" s="83"/>
      <c r="AE485" s="83"/>
      <c r="AF485" s="83"/>
      <c r="AG485" s="83"/>
      <c r="AH485" s="83"/>
    </row>
    <row r="486" spans="1:34" ht="69.75" customHeight="1" x14ac:dyDescent="0.25">
      <c r="A486" s="829"/>
      <c r="B486" s="710"/>
      <c r="C486" s="710"/>
      <c r="D486" s="329" t="s">
        <v>924</v>
      </c>
      <c r="E486" s="325">
        <v>672748000</v>
      </c>
      <c r="F486" s="325">
        <v>0</v>
      </c>
      <c r="G486" s="326"/>
      <c r="H486" s="83"/>
      <c r="I486" s="83"/>
      <c r="J486" s="327"/>
      <c r="K486" s="83"/>
      <c r="L486" s="83"/>
      <c r="M486" s="83"/>
      <c r="N486" s="328"/>
      <c r="O486" s="83"/>
      <c r="P486" s="83"/>
      <c r="Q486" s="83"/>
      <c r="R486" s="83"/>
      <c r="S486" s="83"/>
      <c r="T486" s="83"/>
      <c r="U486" s="83"/>
      <c r="V486" s="83"/>
      <c r="W486" s="83"/>
      <c r="X486" s="83"/>
      <c r="Y486" s="83"/>
      <c r="Z486" s="83"/>
      <c r="AA486" s="83"/>
      <c r="AB486" s="83"/>
      <c r="AC486" s="83"/>
      <c r="AD486" s="83"/>
      <c r="AE486" s="83"/>
      <c r="AF486" s="83"/>
      <c r="AG486" s="83"/>
      <c r="AH486" s="83"/>
    </row>
    <row r="487" spans="1:34" ht="69.75" customHeight="1" x14ac:dyDescent="0.25">
      <c r="A487" s="829"/>
      <c r="B487" s="710"/>
      <c r="C487" s="710"/>
      <c r="D487" s="329" t="s">
        <v>925</v>
      </c>
      <c r="E487" s="325">
        <v>309585000</v>
      </c>
      <c r="F487" s="325">
        <v>0</v>
      </c>
      <c r="G487" s="326"/>
      <c r="H487" s="83"/>
      <c r="I487" s="83"/>
      <c r="J487" s="327"/>
      <c r="K487" s="83"/>
      <c r="L487" s="83"/>
      <c r="M487" s="83"/>
      <c r="N487" s="328"/>
      <c r="O487" s="83"/>
      <c r="P487" s="83"/>
      <c r="Q487" s="83"/>
      <c r="R487" s="83"/>
      <c r="S487" s="83"/>
      <c r="T487" s="83"/>
      <c r="U487" s="83"/>
      <c r="V487" s="83"/>
      <c r="W487" s="83"/>
      <c r="X487" s="83"/>
      <c r="Y487" s="83"/>
      <c r="Z487" s="83"/>
      <c r="AA487" s="83"/>
      <c r="AB487" s="83"/>
      <c r="AC487" s="83"/>
      <c r="AD487" s="83"/>
      <c r="AE487" s="83"/>
      <c r="AF487" s="83"/>
      <c r="AG487" s="83"/>
      <c r="AH487" s="83"/>
    </row>
    <row r="488" spans="1:34" ht="69.75" customHeight="1" x14ac:dyDescent="0.25">
      <c r="A488" s="829"/>
      <c r="B488" s="731"/>
      <c r="C488" s="731"/>
      <c r="D488" s="329" t="s">
        <v>674</v>
      </c>
      <c r="E488" s="330">
        <v>436082000</v>
      </c>
      <c r="F488" s="325">
        <v>0</v>
      </c>
      <c r="G488" s="332"/>
      <c r="H488" s="83"/>
      <c r="I488" s="83"/>
      <c r="J488" s="327"/>
      <c r="K488" s="83"/>
      <c r="L488" s="83"/>
      <c r="M488" s="83"/>
      <c r="N488" s="328"/>
      <c r="O488" s="83"/>
      <c r="P488" s="83"/>
      <c r="Q488" s="83"/>
      <c r="R488" s="83"/>
      <c r="S488" s="83"/>
      <c r="T488" s="83"/>
      <c r="U488" s="83"/>
      <c r="V488" s="83"/>
      <c r="W488" s="83"/>
      <c r="X488" s="83"/>
      <c r="Y488" s="83"/>
      <c r="Z488" s="83"/>
      <c r="AA488" s="83"/>
      <c r="AB488" s="83"/>
      <c r="AC488" s="83"/>
      <c r="AD488" s="83"/>
      <c r="AE488" s="83"/>
      <c r="AF488" s="83"/>
      <c r="AG488" s="83"/>
      <c r="AH488" s="83"/>
    </row>
    <row r="489" spans="1:34" ht="69.75" customHeight="1" x14ac:dyDescent="0.25">
      <c r="A489" s="829"/>
      <c r="B489" s="30" t="s">
        <v>747</v>
      </c>
      <c r="C489" s="30" t="s">
        <v>748</v>
      </c>
      <c r="D489" s="329" t="s">
        <v>926</v>
      </c>
      <c r="E489" s="325">
        <v>289724000</v>
      </c>
      <c r="F489" s="325">
        <v>0</v>
      </c>
      <c r="G489" s="326"/>
      <c r="H489" s="83"/>
      <c r="I489" s="83"/>
      <c r="J489" s="327"/>
      <c r="K489" s="83"/>
      <c r="L489" s="83"/>
      <c r="M489" s="83"/>
      <c r="N489" s="328"/>
      <c r="O489" s="83"/>
      <c r="P489" s="83"/>
      <c r="Q489" s="83"/>
      <c r="R489" s="83"/>
      <c r="S489" s="83"/>
      <c r="T489" s="83"/>
      <c r="U489" s="83"/>
      <c r="V489" s="83"/>
      <c r="W489" s="83"/>
      <c r="X489" s="83"/>
      <c r="Y489" s="83"/>
      <c r="Z489" s="83"/>
      <c r="AA489" s="83"/>
      <c r="AB489" s="83"/>
      <c r="AC489" s="83"/>
      <c r="AD489" s="83"/>
      <c r="AE489" s="83"/>
      <c r="AF489" s="83"/>
      <c r="AG489" s="83"/>
      <c r="AH489" s="83"/>
    </row>
    <row r="490" spans="1:34" ht="69.75" customHeight="1" x14ac:dyDescent="0.25">
      <c r="A490" s="823"/>
      <c r="B490" s="30" t="s">
        <v>751</v>
      </c>
      <c r="C490" s="30" t="s">
        <v>752</v>
      </c>
      <c r="D490" s="329" t="s">
        <v>370</v>
      </c>
      <c r="E490" s="325">
        <v>783556000</v>
      </c>
      <c r="F490" s="325">
        <v>0</v>
      </c>
      <c r="G490" s="326"/>
      <c r="H490" s="83"/>
      <c r="I490" s="83"/>
      <c r="J490" s="327"/>
      <c r="K490" s="83"/>
      <c r="L490" s="83"/>
      <c r="M490" s="83"/>
      <c r="N490" s="328"/>
      <c r="O490" s="83"/>
      <c r="P490" s="83"/>
      <c r="Q490" s="83"/>
      <c r="R490" s="83"/>
      <c r="S490" s="83"/>
      <c r="T490" s="83"/>
      <c r="U490" s="83"/>
      <c r="V490" s="83"/>
      <c r="W490" s="83"/>
      <c r="X490" s="83"/>
      <c r="Y490" s="83"/>
      <c r="Z490" s="83"/>
      <c r="AA490" s="83"/>
      <c r="AB490" s="83"/>
      <c r="AC490" s="83"/>
      <c r="AD490" s="83"/>
      <c r="AE490" s="83"/>
      <c r="AF490" s="83"/>
      <c r="AG490" s="83"/>
      <c r="AH490" s="83"/>
    </row>
    <row r="491" spans="1:34" ht="69.75" customHeight="1" x14ac:dyDescent="0.25">
      <c r="A491" s="874" t="s">
        <v>716</v>
      </c>
      <c r="B491" s="878" t="s">
        <v>739</v>
      </c>
      <c r="C491" s="878" t="s">
        <v>740</v>
      </c>
      <c r="D491" s="324" t="s">
        <v>339</v>
      </c>
      <c r="E491" s="325">
        <v>971277000</v>
      </c>
      <c r="F491" s="325">
        <v>5150933</v>
      </c>
      <c r="G491" s="326"/>
      <c r="H491" s="83"/>
      <c r="I491" s="83"/>
      <c r="J491" s="327"/>
      <c r="K491" s="83"/>
      <c r="L491" s="83"/>
      <c r="M491" s="83"/>
      <c r="N491" s="328"/>
      <c r="O491" s="83"/>
      <c r="P491" s="83"/>
      <c r="Q491" s="83"/>
      <c r="R491" s="83"/>
      <c r="S491" s="83"/>
      <c r="T491" s="83"/>
      <c r="U491" s="83"/>
      <c r="V491" s="83"/>
      <c r="W491" s="83"/>
      <c r="X491" s="83"/>
      <c r="Y491" s="83"/>
      <c r="Z491" s="83"/>
      <c r="AA491" s="83"/>
      <c r="AB491" s="83"/>
      <c r="AC491" s="83"/>
      <c r="AD491" s="83"/>
      <c r="AE491" s="83"/>
      <c r="AF491" s="83"/>
      <c r="AG491" s="83"/>
      <c r="AH491" s="83"/>
    </row>
    <row r="492" spans="1:34" ht="69.75" customHeight="1" x14ac:dyDescent="0.25">
      <c r="A492" s="829"/>
      <c r="B492" s="710"/>
      <c r="C492" s="710"/>
      <c r="D492" s="324" t="s">
        <v>349</v>
      </c>
      <c r="E492" s="325">
        <v>132270000</v>
      </c>
      <c r="F492" s="325">
        <v>2792367</v>
      </c>
      <c r="G492" s="326"/>
      <c r="H492" s="83"/>
      <c r="I492" s="83"/>
      <c r="J492" s="327"/>
      <c r="K492" s="83"/>
      <c r="L492" s="83"/>
      <c r="M492" s="83"/>
      <c r="N492" s="328"/>
      <c r="O492" s="83"/>
      <c r="P492" s="83"/>
      <c r="Q492" s="83"/>
      <c r="R492" s="83"/>
      <c r="S492" s="83"/>
      <c r="T492" s="83"/>
      <c r="U492" s="83"/>
      <c r="V492" s="83"/>
      <c r="W492" s="83"/>
      <c r="X492" s="83"/>
      <c r="Y492" s="83"/>
      <c r="Z492" s="83"/>
      <c r="AA492" s="83"/>
      <c r="AB492" s="83"/>
      <c r="AC492" s="83"/>
      <c r="AD492" s="83"/>
      <c r="AE492" s="83"/>
      <c r="AF492" s="83"/>
      <c r="AG492" s="83"/>
      <c r="AH492" s="83"/>
    </row>
    <row r="493" spans="1:34" ht="69.75" customHeight="1" x14ac:dyDescent="0.25">
      <c r="A493" s="829"/>
      <c r="B493" s="731"/>
      <c r="C493" s="731"/>
      <c r="D493" s="324" t="s">
        <v>351</v>
      </c>
      <c r="E493" s="325">
        <v>30100000</v>
      </c>
      <c r="F493" s="325">
        <v>0</v>
      </c>
      <c r="G493" s="326"/>
      <c r="H493" s="83"/>
      <c r="I493" s="83"/>
      <c r="J493" s="327"/>
      <c r="K493" s="83"/>
      <c r="L493" s="83"/>
      <c r="M493" s="83"/>
      <c r="N493" s="328"/>
      <c r="O493" s="83"/>
      <c r="P493" s="83"/>
      <c r="Q493" s="83"/>
      <c r="R493" s="83"/>
      <c r="S493" s="83"/>
      <c r="T493" s="83"/>
      <c r="U493" s="83"/>
      <c r="V493" s="83"/>
      <c r="W493" s="83"/>
      <c r="X493" s="83"/>
      <c r="Y493" s="83"/>
      <c r="Z493" s="83"/>
      <c r="AA493" s="83"/>
      <c r="AB493" s="83"/>
      <c r="AC493" s="83"/>
      <c r="AD493" s="83"/>
      <c r="AE493" s="83"/>
      <c r="AF493" s="83"/>
      <c r="AG493" s="83"/>
      <c r="AH493" s="83"/>
    </row>
    <row r="494" spans="1:34" ht="69.75" customHeight="1" x14ac:dyDescent="0.25">
      <c r="A494" s="829"/>
      <c r="B494" s="749" t="s">
        <v>743</v>
      </c>
      <c r="C494" s="749" t="s">
        <v>744</v>
      </c>
      <c r="D494" s="329" t="s">
        <v>354</v>
      </c>
      <c r="E494" s="325">
        <v>70434000</v>
      </c>
      <c r="F494" s="325">
        <v>2478233</v>
      </c>
      <c r="G494" s="326"/>
      <c r="H494" s="83"/>
      <c r="I494" s="83"/>
      <c r="J494" s="327"/>
      <c r="K494" s="83"/>
      <c r="L494" s="83"/>
      <c r="M494" s="83"/>
      <c r="N494" s="328"/>
      <c r="O494" s="83"/>
      <c r="P494" s="83"/>
      <c r="Q494" s="83"/>
      <c r="R494" s="83"/>
      <c r="S494" s="83"/>
      <c r="T494" s="83"/>
      <c r="U494" s="83"/>
      <c r="V494" s="83"/>
      <c r="W494" s="83"/>
      <c r="X494" s="83"/>
      <c r="Y494" s="83"/>
      <c r="Z494" s="83"/>
      <c r="AA494" s="83"/>
      <c r="AB494" s="83"/>
      <c r="AC494" s="83"/>
      <c r="AD494" s="83"/>
      <c r="AE494" s="83"/>
      <c r="AF494" s="83"/>
      <c r="AG494" s="83"/>
      <c r="AH494" s="83"/>
    </row>
    <row r="495" spans="1:34" ht="69.75" customHeight="1" x14ac:dyDescent="0.25">
      <c r="A495" s="829"/>
      <c r="B495" s="710"/>
      <c r="C495" s="710"/>
      <c r="D495" s="329" t="s">
        <v>924</v>
      </c>
      <c r="E495" s="325">
        <v>672748000</v>
      </c>
      <c r="F495" s="325">
        <v>7337300</v>
      </c>
      <c r="G495" s="326"/>
      <c r="H495" s="83"/>
      <c r="I495" s="83"/>
      <c r="J495" s="327"/>
      <c r="K495" s="83"/>
      <c r="L495" s="83"/>
      <c r="M495" s="83"/>
      <c r="N495" s="328"/>
      <c r="O495" s="83"/>
      <c r="P495" s="83"/>
      <c r="Q495" s="83"/>
      <c r="R495" s="83"/>
      <c r="S495" s="83"/>
      <c r="T495" s="83"/>
      <c r="U495" s="83"/>
      <c r="V495" s="83"/>
      <c r="W495" s="83"/>
      <c r="X495" s="83"/>
      <c r="Y495" s="83"/>
      <c r="Z495" s="83"/>
      <c r="AA495" s="83"/>
      <c r="AB495" s="83"/>
      <c r="AC495" s="83"/>
      <c r="AD495" s="83"/>
      <c r="AE495" s="83"/>
      <c r="AF495" s="83"/>
      <c r="AG495" s="83"/>
      <c r="AH495" s="83"/>
    </row>
    <row r="496" spans="1:34" ht="69.75" customHeight="1" x14ac:dyDescent="0.25">
      <c r="A496" s="829"/>
      <c r="B496" s="710"/>
      <c r="C496" s="710"/>
      <c r="D496" s="329" t="s">
        <v>925</v>
      </c>
      <c r="E496" s="325">
        <v>309585000</v>
      </c>
      <c r="F496" s="325">
        <v>818300</v>
      </c>
      <c r="G496" s="326"/>
      <c r="H496" s="83"/>
      <c r="I496" s="83"/>
      <c r="J496" s="327"/>
      <c r="K496" s="83"/>
      <c r="L496" s="83"/>
      <c r="M496" s="83"/>
      <c r="N496" s="328"/>
      <c r="O496" s="83"/>
      <c r="P496" s="83"/>
      <c r="Q496" s="83"/>
      <c r="R496" s="83"/>
      <c r="S496" s="83"/>
      <c r="T496" s="83"/>
      <c r="U496" s="83"/>
      <c r="V496" s="83"/>
      <c r="W496" s="83"/>
      <c r="X496" s="83"/>
      <c r="Y496" s="83"/>
      <c r="Z496" s="83"/>
      <c r="AA496" s="83"/>
      <c r="AB496" s="83"/>
      <c r="AC496" s="83"/>
      <c r="AD496" s="83"/>
      <c r="AE496" s="83"/>
      <c r="AF496" s="83"/>
      <c r="AG496" s="83"/>
      <c r="AH496" s="83"/>
    </row>
    <row r="497" spans="1:34" ht="69.75" customHeight="1" x14ac:dyDescent="0.25">
      <c r="A497" s="829"/>
      <c r="B497" s="731"/>
      <c r="C497" s="731"/>
      <c r="D497" s="329" t="s">
        <v>674</v>
      </c>
      <c r="E497" s="330">
        <v>436082000</v>
      </c>
      <c r="F497" s="325">
        <v>1169000</v>
      </c>
      <c r="G497" s="332"/>
      <c r="H497" s="83"/>
      <c r="I497" s="83"/>
      <c r="J497" s="327"/>
      <c r="K497" s="83"/>
      <c r="L497" s="83"/>
      <c r="M497" s="83"/>
      <c r="N497" s="328"/>
      <c r="O497" s="83"/>
      <c r="P497" s="83"/>
      <c r="Q497" s="83"/>
      <c r="R497" s="83"/>
      <c r="S497" s="83"/>
      <c r="T497" s="83"/>
      <c r="U497" s="83"/>
      <c r="V497" s="83"/>
      <c r="W497" s="83"/>
      <c r="X497" s="83"/>
      <c r="Y497" s="83"/>
      <c r="Z497" s="83"/>
      <c r="AA497" s="83"/>
      <c r="AB497" s="83"/>
      <c r="AC497" s="83"/>
      <c r="AD497" s="83"/>
      <c r="AE497" s="83"/>
      <c r="AF497" s="83"/>
      <c r="AG497" s="83"/>
      <c r="AH497" s="83"/>
    </row>
    <row r="498" spans="1:34" ht="69.75" customHeight="1" x14ac:dyDescent="0.25">
      <c r="A498" s="829"/>
      <c r="B498" s="30" t="s">
        <v>747</v>
      </c>
      <c r="C498" s="30" t="s">
        <v>748</v>
      </c>
      <c r="D498" s="329" t="s">
        <v>926</v>
      </c>
      <c r="E498" s="325">
        <v>289724000</v>
      </c>
      <c r="F498" s="325">
        <v>1520633</v>
      </c>
      <c r="G498" s="326"/>
      <c r="H498" s="83"/>
      <c r="I498" s="83"/>
      <c r="J498" s="327"/>
      <c r="K498" s="83"/>
      <c r="L498" s="83"/>
      <c r="M498" s="83"/>
      <c r="N498" s="328"/>
      <c r="O498" s="83"/>
      <c r="P498" s="83"/>
      <c r="Q498" s="83"/>
      <c r="R498" s="83"/>
      <c r="S498" s="83"/>
      <c r="T498" s="83"/>
      <c r="U498" s="83"/>
      <c r="V498" s="83"/>
      <c r="W498" s="83"/>
      <c r="X498" s="83"/>
      <c r="Y498" s="83"/>
      <c r="Z498" s="83"/>
      <c r="AA498" s="83"/>
      <c r="AB498" s="83"/>
      <c r="AC498" s="83"/>
      <c r="AD498" s="83"/>
      <c r="AE498" s="83"/>
      <c r="AF498" s="83"/>
      <c r="AG498" s="83"/>
      <c r="AH498" s="83"/>
    </row>
    <row r="499" spans="1:34" ht="69.75" customHeight="1" x14ac:dyDescent="0.25">
      <c r="A499" s="823"/>
      <c r="B499" s="30" t="s">
        <v>751</v>
      </c>
      <c r="C499" s="30" t="s">
        <v>752</v>
      </c>
      <c r="D499" s="329" t="s">
        <v>370</v>
      </c>
      <c r="E499" s="325">
        <v>783556000</v>
      </c>
      <c r="F499" s="325">
        <v>0</v>
      </c>
      <c r="G499" s="326"/>
      <c r="H499" s="83"/>
      <c r="I499" s="83"/>
      <c r="J499" s="327"/>
      <c r="K499" s="83"/>
      <c r="L499" s="83"/>
      <c r="M499" s="83"/>
      <c r="N499" s="328"/>
      <c r="O499" s="83"/>
      <c r="P499" s="83"/>
      <c r="Q499" s="83"/>
      <c r="R499" s="83"/>
      <c r="S499" s="83"/>
      <c r="T499" s="83"/>
      <c r="U499" s="83"/>
      <c r="V499" s="83"/>
      <c r="W499" s="83"/>
      <c r="X499" s="83"/>
      <c r="Y499" s="83"/>
      <c r="Z499" s="83"/>
      <c r="AA499" s="83"/>
      <c r="AB499" s="83"/>
      <c r="AC499" s="83"/>
      <c r="AD499" s="83"/>
      <c r="AE499" s="83"/>
      <c r="AF499" s="83"/>
      <c r="AG499" s="83"/>
      <c r="AH499" s="83"/>
    </row>
    <row r="500" spans="1:34" ht="69.75" customHeight="1" x14ac:dyDescent="0.25">
      <c r="A500" s="874" t="s">
        <v>717</v>
      </c>
      <c r="B500" s="878" t="s">
        <v>739</v>
      </c>
      <c r="C500" s="878" t="s">
        <v>740</v>
      </c>
      <c r="D500" s="324" t="s">
        <v>339</v>
      </c>
      <c r="E500" s="325">
        <v>971277000</v>
      </c>
      <c r="F500" s="325">
        <v>59114600</v>
      </c>
      <c r="G500" s="326"/>
      <c r="H500" s="83"/>
      <c r="I500" s="83"/>
      <c r="J500" s="327"/>
      <c r="K500" s="83"/>
      <c r="L500" s="83"/>
      <c r="M500" s="83"/>
      <c r="N500" s="328"/>
      <c r="O500" s="83"/>
      <c r="P500" s="83"/>
      <c r="Q500" s="83"/>
      <c r="R500" s="83"/>
      <c r="S500" s="83"/>
      <c r="T500" s="83"/>
      <c r="U500" s="83"/>
      <c r="V500" s="83"/>
      <c r="W500" s="83"/>
      <c r="X500" s="83"/>
      <c r="Y500" s="83"/>
      <c r="Z500" s="83"/>
      <c r="AA500" s="83"/>
      <c r="AB500" s="83"/>
      <c r="AC500" s="83"/>
      <c r="AD500" s="83"/>
      <c r="AE500" s="83"/>
      <c r="AF500" s="83"/>
      <c r="AG500" s="83"/>
      <c r="AH500" s="83"/>
    </row>
    <row r="501" spans="1:34" ht="69.75" customHeight="1" x14ac:dyDescent="0.25">
      <c r="A501" s="829"/>
      <c r="B501" s="710"/>
      <c r="C501" s="710"/>
      <c r="D501" s="324" t="s">
        <v>349</v>
      </c>
      <c r="E501" s="325">
        <v>132270000</v>
      </c>
      <c r="F501" s="325">
        <v>16460267</v>
      </c>
      <c r="G501" s="326"/>
      <c r="H501" s="83"/>
      <c r="I501" s="83"/>
      <c r="J501" s="327"/>
      <c r="K501" s="83"/>
      <c r="L501" s="83"/>
      <c r="M501" s="83"/>
      <c r="N501" s="328"/>
      <c r="O501" s="83"/>
      <c r="P501" s="83"/>
      <c r="Q501" s="83"/>
      <c r="R501" s="83"/>
      <c r="S501" s="83"/>
      <c r="T501" s="83"/>
      <c r="U501" s="83"/>
      <c r="V501" s="83"/>
      <c r="W501" s="83"/>
      <c r="X501" s="83"/>
      <c r="Y501" s="83"/>
      <c r="Z501" s="83"/>
      <c r="AA501" s="83"/>
      <c r="AB501" s="83"/>
      <c r="AC501" s="83"/>
      <c r="AD501" s="83"/>
      <c r="AE501" s="83"/>
      <c r="AF501" s="83"/>
      <c r="AG501" s="83"/>
      <c r="AH501" s="83"/>
    </row>
    <row r="502" spans="1:34" ht="69.75" customHeight="1" x14ac:dyDescent="0.25">
      <c r="A502" s="829"/>
      <c r="B502" s="731"/>
      <c r="C502" s="731"/>
      <c r="D502" s="324" t="s">
        <v>351</v>
      </c>
      <c r="E502" s="325">
        <v>30100000</v>
      </c>
      <c r="F502" s="325">
        <v>3712333</v>
      </c>
      <c r="G502" s="326"/>
      <c r="H502" s="83"/>
      <c r="I502" s="83"/>
      <c r="J502" s="327"/>
      <c r="K502" s="83"/>
      <c r="L502" s="83"/>
      <c r="M502" s="83"/>
      <c r="N502" s="328"/>
      <c r="O502" s="83"/>
      <c r="P502" s="83"/>
      <c r="Q502" s="83"/>
      <c r="R502" s="83"/>
      <c r="S502" s="83"/>
      <c r="T502" s="83"/>
      <c r="U502" s="83"/>
      <c r="V502" s="83"/>
      <c r="W502" s="83"/>
      <c r="X502" s="83"/>
      <c r="Y502" s="83"/>
      <c r="Z502" s="83"/>
      <c r="AA502" s="83"/>
      <c r="AB502" s="83"/>
      <c r="AC502" s="83"/>
      <c r="AD502" s="83"/>
      <c r="AE502" s="83"/>
      <c r="AF502" s="83"/>
      <c r="AG502" s="83"/>
      <c r="AH502" s="83"/>
    </row>
    <row r="503" spans="1:34" ht="69.75" customHeight="1" x14ac:dyDescent="0.25">
      <c r="A503" s="829"/>
      <c r="B503" s="749" t="s">
        <v>743</v>
      </c>
      <c r="C503" s="749" t="s">
        <v>744</v>
      </c>
      <c r="D503" s="329" t="s">
        <v>354</v>
      </c>
      <c r="E503" s="325">
        <v>70434000</v>
      </c>
      <c r="F503" s="325">
        <v>12912900</v>
      </c>
      <c r="G503" s="326"/>
      <c r="H503" s="83"/>
      <c r="I503" s="83"/>
      <c r="J503" s="327"/>
      <c r="K503" s="83"/>
      <c r="L503" s="83"/>
      <c r="M503" s="83"/>
      <c r="N503" s="328"/>
      <c r="O503" s="83"/>
      <c r="P503" s="83"/>
      <c r="Q503" s="83"/>
      <c r="R503" s="83"/>
      <c r="S503" s="83"/>
      <c r="T503" s="83"/>
      <c r="U503" s="83"/>
      <c r="V503" s="83"/>
      <c r="W503" s="83"/>
      <c r="X503" s="83"/>
      <c r="Y503" s="83"/>
      <c r="Z503" s="83"/>
      <c r="AA503" s="83"/>
      <c r="AB503" s="83"/>
      <c r="AC503" s="83"/>
      <c r="AD503" s="83"/>
      <c r="AE503" s="83"/>
      <c r="AF503" s="83"/>
      <c r="AG503" s="83"/>
      <c r="AH503" s="83"/>
    </row>
    <row r="504" spans="1:34" ht="69.75" customHeight="1" x14ac:dyDescent="0.25">
      <c r="A504" s="829"/>
      <c r="B504" s="710"/>
      <c r="C504" s="710"/>
      <c r="D504" s="329" t="s">
        <v>924</v>
      </c>
      <c r="E504" s="325">
        <v>672748000</v>
      </c>
      <c r="F504" s="325">
        <v>68435501</v>
      </c>
      <c r="G504" s="326"/>
      <c r="H504" s="83"/>
      <c r="I504" s="83"/>
      <c r="J504" s="327"/>
      <c r="K504" s="83"/>
      <c r="L504" s="83"/>
      <c r="M504" s="83"/>
      <c r="N504" s="328"/>
      <c r="O504" s="83"/>
      <c r="P504" s="83"/>
      <c r="Q504" s="83"/>
      <c r="R504" s="83"/>
      <c r="S504" s="83"/>
      <c r="T504" s="83"/>
      <c r="U504" s="83"/>
      <c r="V504" s="83"/>
      <c r="W504" s="83"/>
      <c r="X504" s="83"/>
      <c r="Y504" s="83"/>
      <c r="Z504" s="83"/>
      <c r="AA504" s="83"/>
      <c r="AB504" s="83"/>
      <c r="AC504" s="83"/>
      <c r="AD504" s="83"/>
      <c r="AE504" s="83"/>
      <c r="AF504" s="83"/>
      <c r="AG504" s="83"/>
      <c r="AH504" s="83"/>
    </row>
    <row r="505" spans="1:34" ht="69.75" customHeight="1" x14ac:dyDescent="0.25">
      <c r="A505" s="829"/>
      <c r="B505" s="710"/>
      <c r="C505" s="710"/>
      <c r="D505" s="329" t="s">
        <v>925</v>
      </c>
      <c r="E505" s="325">
        <v>309585000</v>
      </c>
      <c r="F505" s="325">
        <v>31224233</v>
      </c>
      <c r="G505" s="326"/>
      <c r="H505" s="83"/>
      <c r="I505" s="83"/>
      <c r="J505" s="327"/>
      <c r="K505" s="83"/>
      <c r="L505" s="83"/>
      <c r="M505" s="83"/>
      <c r="N505" s="328"/>
      <c r="O505" s="83"/>
      <c r="P505" s="83"/>
      <c r="Q505" s="83"/>
      <c r="R505" s="83"/>
      <c r="S505" s="83"/>
      <c r="T505" s="83"/>
      <c r="U505" s="83"/>
      <c r="V505" s="83"/>
      <c r="W505" s="83"/>
      <c r="X505" s="83"/>
      <c r="Y505" s="83"/>
      <c r="Z505" s="83"/>
      <c r="AA505" s="83"/>
      <c r="AB505" s="83"/>
      <c r="AC505" s="83"/>
      <c r="AD505" s="83"/>
      <c r="AE505" s="83"/>
      <c r="AF505" s="83"/>
      <c r="AG505" s="83"/>
      <c r="AH505" s="83"/>
    </row>
    <row r="506" spans="1:34" ht="69.75" customHeight="1" x14ac:dyDescent="0.25">
      <c r="A506" s="829"/>
      <c r="B506" s="731"/>
      <c r="C506" s="731"/>
      <c r="D506" s="329" t="s">
        <v>674</v>
      </c>
      <c r="E506" s="330">
        <v>436082000</v>
      </c>
      <c r="F506" s="325">
        <v>43949134</v>
      </c>
      <c r="G506" s="332"/>
      <c r="H506" s="83"/>
      <c r="I506" s="83"/>
      <c r="J506" s="327"/>
      <c r="K506" s="83"/>
      <c r="L506" s="83"/>
      <c r="M506" s="83"/>
      <c r="N506" s="328"/>
      <c r="O506" s="83"/>
      <c r="P506" s="83"/>
      <c r="Q506" s="83"/>
      <c r="R506" s="83"/>
      <c r="S506" s="83"/>
      <c r="T506" s="83"/>
      <c r="U506" s="83"/>
      <c r="V506" s="83"/>
      <c r="W506" s="83"/>
      <c r="X506" s="83"/>
      <c r="Y506" s="83"/>
      <c r="Z506" s="83"/>
      <c r="AA506" s="83"/>
      <c r="AB506" s="83"/>
      <c r="AC506" s="83"/>
      <c r="AD506" s="83"/>
      <c r="AE506" s="83"/>
      <c r="AF506" s="83"/>
      <c r="AG506" s="83"/>
      <c r="AH506" s="83"/>
    </row>
    <row r="507" spans="1:34" ht="69.75" customHeight="1" x14ac:dyDescent="0.25">
      <c r="A507" s="829"/>
      <c r="B507" s="30" t="s">
        <v>747</v>
      </c>
      <c r="C507" s="30" t="s">
        <v>748</v>
      </c>
      <c r="D507" s="329" t="s">
        <v>926</v>
      </c>
      <c r="E507" s="325">
        <v>289724000</v>
      </c>
      <c r="F507" s="325">
        <v>31614966</v>
      </c>
      <c r="G507" s="326"/>
      <c r="H507" s="83"/>
      <c r="I507" s="83"/>
      <c r="J507" s="327"/>
      <c r="K507" s="83"/>
      <c r="L507" s="83"/>
      <c r="M507" s="83"/>
      <c r="N507" s="328"/>
      <c r="O507" s="83"/>
      <c r="P507" s="83"/>
      <c r="Q507" s="83"/>
      <c r="R507" s="83"/>
      <c r="S507" s="83"/>
      <c r="T507" s="83"/>
      <c r="U507" s="83"/>
      <c r="V507" s="83"/>
      <c r="W507" s="83"/>
      <c r="X507" s="83"/>
      <c r="Y507" s="83"/>
      <c r="Z507" s="83"/>
      <c r="AA507" s="83"/>
      <c r="AB507" s="83"/>
      <c r="AC507" s="83"/>
      <c r="AD507" s="83"/>
      <c r="AE507" s="83"/>
      <c r="AF507" s="83"/>
      <c r="AG507" s="83"/>
      <c r="AH507" s="83"/>
    </row>
    <row r="508" spans="1:34" ht="69.75" customHeight="1" x14ac:dyDescent="0.25">
      <c r="A508" s="823"/>
      <c r="B508" s="30" t="s">
        <v>751</v>
      </c>
      <c r="C508" s="30" t="s">
        <v>752</v>
      </c>
      <c r="D508" s="329" t="s">
        <v>370</v>
      </c>
      <c r="E508" s="325">
        <v>783556000</v>
      </c>
      <c r="F508" s="325">
        <v>38922800</v>
      </c>
      <c r="G508" s="326"/>
      <c r="H508" s="83"/>
      <c r="I508" s="83"/>
      <c r="J508" s="327"/>
      <c r="K508" s="83"/>
      <c r="L508" s="83"/>
      <c r="M508" s="83"/>
      <c r="N508" s="328"/>
      <c r="O508" s="83"/>
      <c r="P508" s="83"/>
      <c r="Q508" s="83"/>
      <c r="R508" s="83"/>
      <c r="S508" s="83"/>
      <c r="T508" s="83"/>
      <c r="U508" s="83"/>
      <c r="V508" s="83"/>
      <c r="W508" s="83"/>
      <c r="X508" s="83"/>
      <c r="Y508" s="83"/>
      <c r="Z508" s="83"/>
      <c r="AA508" s="83"/>
      <c r="AB508" s="83"/>
      <c r="AC508" s="83"/>
      <c r="AD508" s="83"/>
      <c r="AE508" s="83"/>
      <c r="AF508" s="83"/>
      <c r="AG508" s="83"/>
      <c r="AH508" s="83"/>
    </row>
    <row r="509" spans="1:34" ht="69.75" customHeight="1" x14ac:dyDescent="0.25">
      <c r="A509" s="874" t="s">
        <v>718</v>
      </c>
      <c r="B509" s="878" t="s">
        <v>739</v>
      </c>
      <c r="C509" s="878" t="s">
        <v>740</v>
      </c>
      <c r="D509" s="324" t="s">
        <v>339</v>
      </c>
      <c r="E509" s="325">
        <v>970441800</v>
      </c>
      <c r="F509" s="333">
        <v>129872433</v>
      </c>
      <c r="G509" s="326"/>
      <c r="H509" s="83"/>
      <c r="I509" s="83"/>
      <c r="J509" s="327"/>
      <c r="K509" s="83"/>
      <c r="L509" s="83"/>
      <c r="M509" s="83"/>
      <c r="N509" s="328"/>
      <c r="O509" s="83"/>
      <c r="P509" s="83"/>
      <c r="Q509" s="83"/>
      <c r="R509" s="83"/>
      <c r="S509" s="83"/>
      <c r="T509" s="83"/>
      <c r="U509" s="83"/>
      <c r="V509" s="83"/>
      <c r="W509" s="83"/>
      <c r="X509" s="83"/>
      <c r="Y509" s="83"/>
      <c r="Z509" s="83"/>
      <c r="AA509" s="83"/>
      <c r="AB509" s="83"/>
      <c r="AC509" s="83"/>
      <c r="AD509" s="83"/>
      <c r="AE509" s="83"/>
      <c r="AF509" s="83"/>
      <c r="AG509" s="83"/>
      <c r="AH509" s="83"/>
    </row>
    <row r="510" spans="1:34" ht="69.75" customHeight="1" x14ac:dyDescent="0.25">
      <c r="A510" s="829"/>
      <c r="B510" s="710"/>
      <c r="C510" s="710"/>
      <c r="D510" s="324" t="s">
        <v>349</v>
      </c>
      <c r="E510" s="325">
        <v>132270000</v>
      </c>
      <c r="F510" s="333">
        <v>29687267</v>
      </c>
      <c r="G510" s="326"/>
      <c r="H510" s="83"/>
      <c r="I510" s="83"/>
      <c r="J510" s="327"/>
      <c r="K510" s="83"/>
      <c r="L510" s="83"/>
      <c r="M510" s="83"/>
      <c r="N510" s="328"/>
      <c r="O510" s="83"/>
      <c r="P510" s="83"/>
      <c r="Q510" s="83"/>
      <c r="R510" s="83"/>
      <c r="S510" s="83"/>
      <c r="T510" s="83"/>
      <c r="U510" s="83"/>
      <c r="V510" s="83"/>
      <c r="W510" s="83"/>
      <c r="X510" s="83"/>
      <c r="Y510" s="83"/>
      <c r="Z510" s="83"/>
      <c r="AA510" s="83"/>
      <c r="AB510" s="83"/>
      <c r="AC510" s="83"/>
      <c r="AD510" s="83"/>
      <c r="AE510" s="83"/>
      <c r="AF510" s="83"/>
      <c r="AG510" s="83"/>
      <c r="AH510" s="83"/>
    </row>
    <row r="511" spans="1:34" ht="69.75" customHeight="1" x14ac:dyDescent="0.25">
      <c r="A511" s="829"/>
      <c r="B511" s="731"/>
      <c r="C511" s="731"/>
      <c r="D511" s="324" t="s">
        <v>351</v>
      </c>
      <c r="E511" s="325">
        <v>30935200</v>
      </c>
      <c r="F511" s="333">
        <v>6722333</v>
      </c>
      <c r="G511" s="326"/>
      <c r="H511" s="83"/>
      <c r="I511" s="83"/>
      <c r="J511" s="327"/>
      <c r="K511" s="83"/>
      <c r="L511" s="83"/>
      <c r="M511" s="83"/>
      <c r="N511" s="328"/>
      <c r="O511" s="83"/>
      <c r="P511" s="83"/>
      <c r="Q511" s="83"/>
      <c r="R511" s="83"/>
      <c r="S511" s="83"/>
      <c r="T511" s="83"/>
      <c r="U511" s="83"/>
      <c r="V511" s="83"/>
      <c r="W511" s="83"/>
      <c r="X511" s="83"/>
      <c r="Y511" s="83"/>
      <c r="Z511" s="83"/>
      <c r="AA511" s="83"/>
      <c r="AB511" s="83"/>
      <c r="AC511" s="83"/>
      <c r="AD511" s="83"/>
      <c r="AE511" s="83"/>
      <c r="AF511" s="83"/>
      <c r="AG511" s="83"/>
      <c r="AH511" s="83"/>
    </row>
    <row r="512" spans="1:34" ht="69.75" customHeight="1" x14ac:dyDescent="0.25">
      <c r="A512" s="829"/>
      <c r="B512" s="749" t="s">
        <v>743</v>
      </c>
      <c r="C512" s="749" t="s">
        <v>744</v>
      </c>
      <c r="D512" s="329" t="s">
        <v>354</v>
      </c>
      <c r="E512" s="325">
        <v>70434000</v>
      </c>
      <c r="F512" s="333">
        <v>20738900</v>
      </c>
      <c r="G512" s="326"/>
      <c r="H512" s="83"/>
      <c r="I512" s="83"/>
      <c r="J512" s="327"/>
      <c r="K512" s="83"/>
      <c r="L512" s="83"/>
      <c r="M512" s="83"/>
      <c r="N512" s="328"/>
      <c r="O512" s="83"/>
      <c r="P512" s="83"/>
      <c r="Q512" s="83"/>
      <c r="R512" s="83"/>
      <c r="S512" s="83"/>
      <c r="T512" s="83"/>
      <c r="U512" s="83"/>
      <c r="V512" s="83"/>
      <c r="W512" s="83"/>
      <c r="X512" s="83"/>
      <c r="Y512" s="83"/>
      <c r="Z512" s="83"/>
      <c r="AA512" s="83"/>
      <c r="AB512" s="83"/>
      <c r="AC512" s="83"/>
      <c r="AD512" s="83"/>
      <c r="AE512" s="83"/>
      <c r="AF512" s="83"/>
      <c r="AG512" s="83"/>
      <c r="AH512" s="83"/>
    </row>
    <row r="513" spans="1:34" ht="69.75" customHeight="1" x14ac:dyDescent="0.25">
      <c r="A513" s="829"/>
      <c r="B513" s="710"/>
      <c r="C513" s="710"/>
      <c r="D513" s="329" t="s">
        <v>924</v>
      </c>
      <c r="E513" s="325">
        <v>672748000</v>
      </c>
      <c r="F513" s="333">
        <v>127101501</v>
      </c>
      <c r="G513" s="326"/>
      <c r="H513" s="83"/>
      <c r="I513" s="83"/>
      <c r="J513" s="327"/>
      <c r="K513" s="83"/>
      <c r="L513" s="83"/>
      <c r="M513" s="83"/>
      <c r="N513" s="328"/>
      <c r="O513" s="83"/>
      <c r="P513" s="83"/>
      <c r="Q513" s="83"/>
      <c r="R513" s="83"/>
      <c r="S513" s="83"/>
      <c r="T513" s="83"/>
      <c r="U513" s="83"/>
      <c r="V513" s="83"/>
      <c r="W513" s="83"/>
      <c r="X513" s="83"/>
      <c r="Y513" s="83"/>
      <c r="Z513" s="83"/>
      <c r="AA513" s="83"/>
      <c r="AB513" s="83"/>
      <c r="AC513" s="83"/>
      <c r="AD513" s="83"/>
      <c r="AE513" s="83"/>
      <c r="AF513" s="83"/>
      <c r="AG513" s="83"/>
      <c r="AH513" s="83"/>
    </row>
    <row r="514" spans="1:34" ht="69.75" customHeight="1" x14ac:dyDescent="0.25">
      <c r="A514" s="829"/>
      <c r="B514" s="710"/>
      <c r="C514" s="710"/>
      <c r="D514" s="329" t="s">
        <v>925</v>
      </c>
      <c r="E514" s="325">
        <v>309585000</v>
      </c>
      <c r="F514" s="333">
        <v>62826233</v>
      </c>
      <c r="G514" s="326"/>
      <c r="H514" s="83"/>
      <c r="I514" s="83"/>
      <c r="J514" s="327"/>
      <c r="K514" s="83"/>
      <c r="L514" s="83"/>
      <c r="M514" s="83"/>
      <c r="N514" s="328"/>
      <c r="O514" s="83"/>
      <c r="P514" s="83"/>
      <c r="Q514" s="83"/>
      <c r="R514" s="83"/>
      <c r="S514" s="83"/>
      <c r="T514" s="83"/>
      <c r="U514" s="83"/>
      <c r="V514" s="83"/>
      <c r="W514" s="83"/>
      <c r="X514" s="83"/>
      <c r="Y514" s="83"/>
      <c r="Z514" s="83"/>
      <c r="AA514" s="83"/>
      <c r="AB514" s="83"/>
      <c r="AC514" s="83"/>
      <c r="AD514" s="83"/>
      <c r="AE514" s="83"/>
      <c r="AF514" s="83"/>
      <c r="AG514" s="83"/>
      <c r="AH514" s="83"/>
    </row>
    <row r="515" spans="1:34" ht="69.75" customHeight="1" x14ac:dyDescent="0.25">
      <c r="A515" s="829"/>
      <c r="B515" s="731"/>
      <c r="C515" s="731"/>
      <c r="D515" s="329" t="s">
        <v>674</v>
      </c>
      <c r="E515" s="330">
        <v>436082000</v>
      </c>
      <c r="F515" s="333">
        <v>88439134</v>
      </c>
      <c r="G515" s="332"/>
      <c r="H515" s="83"/>
      <c r="I515" s="83"/>
      <c r="J515" s="327"/>
      <c r="K515" s="83"/>
      <c r="L515" s="83"/>
      <c r="M515" s="83"/>
      <c r="N515" s="328"/>
      <c r="O515" s="83"/>
      <c r="P515" s="83"/>
      <c r="Q515" s="83"/>
      <c r="R515" s="83"/>
      <c r="S515" s="83"/>
      <c r="T515" s="83"/>
      <c r="U515" s="83"/>
      <c r="V515" s="83"/>
      <c r="W515" s="83"/>
      <c r="X515" s="83"/>
      <c r="Y515" s="83"/>
      <c r="Z515" s="83"/>
      <c r="AA515" s="83"/>
      <c r="AB515" s="83"/>
      <c r="AC515" s="83"/>
      <c r="AD515" s="83"/>
      <c r="AE515" s="83"/>
      <c r="AF515" s="83"/>
      <c r="AG515" s="83"/>
      <c r="AH515" s="83"/>
    </row>
    <row r="516" spans="1:34" ht="69.75" customHeight="1" x14ac:dyDescent="0.25">
      <c r="A516" s="829"/>
      <c r="B516" s="30" t="s">
        <v>747</v>
      </c>
      <c r="C516" s="30" t="s">
        <v>748</v>
      </c>
      <c r="D516" s="329" t="s">
        <v>926</v>
      </c>
      <c r="E516" s="325">
        <v>289724000</v>
      </c>
      <c r="F516" s="333">
        <v>59017966</v>
      </c>
      <c r="G516" s="326"/>
      <c r="H516" s="83"/>
      <c r="I516" s="83"/>
      <c r="J516" s="327"/>
      <c r="K516" s="83"/>
      <c r="L516" s="83"/>
      <c r="M516" s="83"/>
      <c r="N516" s="328"/>
      <c r="O516" s="83"/>
      <c r="P516" s="83"/>
      <c r="Q516" s="83"/>
      <c r="R516" s="83"/>
      <c r="S516" s="83"/>
      <c r="T516" s="83"/>
      <c r="U516" s="83"/>
      <c r="V516" s="83"/>
      <c r="W516" s="83"/>
      <c r="X516" s="83"/>
      <c r="Y516" s="83"/>
      <c r="Z516" s="83"/>
      <c r="AA516" s="83"/>
      <c r="AB516" s="83"/>
      <c r="AC516" s="83"/>
      <c r="AD516" s="83"/>
      <c r="AE516" s="83"/>
      <c r="AF516" s="83"/>
      <c r="AG516" s="83"/>
      <c r="AH516" s="83"/>
    </row>
    <row r="517" spans="1:34" ht="69.75" customHeight="1" x14ac:dyDescent="0.25">
      <c r="A517" s="823"/>
      <c r="B517" s="30" t="s">
        <v>751</v>
      </c>
      <c r="C517" s="30" t="s">
        <v>752</v>
      </c>
      <c r="D517" s="329" t="s">
        <v>370</v>
      </c>
      <c r="E517" s="325">
        <v>783556000</v>
      </c>
      <c r="F517" s="333">
        <v>78019800</v>
      </c>
      <c r="G517" s="326"/>
      <c r="H517" s="83"/>
      <c r="I517" s="83"/>
      <c r="J517" s="327"/>
      <c r="K517" s="83"/>
      <c r="L517" s="83"/>
      <c r="M517" s="83"/>
      <c r="N517" s="328"/>
      <c r="O517" s="83"/>
      <c r="P517" s="83"/>
      <c r="Q517" s="83"/>
      <c r="R517" s="83"/>
      <c r="S517" s="83"/>
      <c r="T517" s="83"/>
      <c r="U517" s="83"/>
      <c r="V517" s="83"/>
      <c r="W517" s="83"/>
      <c r="X517" s="83"/>
      <c r="Y517" s="83"/>
      <c r="Z517" s="83"/>
      <c r="AA517" s="83"/>
      <c r="AB517" s="83"/>
      <c r="AC517" s="83"/>
      <c r="AD517" s="83"/>
      <c r="AE517" s="83"/>
      <c r="AF517" s="83"/>
      <c r="AG517" s="83"/>
      <c r="AH517" s="83"/>
    </row>
    <row r="518" spans="1:34" ht="69.75" customHeight="1" x14ac:dyDescent="0.25">
      <c r="A518" s="874" t="s">
        <v>719</v>
      </c>
      <c r="B518" s="878" t="s">
        <v>739</v>
      </c>
      <c r="C518" s="878" t="s">
        <v>740</v>
      </c>
      <c r="D518" s="324" t="s">
        <v>339</v>
      </c>
      <c r="E518" s="325">
        <v>970441800</v>
      </c>
      <c r="F518" s="333">
        <v>235610433</v>
      </c>
      <c r="G518" s="326"/>
      <c r="H518" s="83"/>
      <c r="I518" s="83"/>
      <c r="J518" s="327"/>
      <c r="K518" s="83"/>
      <c r="L518" s="83"/>
      <c r="M518" s="83"/>
      <c r="N518" s="328"/>
      <c r="O518" s="83"/>
      <c r="P518" s="83"/>
      <c r="Q518" s="83"/>
      <c r="R518" s="83"/>
      <c r="S518" s="83"/>
      <c r="T518" s="83"/>
      <c r="U518" s="83"/>
      <c r="V518" s="83"/>
      <c r="W518" s="83"/>
      <c r="X518" s="83"/>
      <c r="Y518" s="83"/>
      <c r="Z518" s="83"/>
      <c r="AA518" s="83"/>
      <c r="AB518" s="83"/>
      <c r="AC518" s="83"/>
      <c r="AD518" s="83"/>
      <c r="AE518" s="83"/>
      <c r="AF518" s="83"/>
      <c r="AG518" s="83"/>
      <c r="AH518" s="83"/>
    </row>
    <row r="519" spans="1:34" ht="69.75" customHeight="1" x14ac:dyDescent="0.25">
      <c r="A519" s="829"/>
      <c r="B519" s="710"/>
      <c r="C519" s="710"/>
      <c r="D519" s="324" t="s">
        <v>349</v>
      </c>
      <c r="E519" s="325">
        <v>132270000</v>
      </c>
      <c r="F519" s="333">
        <v>42914267</v>
      </c>
      <c r="G519" s="326"/>
      <c r="H519" s="83"/>
      <c r="I519" s="83"/>
      <c r="J519" s="327"/>
      <c r="K519" s="83"/>
      <c r="L519" s="83"/>
      <c r="M519" s="83"/>
      <c r="N519" s="328"/>
      <c r="O519" s="83"/>
      <c r="P519" s="83"/>
      <c r="Q519" s="83"/>
      <c r="R519" s="83"/>
      <c r="S519" s="83"/>
      <c r="T519" s="83"/>
      <c r="U519" s="83"/>
      <c r="V519" s="83"/>
      <c r="W519" s="83"/>
      <c r="X519" s="83"/>
      <c r="Y519" s="83"/>
      <c r="Z519" s="83"/>
      <c r="AA519" s="83"/>
      <c r="AB519" s="83"/>
      <c r="AC519" s="83"/>
      <c r="AD519" s="83"/>
      <c r="AE519" s="83"/>
      <c r="AF519" s="83"/>
      <c r="AG519" s="83"/>
      <c r="AH519" s="83"/>
    </row>
    <row r="520" spans="1:34" ht="69.75" customHeight="1" x14ac:dyDescent="0.25">
      <c r="A520" s="829"/>
      <c r="B520" s="731"/>
      <c r="C520" s="731"/>
      <c r="D520" s="324" t="s">
        <v>351</v>
      </c>
      <c r="E520" s="325">
        <v>30935200</v>
      </c>
      <c r="F520" s="333">
        <v>9732333</v>
      </c>
      <c r="G520" s="326"/>
      <c r="H520" s="83"/>
      <c r="I520" s="83"/>
      <c r="J520" s="327"/>
      <c r="K520" s="83"/>
      <c r="L520" s="83"/>
      <c r="M520" s="83"/>
      <c r="N520" s="328"/>
      <c r="O520" s="83"/>
      <c r="P520" s="83"/>
      <c r="Q520" s="83"/>
      <c r="R520" s="83"/>
      <c r="S520" s="83"/>
      <c r="T520" s="83"/>
      <c r="U520" s="83"/>
      <c r="V520" s="83"/>
      <c r="W520" s="83"/>
      <c r="X520" s="83"/>
      <c r="Y520" s="83"/>
      <c r="Z520" s="83"/>
      <c r="AA520" s="83"/>
      <c r="AB520" s="83"/>
      <c r="AC520" s="83"/>
      <c r="AD520" s="83"/>
      <c r="AE520" s="83"/>
      <c r="AF520" s="83"/>
      <c r="AG520" s="83"/>
      <c r="AH520" s="83"/>
    </row>
    <row r="521" spans="1:34" ht="69.75" customHeight="1" x14ac:dyDescent="0.25">
      <c r="A521" s="829"/>
      <c r="B521" s="749" t="s">
        <v>743</v>
      </c>
      <c r="C521" s="749" t="s">
        <v>744</v>
      </c>
      <c r="D521" s="329" t="s">
        <v>354</v>
      </c>
      <c r="E521" s="325">
        <v>70434000</v>
      </c>
      <c r="F521" s="333">
        <v>28564900</v>
      </c>
      <c r="G521" s="326"/>
      <c r="H521" s="83"/>
      <c r="I521" s="83"/>
      <c r="J521" s="327"/>
      <c r="K521" s="83"/>
      <c r="L521" s="83"/>
      <c r="M521" s="83"/>
      <c r="N521" s="328"/>
      <c r="O521" s="83"/>
      <c r="P521" s="83"/>
      <c r="Q521" s="83"/>
      <c r="R521" s="83"/>
      <c r="S521" s="83"/>
      <c r="T521" s="83"/>
      <c r="U521" s="83"/>
      <c r="V521" s="83"/>
      <c r="W521" s="83"/>
      <c r="X521" s="83"/>
      <c r="Y521" s="83"/>
      <c r="Z521" s="83"/>
      <c r="AA521" s="83"/>
      <c r="AB521" s="83"/>
      <c r="AC521" s="83"/>
      <c r="AD521" s="83"/>
      <c r="AE521" s="83"/>
      <c r="AF521" s="83"/>
      <c r="AG521" s="83"/>
      <c r="AH521" s="83"/>
    </row>
    <row r="522" spans="1:34" ht="69.75" customHeight="1" x14ac:dyDescent="0.25">
      <c r="A522" s="829"/>
      <c r="B522" s="710"/>
      <c r="C522" s="710"/>
      <c r="D522" s="329" t="s">
        <v>924</v>
      </c>
      <c r="E522" s="325">
        <v>672748000</v>
      </c>
      <c r="F522" s="333">
        <v>185767501</v>
      </c>
      <c r="G522" s="326"/>
      <c r="H522" s="83"/>
      <c r="I522" s="83"/>
      <c r="J522" s="327"/>
      <c r="K522" s="83"/>
      <c r="L522" s="83"/>
      <c r="M522" s="83"/>
      <c r="N522" s="328"/>
      <c r="O522" s="83"/>
      <c r="P522" s="83"/>
      <c r="Q522" s="83"/>
      <c r="R522" s="83"/>
      <c r="S522" s="83"/>
      <c r="T522" s="83"/>
      <c r="U522" s="83"/>
      <c r="V522" s="83"/>
      <c r="W522" s="83"/>
      <c r="X522" s="83"/>
      <c r="Y522" s="83"/>
      <c r="Z522" s="83"/>
      <c r="AA522" s="83"/>
      <c r="AB522" s="83"/>
      <c r="AC522" s="83"/>
      <c r="AD522" s="83"/>
      <c r="AE522" s="83"/>
      <c r="AF522" s="83"/>
      <c r="AG522" s="83"/>
      <c r="AH522" s="83"/>
    </row>
    <row r="523" spans="1:34" ht="69.75" customHeight="1" x14ac:dyDescent="0.25">
      <c r="A523" s="829"/>
      <c r="B523" s="710"/>
      <c r="C523" s="710"/>
      <c r="D523" s="329" t="s">
        <v>925</v>
      </c>
      <c r="E523" s="325">
        <v>309585000</v>
      </c>
      <c r="F523" s="333">
        <v>94428233</v>
      </c>
      <c r="G523" s="326"/>
      <c r="H523" s="83"/>
      <c r="I523" s="83"/>
      <c r="J523" s="327"/>
      <c r="K523" s="83"/>
      <c r="L523" s="83"/>
      <c r="M523" s="83"/>
      <c r="N523" s="328"/>
      <c r="O523" s="83"/>
      <c r="P523" s="83"/>
      <c r="Q523" s="83"/>
      <c r="R523" s="83"/>
      <c r="S523" s="83"/>
      <c r="T523" s="83"/>
      <c r="U523" s="83"/>
      <c r="V523" s="83"/>
      <c r="W523" s="83"/>
      <c r="X523" s="83"/>
      <c r="Y523" s="83"/>
      <c r="Z523" s="83"/>
      <c r="AA523" s="83"/>
      <c r="AB523" s="83"/>
      <c r="AC523" s="83"/>
      <c r="AD523" s="83"/>
      <c r="AE523" s="83"/>
      <c r="AF523" s="83"/>
      <c r="AG523" s="83"/>
      <c r="AH523" s="83"/>
    </row>
    <row r="524" spans="1:34" ht="69.75" customHeight="1" x14ac:dyDescent="0.25">
      <c r="A524" s="829"/>
      <c r="B524" s="731"/>
      <c r="C524" s="731"/>
      <c r="D524" s="329" t="s">
        <v>674</v>
      </c>
      <c r="E524" s="330">
        <v>436082000</v>
      </c>
      <c r="F524" s="333">
        <v>132929134</v>
      </c>
      <c r="G524" s="332"/>
      <c r="H524" s="83"/>
      <c r="I524" s="83"/>
      <c r="J524" s="327"/>
      <c r="K524" s="83"/>
      <c r="L524" s="83"/>
      <c r="M524" s="83"/>
      <c r="N524" s="328"/>
      <c r="O524" s="83"/>
      <c r="P524" s="83"/>
      <c r="Q524" s="83"/>
      <c r="R524" s="83"/>
      <c r="S524" s="83"/>
      <c r="T524" s="83"/>
      <c r="U524" s="83"/>
      <c r="V524" s="83"/>
      <c r="W524" s="83"/>
      <c r="X524" s="83"/>
      <c r="Y524" s="83"/>
      <c r="Z524" s="83"/>
      <c r="AA524" s="83"/>
      <c r="AB524" s="83"/>
      <c r="AC524" s="83"/>
      <c r="AD524" s="83"/>
      <c r="AE524" s="83"/>
      <c r="AF524" s="83"/>
      <c r="AG524" s="83"/>
      <c r="AH524" s="83"/>
    </row>
    <row r="525" spans="1:34" ht="69.75" customHeight="1" x14ac:dyDescent="0.25">
      <c r="A525" s="829"/>
      <c r="B525" s="30" t="s">
        <v>747</v>
      </c>
      <c r="C525" s="30" t="s">
        <v>748</v>
      </c>
      <c r="D525" s="329" t="s">
        <v>926</v>
      </c>
      <c r="E525" s="325">
        <v>289724000</v>
      </c>
      <c r="F525" s="333">
        <v>93434966</v>
      </c>
      <c r="G525" s="326"/>
      <c r="H525" s="83"/>
      <c r="I525" s="83"/>
      <c r="J525" s="327"/>
      <c r="K525" s="83"/>
      <c r="L525" s="83"/>
      <c r="M525" s="83"/>
      <c r="N525" s="328"/>
      <c r="O525" s="83"/>
      <c r="P525" s="83"/>
      <c r="Q525" s="83"/>
      <c r="R525" s="83"/>
      <c r="S525" s="83"/>
      <c r="T525" s="83"/>
      <c r="U525" s="83"/>
      <c r="V525" s="83"/>
      <c r="W525" s="83"/>
      <c r="X525" s="83"/>
      <c r="Y525" s="83"/>
      <c r="Z525" s="83"/>
      <c r="AA525" s="83"/>
      <c r="AB525" s="83"/>
      <c r="AC525" s="83"/>
      <c r="AD525" s="83"/>
      <c r="AE525" s="83"/>
      <c r="AF525" s="83"/>
      <c r="AG525" s="83"/>
      <c r="AH525" s="83"/>
    </row>
    <row r="526" spans="1:34" ht="69.75" customHeight="1" x14ac:dyDescent="0.25">
      <c r="A526" s="823"/>
      <c r="B526" s="30" t="s">
        <v>751</v>
      </c>
      <c r="C526" s="30" t="s">
        <v>752</v>
      </c>
      <c r="D526" s="329" t="s">
        <v>370</v>
      </c>
      <c r="E526" s="325">
        <v>783556000</v>
      </c>
      <c r="F526" s="333">
        <v>124220800</v>
      </c>
      <c r="G526" s="326"/>
      <c r="H526" s="83"/>
      <c r="I526" s="83"/>
      <c r="J526" s="327"/>
      <c r="K526" s="83"/>
      <c r="L526" s="83"/>
      <c r="M526" s="83"/>
      <c r="N526" s="328"/>
      <c r="O526" s="83"/>
      <c r="P526" s="83"/>
      <c r="Q526" s="83"/>
      <c r="R526" s="83"/>
      <c r="S526" s="83"/>
      <c r="T526" s="83"/>
      <c r="U526" s="83"/>
      <c r="V526" s="83"/>
      <c r="W526" s="83"/>
      <c r="X526" s="83"/>
      <c r="Y526" s="83"/>
      <c r="Z526" s="83"/>
      <c r="AA526" s="83"/>
      <c r="AB526" s="83"/>
      <c r="AC526" s="83"/>
      <c r="AD526" s="83"/>
      <c r="AE526" s="83"/>
      <c r="AF526" s="83"/>
      <c r="AG526" s="83"/>
      <c r="AH526" s="83"/>
    </row>
    <row r="527" spans="1:34" ht="69.75" customHeight="1" x14ac:dyDescent="0.25">
      <c r="A527" s="874" t="s">
        <v>720</v>
      </c>
      <c r="B527" s="878" t="s">
        <v>739</v>
      </c>
      <c r="C527" s="878" t="s">
        <v>740</v>
      </c>
      <c r="D527" s="324" t="s">
        <v>339</v>
      </c>
      <c r="E527" s="325">
        <v>970441800</v>
      </c>
      <c r="F527" s="333">
        <v>316572428</v>
      </c>
      <c r="G527" s="326"/>
      <c r="H527" s="83"/>
      <c r="I527" s="83"/>
      <c r="J527" s="327"/>
      <c r="K527" s="83"/>
      <c r="L527" s="83"/>
      <c r="M527" s="83"/>
      <c r="N527" s="328"/>
      <c r="O527" s="83"/>
      <c r="P527" s="83"/>
      <c r="Q527" s="83"/>
      <c r="R527" s="83"/>
      <c r="S527" s="83"/>
      <c r="T527" s="83"/>
      <c r="U527" s="83"/>
      <c r="V527" s="83"/>
      <c r="W527" s="83"/>
      <c r="X527" s="83"/>
      <c r="Y527" s="83"/>
      <c r="Z527" s="83"/>
      <c r="AA527" s="83"/>
      <c r="AB527" s="83"/>
      <c r="AC527" s="83"/>
      <c r="AD527" s="83"/>
      <c r="AE527" s="83"/>
      <c r="AF527" s="83"/>
      <c r="AG527" s="83"/>
      <c r="AH527" s="83"/>
    </row>
    <row r="528" spans="1:34" ht="69.75" customHeight="1" x14ac:dyDescent="0.25">
      <c r="A528" s="829"/>
      <c r="B528" s="710"/>
      <c r="C528" s="710"/>
      <c r="D528" s="324" t="s">
        <v>349</v>
      </c>
      <c r="E528" s="325">
        <v>132270000</v>
      </c>
      <c r="F528" s="333">
        <v>56141267</v>
      </c>
      <c r="G528" s="326"/>
      <c r="H528" s="83"/>
      <c r="I528" s="83"/>
      <c r="J528" s="327"/>
      <c r="K528" s="83"/>
      <c r="L528" s="83"/>
      <c r="M528" s="83"/>
      <c r="N528" s="328"/>
      <c r="O528" s="83"/>
      <c r="P528" s="83"/>
      <c r="Q528" s="83"/>
      <c r="R528" s="83"/>
      <c r="S528" s="83"/>
      <c r="T528" s="83"/>
      <c r="U528" s="83"/>
      <c r="V528" s="83"/>
      <c r="W528" s="83"/>
      <c r="X528" s="83"/>
      <c r="Y528" s="83"/>
      <c r="Z528" s="83"/>
      <c r="AA528" s="83"/>
      <c r="AB528" s="83"/>
      <c r="AC528" s="83"/>
      <c r="AD528" s="83"/>
      <c r="AE528" s="83"/>
      <c r="AF528" s="83"/>
      <c r="AG528" s="83"/>
      <c r="AH528" s="83"/>
    </row>
    <row r="529" spans="1:34" ht="69.75" customHeight="1" x14ac:dyDescent="0.25">
      <c r="A529" s="829"/>
      <c r="B529" s="731"/>
      <c r="C529" s="731"/>
      <c r="D529" s="324" t="s">
        <v>351</v>
      </c>
      <c r="E529" s="325">
        <v>30935200</v>
      </c>
      <c r="F529" s="333">
        <v>12742333</v>
      </c>
      <c r="G529" s="326"/>
      <c r="H529" s="83"/>
      <c r="I529" s="83"/>
      <c r="J529" s="327"/>
      <c r="K529" s="83"/>
      <c r="L529" s="83"/>
      <c r="M529" s="83"/>
      <c r="N529" s="328"/>
      <c r="O529" s="83"/>
      <c r="P529" s="83"/>
      <c r="Q529" s="83"/>
      <c r="R529" s="83"/>
      <c r="S529" s="83"/>
      <c r="T529" s="83"/>
      <c r="U529" s="83"/>
      <c r="V529" s="83"/>
      <c r="W529" s="83"/>
      <c r="X529" s="83"/>
      <c r="Y529" s="83"/>
      <c r="Z529" s="83"/>
      <c r="AA529" s="83"/>
      <c r="AB529" s="83"/>
      <c r="AC529" s="83"/>
      <c r="AD529" s="83"/>
      <c r="AE529" s="83"/>
      <c r="AF529" s="83"/>
      <c r="AG529" s="83"/>
      <c r="AH529" s="83"/>
    </row>
    <row r="530" spans="1:34" ht="69.75" customHeight="1" x14ac:dyDescent="0.25">
      <c r="A530" s="829"/>
      <c r="B530" s="749" t="s">
        <v>743</v>
      </c>
      <c r="C530" s="749" t="s">
        <v>744</v>
      </c>
      <c r="D530" s="329" t="s">
        <v>354</v>
      </c>
      <c r="E530" s="325">
        <v>70434000</v>
      </c>
      <c r="F530" s="333">
        <v>36390900</v>
      </c>
      <c r="G530" s="326"/>
      <c r="H530" s="83"/>
      <c r="I530" s="83"/>
      <c r="J530" s="327"/>
      <c r="K530" s="83"/>
      <c r="L530" s="83"/>
      <c r="M530" s="83"/>
      <c r="N530" s="328"/>
      <c r="O530" s="83"/>
      <c r="P530" s="83"/>
      <c r="Q530" s="83"/>
      <c r="R530" s="83"/>
      <c r="S530" s="83"/>
      <c r="T530" s="83"/>
      <c r="U530" s="83"/>
      <c r="V530" s="83"/>
      <c r="W530" s="83"/>
      <c r="X530" s="83"/>
      <c r="Y530" s="83"/>
      <c r="Z530" s="83"/>
      <c r="AA530" s="83"/>
      <c r="AB530" s="83"/>
      <c r="AC530" s="83"/>
      <c r="AD530" s="83"/>
      <c r="AE530" s="83"/>
      <c r="AF530" s="83"/>
      <c r="AG530" s="83"/>
      <c r="AH530" s="83"/>
    </row>
    <row r="531" spans="1:34" ht="69.75" customHeight="1" x14ac:dyDescent="0.25">
      <c r="A531" s="829"/>
      <c r="B531" s="710"/>
      <c r="C531" s="710"/>
      <c r="D531" s="329" t="s">
        <v>924</v>
      </c>
      <c r="E531" s="325">
        <v>672748000</v>
      </c>
      <c r="F531" s="333">
        <v>244433501</v>
      </c>
      <c r="G531" s="326"/>
      <c r="H531" s="83"/>
      <c r="I531" s="83"/>
      <c r="J531" s="327"/>
      <c r="K531" s="83"/>
      <c r="L531" s="83"/>
      <c r="M531" s="83"/>
      <c r="N531" s="328"/>
      <c r="O531" s="83"/>
      <c r="P531" s="83"/>
      <c r="Q531" s="83"/>
      <c r="R531" s="83"/>
      <c r="S531" s="83"/>
      <c r="T531" s="83"/>
      <c r="U531" s="83"/>
      <c r="V531" s="83"/>
      <c r="W531" s="83"/>
      <c r="X531" s="83"/>
      <c r="Y531" s="83"/>
      <c r="Z531" s="83"/>
      <c r="AA531" s="83"/>
      <c r="AB531" s="83"/>
      <c r="AC531" s="83"/>
      <c r="AD531" s="83"/>
      <c r="AE531" s="83"/>
      <c r="AF531" s="83"/>
      <c r="AG531" s="83"/>
      <c r="AH531" s="83"/>
    </row>
    <row r="532" spans="1:34" ht="69.75" customHeight="1" x14ac:dyDescent="0.25">
      <c r="A532" s="829"/>
      <c r="B532" s="710"/>
      <c r="C532" s="710"/>
      <c r="D532" s="329" t="s">
        <v>925</v>
      </c>
      <c r="E532" s="325">
        <v>309585000</v>
      </c>
      <c r="F532" s="333">
        <v>126030233</v>
      </c>
      <c r="G532" s="326"/>
      <c r="H532" s="83"/>
      <c r="I532" s="83"/>
      <c r="J532" s="327"/>
      <c r="K532" s="83"/>
      <c r="L532" s="83"/>
      <c r="M532" s="83"/>
      <c r="N532" s="328"/>
      <c r="O532" s="83"/>
      <c r="P532" s="83"/>
      <c r="Q532" s="83"/>
      <c r="R532" s="83"/>
      <c r="S532" s="83"/>
      <c r="T532" s="83"/>
      <c r="U532" s="83"/>
      <c r="V532" s="83"/>
      <c r="W532" s="83"/>
      <c r="X532" s="83"/>
      <c r="Y532" s="83"/>
      <c r="Z532" s="83"/>
      <c r="AA532" s="83"/>
      <c r="AB532" s="83"/>
      <c r="AC532" s="83"/>
      <c r="AD532" s="83"/>
      <c r="AE532" s="83"/>
      <c r="AF532" s="83"/>
      <c r="AG532" s="83"/>
      <c r="AH532" s="83"/>
    </row>
    <row r="533" spans="1:34" ht="69.75" customHeight="1" x14ac:dyDescent="0.25">
      <c r="A533" s="829"/>
      <c r="B533" s="731"/>
      <c r="C533" s="731"/>
      <c r="D533" s="329" t="s">
        <v>674</v>
      </c>
      <c r="E533" s="330">
        <v>436082000</v>
      </c>
      <c r="F533" s="333">
        <v>177419134</v>
      </c>
      <c r="G533" s="332"/>
      <c r="H533" s="83"/>
      <c r="I533" s="83"/>
      <c r="J533" s="327"/>
      <c r="K533" s="83"/>
      <c r="L533" s="83"/>
      <c r="M533" s="83"/>
      <c r="N533" s="328"/>
      <c r="O533" s="83"/>
      <c r="P533" s="83"/>
      <c r="Q533" s="83"/>
      <c r="R533" s="83"/>
      <c r="S533" s="83"/>
      <c r="T533" s="83"/>
      <c r="U533" s="83"/>
      <c r="V533" s="83"/>
      <c r="W533" s="83"/>
      <c r="X533" s="83"/>
      <c r="Y533" s="83"/>
      <c r="Z533" s="83"/>
      <c r="AA533" s="83"/>
      <c r="AB533" s="83"/>
      <c r="AC533" s="83"/>
      <c r="AD533" s="83"/>
      <c r="AE533" s="83"/>
      <c r="AF533" s="83"/>
      <c r="AG533" s="83"/>
      <c r="AH533" s="83"/>
    </row>
    <row r="534" spans="1:34" ht="69.75" customHeight="1" x14ac:dyDescent="0.25">
      <c r="A534" s="829"/>
      <c r="B534" s="30" t="s">
        <v>747</v>
      </c>
      <c r="C534" s="30" t="s">
        <v>748</v>
      </c>
      <c r="D534" s="329" t="s">
        <v>926</v>
      </c>
      <c r="E534" s="325">
        <v>289724000</v>
      </c>
      <c r="F534" s="333">
        <v>124344966</v>
      </c>
      <c r="G534" s="326"/>
      <c r="H534" s="83"/>
      <c r="I534" s="83"/>
      <c r="J534" s="327"/>
      <c r="K534" s="83"/>
      <c r="L534" s="83"/>
      <c r="M534" s="83"/>
      <c r="N534" s="328"/>
      <c r="O534" s="83"/>
      <c r="P534" s="83"/>
      <c r="Q534" s="83"/>
      <c r="R534" s="83"/>
      <c r="S534" s="83"/>
      <c r="T534" s="83"/>
      <c r="U534" s="83"/>
      <c r="V534" s="83"/>
      <c r="W534" s="83"/>
      <c r="X534" s="83"/>
      <c r="Y534" s="83"/>
      <c r="Z534" s="83"/>
      <c r="AA534" s="83"/>
      <c r="AB534" s="83"/>
      <c r="AC534" s="83"/>
      <c r="AD534" s="83"/>
      <c r="AE534" s="83"/>
      <c r="AF534" s="83"/>
      <c r="AG534" s="83"/>
      <c r="AH534" s="83"/>
    </row>
    <row r="535" spans="1:34" ht="69.75" customHeight="1" x14ac:dyDescent="0.25">
      <c r="A535" s="823"/>
      <c r="B535" s="30" t="s">
        <v>751</v>
      </c>
      <c r="C535" s="30" t="s">
        <v>752</v>
      </c>
      <c r="D535" s="329" t="s">
        <v>370</v>
      </c>
      <c r="E535" s="325">
        <v>783556000</v>
      </c>
      <c r="F535" s="333">
        <v>167398805</v>
      </c>
      <c r="G535" s="326"/>
      <c r="H535" s="83"/>
      <c r="I535" s="83"/>
      <c r="J535" s="327"/>
      <c r="K535" s="83"/>
      <c r="L535" s="83"/>
      <c r="M535" s="83"/>
      <c r="N535" s="328"/>
      <c r="O535" s="83"/>
      <c r="P535" s="83"/>
      <c r="Q535" s="83"/>
      <c r="R535" s="83"/>
      <c r="S535" s="83"/>
      <c r="T535" s="83"/>
      <c r="U535" s="83"/>
      <c r="V535" s="83"/>
      <c r="W535" s="83"/>
      <c r="X535" s="83"/>
      <c r="Y535" s="83"/>
      <c r="Z535" s="83"/>
      <c r="AA535" s="83"/>
      <c r="AB535" s="83"/>
      <c r="AC535" s="83"/>
      <c r="AD535" s="83"/>
      <c r="AE535" s="83"/>
      <c r="AF535" s="83"/>
      <c r="AG535" s="83"/>
      <c r="AH535" s="83"/>
    </row>
    <row r="536" spans="1:34" ht="69.75" customHeight="1" x14ac:dyDescent="0.25">
      <c r="A536" s="874" t="s">
        <v>709</v>
      </c>
      <c r="B536" s="878" t="s">
        <v>739</v>
      </c>
      <c r="C536" s="878" t="s">
        <v>740</v>
      </c>
      <c r="D536" s="324" t="s">
        <v>339</v>
      </c>
      <c r="E536" s="325">
        <v>1017092400</v>
      </c>
      <c r="F536" s="333">
        <v>533814963.89194524</v>
      </c>
      <c r="G536" s="326"/>
      <c r="H536" s="83"/>
      <c r="I536" s="83"/>
      <c r="J536" s="327"/>
      <c r="K536" s="83"/>
      <c r="L536" s="83"/>
      <c r="M536" s="83"/>
      <c r="N536" s="328"/>
      <c r="O536" s="83"/>
      <c r="P536" s="83"/>
      <c r="Q536" s="83"/>
      <c r="R536" s="83"/>
      <c r="S536" s="83"/>
      <c r="T536" s="83"/>
      <c r="U536" s="83"/>
      <c r="V536" s="83"/>
      <c r="W536" s="83"/>
      <c r="X536" s="83"/>
      <c r="Y536" s="83"/>
      <c r="Z536" s="83"/>
      <c r="AA536" s="83"/>
      <c r="AB536" s="83"/>
      <c r="AC536" s="83"/>
      <c r="AD536" s="83"/>
      <c r="AE536" s="83"/>
      <c r="AF536" s="83"/>
      <c r="AG536" s="83"/>
      <c r="AH536" s="83"/>
    </row>
    <row r="537" spans="1:34" ht="69.75" customHeight="1" x14ac:dyDescent="0.25">
      <c r="A537" s="829"/>
      <c r="B537" s="710"/>
      <c r="C537" s="710"/>
      <c r="D537" s="324" t="s">
        <v>349</v>
      </c>
      <c r="E537" s="325">
        <v>132270000</v>
      </c>
      <c r="F537" s="333">
        <v>95822267</v>
      </c>
      <c r="G537" s="326"/>
      <c r="H537" s="83"/>
      <c r="I537" s="83"/>
      <c r="J537" s="327"/>
      <c r="K537" s="83"/>
      <c r="L537" s="83"/>
      <c r="M537" s="83"/>
      <c r="N537" s="328"/>
      <c r="O537" s="83"/>
      <c r="P537" s="83"/>
      <c r="Q537" s="83"/>
      <c r="R537" s="83"/>
      <c r="S537" s="83"/>
      <c r="T537" s="83"/>
      <c r="U537" s="83"/>
      <c r="V537" s="83"/>
      <c r="W537" s="83"/>
      <c r="X537" s="83"/>
      <c r="Y537" s="83"/>
      <c r="Z537" s="83"/>
      <c r="AA537" s="83"/>
      <c r="AB537" s="83"/>
      <c r="AC537" s="83"/>
      <c r="AD537" s="83"/>
      <c r="AE537" s="83"/>
      <c r="AF537" s="83"/>
      <c r="AG537" s="83"/>
      <c r="AH537" s="83"/>
    </row>
    <row r="538" spans="1:34" ht="69.75" customHeight="1" x14ac:dyDescent="0.25">
      <c r="A538" s="829"/>
      <c r="B538" s="731"/>
      <c r="C538" s="731"/>
      <c r="D538" s="324" t="s">
        <v>351</v>
      </c>
      <c r="E538" s="325">
        <v>30517600</v>
      </c>
      <c r="F538" s="333">
        <v>21772333</v>
      </c>
      <c r="G538" s="326"/>
      <c r="H538" s="83"/>
      <c r="I538" s="83"/>
      <c r="J538" s="327"/>
      <c r="K538" s="83"/>
      <c r="L538" s="83"/>
      <c r="M538" s="83"/>
      <c r="N538" s="328"/>
      <c r="O538" s="83"/>
      <c r="P538" s="83"/>
      <c r="Q538" s="83"/>
      <c r="R538" s="83"/>
      <c r="S538" s="83"/>
      <c r="T538" s="83"/>
      <c r="U538" s="83"/>
      <c r="V538" s="83"/>
      <c r="W538" s="83"/>
      <c r="X538" s="83"/>
      <c r="Y538" s="83"/>
      <c r="Z538" s="83"/>
      <c r="AA538" s="83"/>
      <c r="AB538" s="83"/>
      <c r="AC538" s="83"/>
      <c r="AD538" s="83"/>
      <c r="AE538" s="83"/>
      <c r="AF538" s="83"/>
      <c r="AG538" s="83"/>
      <c r="AH538" s="83"/>
    </row>
    <row r="539" spans="1:34" ht="69.75" customHeight="1" x14ac:dyDescent="0.25">
      <c r="A539" s="829"/>
      <c r="B539" s="749" t="s">
        <v>743</v>
      </c>
      <c r="C539" s="749" t="s">
        <v>744</v>
      </c>
      <c r="D539" s="329" t="s">
        <v>354</v>
      </c>
      <c r="E539" s="325">
        <v>86086000</v>
      </c>
      <c r="F539" s="333">
        <v>59868900</v>
      </c>
      <c r="G539" s="326"/>
      <c r="H539" s="83"/>
      <c r="I539" s="83"/>
      <c r="J539" s="327"/>
      <c r="K539" s="83"/>
      <c r="L539" s="83"/>
      <c r="M539" s="83"/>
      <c r="N539" s="328"/>
      <c r="O539" s="83"/>
      <c r="P539" s="83"/>
      <c r="Q539" s="83"/>
      <c r="R539" s="83"/>
      <c r="S539" s="83"/>
      <c r="T539" s="83"/>
      <c r="U539" s="83"/>
      <c r="V539" s="83"/>
      <c r="W539" s="83"/>
      <c r="X539" s="83"/>
      <c r="Y539" s="83"/>
      <c r="Z539" s="83"/>
      <c r="AA539" s="83"/>
      <c r="AB539" s="83"/>
      <c r="AC539" s="83"/>
      <c r="AD539" s="83"/>
      <c r="AE539" s="83"/>
      <c r="AF539" s="83"/>
      <c r="AG539" s="83"/>
      <c r="AH539" s="83"/>
    </row>
    <row r="540" spans="1:34" ht="69.75" customHeight="1" x14ac:dyDescent="0.25">
      <c r="A540" s="829"/>
      <c r="B540" s="710"/>
      <c r="C540" s="710"/>
      <c r="D540" s="329" t="s">
        <v>924</v>
      </c>
      <c r="E540" s="325">
        <v>779475438</v>
      </c>
      <c r="F540" s="333">
        <v>452508217.87474829</v>
      </c>
      <c r="G540" s="326"/>
      <c r="H540" s="83"/>
      <c r="I540" s="83"/>
      <c r="J540" s="327"/>
      <c r="K540" s="83"/>
      <c r="L540" s="83"/>
      <c r="M540" s="83"/>
      <c r="N540" s="328"/>
      <c r="O540" s="83"/>
      <c r="P540" s="83"/>
      <c r="Q540" s="83"/>
      <c r="R540" s="83"/>
      <c r="S540" s="83"/>
      <c r="T540" s="83"/>
      <c r="U540" s="83"/>
      <c r="V540" s="83"/>
      <c r="W540" s="83"/>
      <c r="X540" s="83"/>
      <c r="Y540" s="83"/>
      <c r="Z540" s="83"/>
      <c r="AA540" s="83"/>
      <c r="AB540" s="83"/>
      <c r="AC540" s="83"/>
      <c r="AD540" s="83"/>
      <c r="AE540" s="83"/>
      <c r="AF540" s="83"/>
      <c r="AG540" s="83"/>
      <c r="AH540" s="83"/>
    </row>
    <row r="541" spans="1:34" ht="69.75" customHeight="1" x14ac:dyDescent="0.25">
      <c r="A541" s="829"/>
      <c r="B541" s="710"/>
      <c r="C541" s="710"/>
      <c r="D541" s="329" t="s">
        <v>925</v>
      </c>
      <c r="E541" s="325">
        <v>309028200</v>
      </c>
      <c r="F541" s="333">
        <v>221370466.12525171</v>
      </c>
      <c r="G541" s="326"/>
      <c r="H541" s="83"/>
      <c r="I541" s="83"/>
      <c r="J541" s="327"/>
      <c r="K541" s="83"/>
      <c r="L541" s="83"/>
      <c r="M541" s="83"/>
      <c r="N541" s="328"/>
      <c r="O541" s="83"/>
      <c r="P541" s="83"/>
      <c r="Q541" s="83"/>
      <c r="R541" s="83"/>
      <c r="S541" s="83"/>
      <c r="T541" s="83"/>
      <c r="U541" s="83"/>
      <c r="V541" s="83"/>
      <c r="W541" s="83"/>
      <c r="X541" s="83"/>
      <c r="Y541" s="83"/>
      <c r="Z541" s="83"/>
      <c r="AA541" s="83"/>
      <c r="AB541" s="83"/>
      <c r="AC541" s="83"/>
      <c r="AD541" s="83"/>
      <c r="AE541" s="83"/>
      <c r="AF541" s="83"/>
      <c r="AG541" s="83"/>
      <c r="AH541" s="83"/>
    </row>
    <row r="542" spans="1:34" ht="69.75" customHeight="1" x14ac:dyDescent="0.25">
      <c r="A542" s="829"/>
      <c r="B542" s="731"/>
      <c r="C542" s="731"/>
      <c r="D542" s="329" t="s">
        <v>674</v>
      </c>
      <c r="E542" s="330">
        <v>729282124</v>
      </c>
      <c r="F542" s="333">
        <v>307214967</v>
      </c>
      <c r="G542" s="332"/>
      <c r="H542" s="83"/>
      <c r="I542" s="83"/>
      <c r="J542" s="327"/>
      <c r="K542" s="83"/>
      <c r="L542" s="83"/>
      <c r="M542" s="83"/>
      <c r="N542" s="328"/>
      <c r="O542" s="83"/>
      <c r="P542" s="83"/>
      <c r="Q542" s="83"/>
      <c r="R542" s="83"/>
      <c r="S542" s="83"/>
      <c r="T542" s="83"/>
      <c r="U542" s="83"/>
      <c r="V542" s="83"/>
      <c r="W542" s="83"/>
      <c r="X542" s="83"/>
      <c r="Y542" s="83"/>
      <c r="Z542" s="83"/>
      <c r="AA542" s="83"/>
      <c r="AB542" s="83"/>
      <c r="AC542" s="83"/>
      <c r="AD542" s="83"/>
      <c r="AE542" s="83"/>
      <c r="AF542" s="83"/>
      <c r="AG542" s="83"/>
      <c r="AH542" s="83"/>
    </row>
    <row r="543" spans="1:34" ht="69.75" customHeight="1" x14ac:dyDescent="0.25">
      <c r="A543" s="829"/>
      <c r="B543" s="30" t="s">
        <v>747</v>
      </c>
      <c r="C543" s="30" t="s">
        <v>748</v>
      </c>
      <c r="D543" s="329" t="s">
        <v>926</v>
      </c>
      <c r="E543" s="325">
        <v>289724000</v>
      </c>
      <c r="F543" s="333">
        <v>217074966</v>
      </c>
      <c r="G543" s="326"/>
      <c r="H543" s="83"/>
      <c r="I543" s="83"/>
      <c r="J543" s="327"/>
      <c r="K543" s="83"/>
      <c r="L543" s="83"/>
      <c r="M543" s="83"/>
      <c r="N543" s="328"/>
      <c r="O543" s="83"/>
      <c r="P543" s="83"/>
      <c r="Q543" s="83"/>
      <c r="R543" s="83"/>
      <c r="S543" s="83"/>
      <c r="T543" s="83"/>
      <c r="U543" s="83"/>
      <c r="V543" s="83"/>
      <c r="W543" s="83"/>
      <c r="X543" s="83"/>
      <c r="Y543" s="83"/>
      <c r="Z543" s="83"/>
      <c r="AA543" s="83"/>
      <c r="AB543" s="83"/>
      <c r="AC543" s="83"/>
      <c r="AD543" s="83"/>
      <c r="AE543" s="83"/>
      <c r="AF543" s="83"/>
      <c r="AG543" s="83"/>
      <c r="AH543" s="83"/>
    </row>
    <row r="544" spans="1:34" ht="69.75" customHeight="1" x14ac:dyDescent="0.25">
      <c r="A544" s="823"/>
      <c r="B544" s="30" t="s">
        <v>751</v>
      </c>
      <c r="C544" s="30" t="s">
        <v>752</v>
      </c>
      <c r="D544" s="329" t="s">
        <v>370</v>
      </c>
      <c r="E544" s="325">
        <v>783556000</v>
      </c>
      <c r="F544" s="333">
        <v>333091918.10805476</v>
      </c>
      <c r="G544" s="326"/>
      <c r="H544" s="83"/>
      <c r="I544" s="83"/>
      <c r="J544" s="327"/>
      <c r="K544" s="83"/>
      <c r="L544" s="83"/>
      <c r="M544" s="83"/>
      <c r="N544" s="328"/>
      <c r="O544" s="83"/>
      <c r="P544" s="83"/>
      <c r="Q544" s="83"/>
      <c r="R544" s="83"/>
      <c r="S544" s="83"/>
      <c r="T544" s="83"/>
      <c r="U544" s="83"/>
      <c r="V544" s="83"/>
      <c r="W544" s="83"/>
      <c r="X544" s="83"/>
      <c r="Y544" s="83"/>
      <c r="Z544" s="83"/>
      <c r="AA544" s="83"/>
      <c r="AB544" s="83"/>
      <c r="AC544" s="83"/>
      <c r="AD544" s="83"/>
      <c r="AE544" s="83"/>
      <c r="AF544" s="83"/>
      <c r="AG544" s="83"/>
      <c r="AH544" s="83"/>
    </row>
    <row r="545" spans="1:34" ht="69.75" customHeight="1" x14ac:dyDescent="0.25">
      <c r="A545" s="874" t="s">
        <v>710</v>
      </c>
      <c r="B545" s="878" t="s">
        <v>739</v>
      </c>
      <c r="C545" s="878" t="s">
        <v>740</v>
      </c>
      <c r="D545" s="324" t="s">
        <v>339</v>
      </c>
      <c r="E545" s="334">
        <v>1038843096</v>
      </c>
      <c r="F545" s="335">
        <v>608367378</v>
      </c>
      <c r="G545" s="326"/>
      <c r="H545" s="83"/>
      <c r="I545" s="83"/>
      <c r="J545" s="327"/>
      <c r="K545" s="83"/>
      <c r="L545" s="83"/>
      <c r="M545" s="83"/>
      <c r="N545" s="328"/>
      <c r="O545" s="83"/>
      <c r="P545" s="83"/>
      <c r="Q545" s="83"/>
      <c r="R545" s="83"/>
      <c r="S545" s="83"/>
      <c r="T545" s="83"/>
      <c r="U545" s="83"/>
      <c r="V545" s="83"/>
      <c r="W545" s="83"/>
      <c r="X545" s="83"/>
      <c r="Y545" s="83"/>
      <c r="Z545" s="83"/>
      <c r="AA545" s="83"/>
      <c r="AB545" s="83"/>
      <c r="AC545" s="83"/>
      <c r="AD545" s="83"/>
      <c r="AE545" s="83"/>
      <c r="AF545" s="83"/>
      <c r="AG545" s="83"/>
      <c r="AH545" s="83"/>
    </row>
    <row r="546" spans="1:34" ht="69.75" customHeight="1" x14ac:dyDescent="0.25">
      <c r="A546" s="829"/>
      <c r="B546" s="710"/>
      <c r="C546" s="710"/>
      <c r="D546" s="324" t="s">
        <v>349</v>
      </c>
      <c r="E546" s="334">
        <v>141088000</v>
      </c>
      <c r="F546" s="335">
        <v>104640267</v>
      </c>
      <c r="G546" s="326"/>
      <c r="H546" s="83"/>
      <c r="I546" s="83"/>
      <c r="J546" s="327"/>
      <c r="K546" s="83"/>
      <c r="L546" s="83"/>
      <c r="M546" s="83"/>
      <c r="N546" s="328"/>
      <c r="O546" s="83"/>
      <c r="P546" s="83"/>
      <c r="Q546" s="83"/>
      <c r="R546" s="83"/>
      <c r="S546" s="83"/>
      <c r="T546" s="83"/>
      <c r="U546" s="83"/>
      <c r="V546" s="83"/>
      <c r="W546" s="83"/>
      <c r="X546" s="83"/>
      <c r="Y546" s="83"/>
      <c r="Z546" s="83"/>
      <c r="AA546" s="83"/>
      <c r="AB546" s="83"/>
      <c r="AC546" s="83"/>
      <c r="AD546" s="83"/>
      <c r="AE546" s="83"/>
      <c r="AF546" s="83"/>
      <c r="AG546" s="83"/>
      <c r="AH546" s="83"/>
    </row>
    <row r="547" spans="1:34" ht="69.75" customHeight="1" x14ac:dyDescent="0.25">
      <c r="A547" s="829"/>
      <c r="B547" s="731"/>
      <c r="C547" s="731"/>
      <c r="D547" s="324" t="s">
        <v>351</v>
      </c>
      <c r="E547" s="334">
        <v>33527600</v>
      </c>
      <c r="F547" s="335">
        <v>24852633</v>
      </c>
      <c r="G547" s="326"/>
      <c r="H547" s="83"/>
      <c r="I547" s="83"/>
      <c r="J547" s="327"/>
      <c r="K547" s="83"/>
      <c r="L547" s="83"/>
      <c r="M547" s="83"/>
      <c r="N547" s="328"/>
      <c r="O547" s="83"/>
      <c r="P547" s="83"/>
      <c r="Q547" s="83"/>
      <c r="R547" s="83"/>
      <c r="S547" s="83"/>
      <c r="T547" s="83"/>
      <c r="U547" s="83"/>
      <c r="V547" s="83"/>
      <c r="W547" s="83"/>
      <c r="X547" s="83"/>
      <c r="Y547" s="83"/>
      <c r="Z547" s="83"/>
      <c r="AA547" s="83"/>
      <c r="AB547" s="83"/>
      <c r="AC547" s="83"/>
      <c r="AD547" s="83"/>
      <c r="AE547" s="83"/>
      <c r="AF547" s="83"/>
      <c r="AG547" s="83"/>
      <c r="AH547" s="83"/>
    </row>
    <row r="548" spans="1:34" ht="69.75" customHeight="1" x14ac:dyDescent="0.25">
      <c r="A548" s="829"/>
      <c r="B548" s="749" t="s">
        <v>743</v>
      </c>
      <c r="C548" s="749" t="s">
        <v>744</v>
      </c>
      <c r="D548" s="329" t="s">
        <v>354</v>
      </c>
      <c r="E548" s="334">
        <v>86086000</v>
      </c>
      <c r="F548" s="335">
        <v>65086233</v>
      </c>
      <c r="G548" s="326"/>
      <c r="H548" s="83"/>
      <c r="I548" s="83"/>
      <c r="J548" s="327"/>
      <c r="K548" s="83"/>
      <c r="L548" s="83"/>
      <c r="M548" s="83"/>
      <c r="N548" s="328"/>
      <c r="O548" s="83"/>
      <c r="P548" s="83"/>
      <c r="Q548" s="83"/>
      <c r="R548" s="83"/>
      <c r="S548" s="83"/>
      <c r="T548" s="83"/>
      <c r="U548" s="83"/>
      <c r="V548" s="83"/>
      <c r="W548" s="83"/>
      <c r="X548" s="83"/>
      <c r="Y548" s="83"/>
      <c r="Z548" s="83"/>
      <c r="AA548" s="83"/>
      <c r="AB548" s="83"/>
      <c r="AC548" s="83"/>
      <c r="AD548" s="83"/>
      <c r="AE548" s="83"/>
      <c r="AF548" s="83"/>
      <c r="AG548" s="83"/>
      <c r="AH548" s="83"/>
    </row>
    <row r="549" spans="1:34" ht="69.75" customHeight="1" x14ac:dyDescent="0.25">
      <c r="A549" s="829"/>
      <c r="B549" s="710"/>
      <c r="C549" s="710"/>
      <c r="D549" s="329" t="s">
        <v>924</v>
      </c>
      <c r="E549" s="334">
        <v>789292834</v>
      </c>
      <c r="F549" s="335">
        <v>553476513</v>
      </c>
      <c r="G549" s="326"/>
      <c r="H549" s="83"/>
      <c r="I549" s="83"/>
      <c r="J549" s="327"/>
      <c r="K549" s="83"/>
      <c r="L549" s="83"/>
      <c r="M549" s="83"/>
      <c r="N549" s="328"/>
      <c r="O549" s="83"/>
      <c r="P549" s="83"/>
      <c r="Q549" s="83"/>
      <c r="R549" s="83"/>
      <c r="S549" s="83"/>
      <c r="T549" s="83"/>
      <c r="U549" s="83"/>
      <c r="V549" s="83"/>
      <c r="W549" s="83"/>
      <c r="X549" s="83"/>
      <c r="Y549" s="83"/>
      <c r="Z549" s="83"/>
      <c r="AA549" s="83"/>
      <c r="AB549" s="83"/>
      <c r="AC549" s="83"/>
      <c r="AD549" s="83"/>
      <c r="AE549" s="83"/>
      <c r="AF549" s="83"/>
      <c r="AG549" s="83"/>
      <c r="AH549" s="83"/>
    </row>
    <row r="550" spans="1:34" ht="69.75" customHeight="1" x14ac:dyDescent="0.25">
      <c r="A550" s="829"/>
      <c r="B550" s="710"/>
      <c r="C550" s="710"/>
      <c r="D550" s="329" t="s">
        <v>925</v>
      </c>
      <c r="E550" s="334">
        <v>335963368</v>
      </c>
      <c r="F550" s="335">
        <v>249612518</v>
      </c>
      <c r="G550" s="326"/>
      <c r="H550" s="83"/>
      <c r="I550" s="83"/>
      <c r="J550" s="327"/>
      <c r="K550" s="83"/>
      <c r="L550" s="83"/>
      <c r="M550" s="83"/>
      <c r="N550" s="328"/>
      <c r="O550" s="83"/>
      <c r="P550" s="83"/>
      <c r="Q550" s="83"/>
      <c r="R550" s="83"/>
      <c r="S550" s="83"/>
      <c r="T550" s="83"/>
      <c r="U550" s="83"/>
      <c r="V550" s="83"/>
      <c r="W550" s="83"/>
      <c r="X550" s="83"/>
      <c r="Y550" s="83"/>
      <c r="Z550" s="83"/>
      <c r="AA550" s="83"/>
      <c r="AB550" s="83"/>
      <c r="AC550" s="83"/>
      <c r="AD550" s="83"/>
      <c r="AE550" s="83"/>
      <c r="AF550" s="83"/>
      <c r="AG550" s="83"/>
      <c r="AH550" s="83"/>
    </row>
    <row r="551" spans="1:34" ht="69.75" customHeight="1" x14ac:dyDescent="0.25">
      <c r="A551" s="829"/>
      <c r="B551" s="731"/>
      <c r="C551" s="731"/>
      <c r="D551" s="329" t="s">
        <v>674</v>
      </c>
      <c r="E551" s="336">
        <v>729276096</v>
      </c>
      <c r="F551" s="335">
        <v>345941534</v>
      </c>
      <c r="G551" s="332"/>
      <c r="H551" s="83"/>
      <c r="I551" s="83"/>
      <c r="J551" s="327"/>
      <c r="K551" s="83"/>
      <c r="L551" s="83"/>
      <c r="M551" s="83"/>
      <c r="N551" s="328"/>
      <c r="O551" s="83"/>
      <c r="P551" s="83"/>
      <c r="Q551" s="83"/>
      <c r="R551" s="83"/>
      <c r="S551" s="83"/>
      <c r="T551" s="83"/>
      <c r="U551" s="83"/>
      <c r="V551" s="83"/>
      <c r="W551" s="83"/>
      <c r="X551" s="83"/>
      <c r="Y551" s="83"/>
      <c r="Z551" s="83"/>
      <c r="AA551" s="83"/>
      <c r="AB551" s="83"/>
      <c r="AC551" s="83"/>
      <c r="AD551" s="83"/>
      <c r="AE551" s="83"/>
      <c r="AF551" s="83"/>
      <c r="AG551" s="83"/>
      <c r="AH551" s="83"/>
    </row>
    <row r="552" spans="1:34" ht="69.75" customHeight="1" x14ac:dyDescent="0.25">
      <c r="A552" s="829"/>
      <c r="B552" s="30" t="s">
        <v>747</v>
      </c>
      <c r="C552" s="30" t="s">
        <v>748</v>
      </c>
      <c r="D552" s="329" t="s">
        <v>926</v>
      </c>
      <c r="E552" s="334">
        <v>322224768</v>
      </c>
      <c r="F552" s="335">
        <v>239662966</v>
      </c>
      <c r="G552" s="326"/>
      <c r="H552" s="83"/>
      <c r="I552" s="83"/>
      <c r="J552" s="327"/>
      <c r="K552" s="83"/>
      <c r="L552" s="83"/>
      <c r="M552" s="83"/>
      <c r="N552" s="328"/>
      <c r="O552" s="83"/>
      <c r="P552" s="83"/>
      <c r="Q552" s="83"/>
      <c r="R552" s="83"/>
      <c r="S552" s="83"/>
      <c r="T552" s="83"/>
      <c r="U552" s="83"/>
      <c r="V552" s="83"/>
      <c r="W552" s="83"/>
      <c r="X552" s="83"/>
      <c r="Y552" s="83"/>
      <c r="Z552" s="83"/>
      <c r="AA552" s="83"/>
      <c r="AB552" s="83"/>
      <c r="AC552" s="83"/>
      <c r="AD552" s="83"/>
      <c r="AE552" s="83"/>
      <c r="AF552" s="83"/>
      <c r="AG552" s="83"/>
      <c r="AH552" s="83"/>
    </row>
    <row r="553" spans="1:34" ht="69.75" customHeight="1" x14ac:dyDescent="0.25">
      <c r="A553" s="823"/>
      <c r="B553" s="30" t="s">
        <v>751</v>
      </c>
      <c r="C553" s="30" t="s">
        <v>752</v>
      </c>
      <c r="D553" s="329" t="s">
        <v>370</v>
      </c>
      <c r="E553" s="334">
        <v>775730000</v>
      </c>
      <c r="F553" s="335">
        <v>372193921</v>
      </c>
      <c r="G553" s="326"/>
      <c r="H553" s="83"/>
      <c r="I553" s="83"/>
      <c r="J553" s="327"/>
      <c r="K553" s="83"/>
      <c r="L553" s="83"/>
      <c r="M553" s="83"/>
      <c r="N553" s="328"/>
      <c r="O553" s="83"/>
      <c r="P553" s="83"/>
      <c r="Q553" s="83"/>
      <c r="R553" s="83"/>
      <c r="S553" s="83"/>
      <c r="T553" s="83"/>
      <c r="U553" s="83"/>
      <c r="V553" s="83"/>
      <c r="W553" s="83"/>
      <c r="X553" s="83"/>
      <c r="Y553" s="83"/>
      <c r="Z553" s="83"/>
      <c r="AA553" s="83"/>
      <c r="AB553" s="83"/>
      <c r="AC553" s="83"/>
      <c r="AD553" s="83"/>
      <c r="AE553" s="83"/>
      <c r="AF553" s="83"/>
      <c r="AG553" s="83"/>
      <c r="AH553" s="83"/>
    </row>
    <row r="554" spans="1:34" ht="69.75" customHeight="1" x14ac:dyDescent="0.25">
      <c r="A554" s="874" t="s">
        <v>712</v>
      </c>
      <c r="B554" s="878" t="s">
        <v>739</v>
      </c>
      <c r="C554" s="878" t="s">
        <v>740</v>
      </c>
      <c r="D554" s="324" t="s">
        <v>339</v>
      </c>
      <c r="E554" s="334">
        <v>1038843096</v>
      </c>
      <c r="F554" s="335">
        <v>684597719</v>
      </c>
      <c r="G554" s="326"/>
      <c r="H554" s="83"/>
      <c r="I554" s="83"/>
      <c r="J554" s="327"/>
      <c r="K554" s="83"/>
      <c r="L554" s="83"/>
      <c r="M554" s="83"/>
      <c r="N554" s="328"/>
      <c r="O554" s="83"/>
      <c r="P554" s="83"/>
      <c r="Q554" s="83"/>
      <c r="R554" s="83"/>
      <c r="S554" s="83"/>
      <c r="T554" s="83"/>
      <c r="U554" s="83"/>
      <c r="V554" s="83"/>
      <c r="W554" s="83"/>
      <c r="X554" s="83"/>
      <c r="Y554" s="83"/>
      <c r="Z554" s="83"/>
      <c r="AA554" s="83"/>
      <c r="AB554" s="83"/>
      <c r="AC554" s="83"/>
      <c r="AD554" s="83"/>
      <c r="AE554" s="83"/>
      <c r="AF554" s="83"/>
      <c r="AG554" s="83"/>
      <c r="AH554" s="83"/>
    </row>
    <row r="555" spans="1:34" ht="69.75" customHeight="1" x14ac:dyDescent="0.25">
      <c r="A555" s="829"/>
      <c r="B555" s="710"/>
      <c r="C555" s="710"/>
      <c r="D555" s="324" t="s">
        <v>349</v>
      </c>
      <c r="E555" s="334">
        <v>141088000</v>
      </c>
      <c r="F555" s="335">
        <v>117867267</v>
      </c>
      <c r="G555" s="326"/>
      <c r="H555" s="83"/>
      <c r="I555" s="83"/>
      <c r="J555" s="327"/>
      <c r="K555" s="83"/>
      <c r="L555" s="83"/>
      <c r="M555" s="83"/>
      <c r="N555" s="328"/>
      <c r="O555" s="83"/>
      <c r="P555" s="83"/>
      <c r="Q555" s="83"/>
      <c r="R555" s="83"/>
      <c r="S555" s="83"/>
      <c r="T555" s="83"/>
      <c r="U555" s="83"/>
      <c r="V555" s="83"/>
      <c r="W555" s="83"/>
      <c r="X555" s="83"/>
      <c r="Y555" s="83"/>
      <c r="Z555" s="83"/>
      <c r="AA555" s="83"/>
      <c r="AB555" s="83"/>
      <c r="AC555" s="83"/>
      <c r="AD555" s="83"/>
      <c r="AE555" s="83"/>
      <c r="AF555" s="83"/>
      <c r="AG555" s="83"/>
      <c r="AH555" s="83"/>
    </row>
    <row r="556" spans="1:34" ht="69.75" customHeight="1" x14ac:dyDescent="0.25">
      <c r="A556" s="829"/>
      <c r="B556" s="731"/>
      <c r="C556" s="731"/>
      <c r="D556" s="324" t="s">
        <v>351</v>
      </c>
      <c r="E556" s="334">
        <v>33527600</v>
      </c>
      <c r="F556" s="335">
        <v>27932483</v>
      </c>
      <c r="G556" s="326"/>
      <c r="H556" s="83"/>
      <c r="I556" s="83"/>
      <c r="J556" s="327"/>
      <c r="K556" s="83"/>
      <c r="L556" s="83"/>
      <c r="M556" s="83"/>
      <c r="N556" s="328"/>
      <c r="O556" s="83"/>
      <c r="P556" s="83"/>
      <c r="Q556" s="83"/>
      <c r="R556" s="83"/>
      <c r="S556" s="83"/>
      <c r="T556" s="83"/>
      <c r="U556" s="83"/>
      <c r="V556" s="83"/>
      <c r="W556" s="83"/>
      <c r="X556" s="83"/>
      <c r="Y556" s="83"/>
      <c r="Z556" s="83"/>
      <c r="AA556" s="83"/>
      <c r="AB556" s="83"/>
      <c r="AC556" s="83"/>
      <c r="AD556" s="83"/>
      <c r="AE556" s="83"/>
      <c r="AF556" s="83"/>
      <c r="AG556" s="83"/>
      <c r="AH556" s="83"/>
    </row>
    <row r="557" spans="1:34" ht="69.75" customHeight="1" x14ac:dyDescent="0.25">
      <c r="A557" s="829"/>
      <c r="B557" s="749" t="s">
        <v>743</v>
      </c>
      <c r="C557" s="749" t="s">
        <v>744</v>
      </c>
      <c r="D557" s="329" t="s">
        <v>354</v>
      </c>
      <c r="E557" s="334">
        <v>86086000</v>
      </c>
      <c r="F557" s="335">
        <v>71216600</v>
      </c>
      <c r="G557" s="326"/>
      <c r="H557" s="83"/>
      <c r="I557" s="83"/>
      <c r="J557" s="327"/>
      <c r="K557" s="83"/>
      <c r="L557" s="83"/>
      <c r="M557" s="83"/>
      <c r="N557" s="328"/>
      <c r="O557" s="83"/>
      <c r="P557" s="83"/>
      <c r="Q557" s="83"/>
      <c r="R557" s="83"/>
      <c r="S557" s="83"/>
      <c r="T557" s="83"/>
      <c r="U557" s="83"/>
      <c r="V557" s="83"/>
      <c r="W557" s="83"/>
      <c r="X557" s="83"/>
      <c r="Y557" s="83"/>
      <c r="Z557" s="83"/>
      <c r="AA557" s="83"/>
      <c r="AB557" s="83"/>
      <c r="AC557" s="83"/>
      <c r="AD557" s="83"/>
      <c r="AE557" s="83"/>
      <c r="AF557" s="83"/>
      <c r="AG557" s="83"/>
      <c r="AH557" s="83"/>
    </row>
    <row r="558" spans="1:34" ht="69.75" customHeight="1" x14ac:dyDescent="0.25">
      <c r="A558" s="829"/>
      <c r="B558" s="710"/>
      <c r="C558" s="710"/>
      <c r="D558" s="329" t="s">
        <v>924</v>
      </c>
      <c r="E558" s="334">
        <v>789292834</v>
      </c>
      <c r="F558" s="335">
        <v>636049513</v>
      </c>
      <c r="G558" s="326"/>
      <c r="H558" s="83"/>
      <c r="I558" s="83"/>
      <c r="J558" s="327"/>
      <c r="K558" s="83"/>
      <c r="L558" s="83"/>
      <c r="M558" s="83"/>
      <c r="N558" s="328"/>
      <c r="O558" s="83"/>
      <c r="P558" s="83"/>
      <c r="Q558" s="83"/>
      <c r="R558" s="83"/>
      <c r="S558" s="83"/>
      <c r="T558" s="83"/>
      <c r="U558" s="83"/>
      <c r="V558" s="83"/>
      <c r="W558" s="83"/>
      <c r="X558" s="83"/>
      <c r="Y558" s="83"/>
      <c r="Z558" s="83"/>
      <c r="AA558" s="83"/>
      <c r="AB558" s="83"/>
      <c r="AC558" s="83"/>
      <c r="AD558" s="83"/>
      <c r="AE558" s="83"/>
      <c r="AF558" s="83"/>
      <c r="AG558" s="83"/>
      <c r="AH558" s="83"/>
    </row>
    <row r="559" spans="1:34" ht="69.75" customHeight="1" x14ac:dyDescent="0.25">
      <c r="A559" s="829"/>
      <c r="B559" s="710"/>
      <c r="C559" s="710"/>
      <c r="D559" s="329" t="s">
        <v>925</v>
      </c>
      <c r="E559" s="334">
        <v>335963368</v>
      </c>
      <c r="F559" s="335">
        <v>277123018</v>
      </c>
      <c r="G559" s="326"/>
      <c r="H559" s="83"/>
      <c r="I559" s="83"/>
      <c r="J559" s="327"/>
      <c r="K559" s="83"/>
      <c r="L559" s="83"/>
      <c r="M559" s="83"/>
      <c r="N559" s="328"/>
      <c r="O559" s="83"/>
      <c r="P559" s="83"/>
      <c r="Q559" s="83"/>
      <c r="R559" s="83"/>
      <c r="S559" s="83"/>
      <c r="T559" s="83"/>
      <c r="U559" s="83"/>
      <c r="V559" s="83"/>
      <c r="W559" s="83"/>
      <c r="X559" s="83"/>
      <c r="Y559" s="83"/>
      <c r="Z559" s="83"/>
      <c r="AA559" s="83"/>
      <c r="AB559" s="83"/>
      <c r="AC559" s="83"/>
      <c r="AD559" s="83"/>
      <c r="AE559" s="83"/>
      <c r="AF559" s="83"/>
      <c r="AG559" s="83"/>
      <c r="AH559" s="83"/>
    </row>
    <row r="560" spans="1:34" ht="69.75" customHeight="1" x14ac:dyDescent="0.25">
      <c r="A560" s="829"/>
      <c r="B560" s="731"/>
      <c r="C560" s="731"/>
      <c r="D560" s="329" t="s">
        <v>674</v>
      </c>
      <c r="E560" s="336">
        <v>729276096</v>
      </c>
      <c r="F560" s="335">
        <v>393648367</v>
      </c>
      <c r="G560" s="332"/>
      <c r="H560" s="83"/>
      <c r="I560" s="83"/>
      <c r="J560" s="327"/>
      <c r="K560" s="83"/>
      <c r="L560" s="83"/>
      <c r="M560" s="83"/>
      <c r="N560" s="328"/>
      <c r="O560" s="83"/>
      <c r="P560" s="83"/>
      <c r="Q560" s="83"/>
      <c r="R560" s="83"/>
      <c r="S560" s="83"/>
      <c r="T560" s="83"/>
      <c r="U560" s="83"/>
      <c r="V560" s="83"/>
      <c r="W560" s="83"/>
      <c r="X560" s="83"/>
      <c r="Y560" s="83"/>
      <c r="Z560" s="83"/>
      <c r="AA560" s="83"/>
      <c r="AB560" s="83"/>
      <c r="AC560" s="83"/>
      <c r="AD560" s="83"/>
      <c r="AE560" s="83"/>
      <c r="AF560" s="83"/>
      <c r="AG560" s="83"/>
      <c r="AH560" s="83"/>
    </row>
    <row r="561" spans="1:34" ht="69.75" customHeight="1" x14ac:dyDescent="0.25">
      <c r="A561" s="829"/>
      <c r="B561" s="30" t="s">
        <v>747</v>
      </c>
      <c r="C561" s="30" t="s">
        <v>748</v>
      </c>
      <c r="D561" s="329" t="s">
        <v>926</v>
      </c>
      <c r="E561" s="334">
        <v>322224768</v>
      </c>
      <c r="F561" s="335">
        <v>268335400</v>
      </c>
      <c r="G561" s="326"/>
      <c r="H561" s="83"/>
      <c r="I561" s="83"/>
      <c r="J561" s="327"/>
      <c r="K561" s="83"/>
      <c r="L561" s="83"/>
      <c r="M561" s="83"/>
      <c r="N561" s="328"/>
      <c r="O561" s="83"/>
      <c r="P561" s="83"/>
      <c r="Q561" s="83"/>
      <c r="R561" s="83"/>
      <c r="S561" s="83"/>
      <c r="T561" s="83"/>
      <c r="U561" s="83"/>
      <c r="V561" s="83"/>
      <c r="W561" s="83"/>
      <c r="X561" s="83"/>
      <c r="Y561" s="83"/>
      <c r="Z561" s="83"/>
      <c r="AA561" s="83"/>
      <c r="AB561" s="83"/>
      <c r="AC561" s="83"/>
      <c r="AD561" s="83"/>
      <c r="AE561" s="83"/>
      <c r="AF561" s="83"/>
      <c r="AG561" s="83"/>
      <c r="AH561" s="83"/>
    </row>
    <row r="562" spans="1:34" ht="69.75" customHeight="1" x14ac:dyDescent="0.25">
      <c r="A562" s="823"/>
      <c r="B562" s="30" t="s">
        <v>751</v>
      </c>
      <c r="C562" s="30" t="s">
        <v>752</v>
      </c>
      <c r="D562" s="329" t="s">
        <v>370</v>
      </c>
      <c r="E562" s="334">
        <v>775730000</v>
      </c>
      <c r="F562" s="335">
        <v>428558828</v>
      </c>
      <c r="G562" s="326"/>
      <c r="H562" s="83"/>
      <c r="I562" s="83"/>
      <c r="J562" s="327"/>
      <c r="K562" s="83"/>
      <c r="L562" s="83"/>
      <c r="M562" s="83"/>
      <c r="N562" s="328"/>
      <c r="O562" s="83"/>
      <c r="P562" s="83"/>
      <c r="Q562" s="83"/>
      <c r="R562" s="83"/>
      <c r="S562" s="83"/>
      <c r="T562" s="83"/>
      <c r="U562" s="83"/>
      <c r="V562" s="83"/>
      <c r="W562" s="83"/>
      <c r="X562" s="83"/>
      <c r="Y562" s="83"/>
      <c r="Z562" s="83"/>
      <c r="AA562" s="83"/>
      <c r="AB562" s="83"/>
      <c r="AC562" s="83"/>
      <c r="AD562" s="83"/>
      <c r="AE562" s="83"/>
      <c r="AF562" s="83"/>
      <c r="AG562" s="83"/>
      <c r="AH562" s="83"/>
    </row>
    <row r="563" spans="1:34" ht="69.75" customHeight="1" x14ac:dyDescent="0.25">
      <c r="A563" s="874" t="s">
        <v>713</v>
      </c>
      <c r="B563" s="878" t="s">
        <v>739</v>
      </c>
      <c r="C563" s="878" t="s">
        <v>740</v>
      </c>
      <c r="D563" s="324" t="s">
        <v>339</v>
      </c>
      <c r="E563" s="334">
        <v>1038843096</v>
      </c>
      <c r="F563" s="335">
        <v>792766958</v>
      </c>
      <c r="G563" s="326"/>
      <c r="H563" s="83"/>
      <c r="I563" s="83"/>
      <c r="J563" s="327"/>
      <c r="K563" s="83"/>
      <c r="L563" s="83"/>
      <c r="M563" s="83"/>
      <c r="N563" s="328"/>
      <c r="O563" s="83"/>
      <c r="P563" s="83"/>
      <c r="Q563" s="83"/>
      <c r="R563" s="83"/>
      <c r="S563" s="83"/>
      <c r="T563" s="83"/>
      <c r="U563" s="83"/>
      <c r="V563" s="83"/>
      <c r="W563" s="83"/>
      <c r="X563" s="83"/>
      <c r="Y563" s="83"/>
      <c r="Z563" s="83"/>
      <c r="AA563" s="83"/>
      <c r="AB563" s="83"/>
      <c r="AC563" s="83"/>
      <c r="AD563" s="83"/>
      <c r="AE563" s="83"/>
      <c r="AF563" s="83"/>
      <c r="AG563" s="83"/>
      <c r="AH563" s="83"/>
    </row>
    <row r="564" spans="1:34" ht="69.75" customHeight="1" x14ac:dyDescent="0.25">
      <c r="A564" s="829"/>
      <c r="B564" s="710"/>
      <c r="C564" s="710"/>
      <c r="D564" s="324" t="s">
        <v>349</v>
      </c>
      <c r="E564" s="334">
        <v>141088000</v>
      </c>
      <c r="F564" s="335">
        <v>130506400</v>
      </c>
      <c r="G564" s="326"/>
      <c r="H564" s="83"/>
      <c r="I564" s="83"/>
      <c r="J564" s="327"/>
      <c r="K564" s="83"/>
      <c r="L564" s="83"/>
      <c r="M564" s="83"/>
      <c r="N564" s="328"/>
      <c r="O564" s="83"/>
      <c r="P564" s="83"/>
      <c r="Q564" s="83"/>
      <c r="R564" s="83"/>
      <c r="S564" s="83"/>
      <c r="T564" s="83"/>
      <c r="U564" s="83"/>
      <c r="V564" s="83"/>
      <c r="W564" s="83"/>
      <c r="X564" s="83"/>
      <c r="Y564" s="83"/>
      <c r="Z564" s="83"/>
      <c r="AA564" s="83"/>
      <c r="AB564" s="83"/>
      <c r="AC564" s="83"/>
      <c r="AD564" s="83"/>
      <c r="AE564" s="83"/>
      <c r="AF564" s="83"/>
      <c r="AG564" s="83"/>
      <c r="AH564" s="83"/>
    </row>
    <row r="565" spans="1:34" ht="69.75" customHeight="1" x14ac:dyDescent="0.25">
      <c r="A565" s="829"/>
      <c r="B565" s="731"/>
      <c r="C565" s="731"/>
      <c r="D565" s="324" t="s">
        <v>351</v>
      </c>
      <c r="E565" s="334">
        <v>33527600</v>
      </c>
      <c r="F565" s="335">
        <v>31012083</v>
      </c>
      <c r="G565" s="326"/>
      <c r="H565" s="83"/>
      <c r="I565" s="83"/>
      <c r="J565" s="327"/>
      <c r="K565" s="83"/>
      <c r="L565" s="83"/>
      <c r="M565" s="83"/>
      <c r="N565" s="328"/>
      <c r="O565" s="83"/>
      <c r="P565" s="83"/>
      <c r="Q565" s="83"/>
      <c r="R565" s="83"/>
      <c r="S565" s="83"/>
      <c r="T565" s="83"/>
      <c r="U565" s="83"/>
      <c r="V565" s="83"/>
      <c r="W565" s="83"/>
      <c r="X565" s="83"/>
      <c r="Y565" s="83"/>
      <c r="Z565" s="83"/>
      <c r="AA565" s="83"/>
      <c r="AB565" s="83"/>
      <c r="AC565" s="83"/>
      <c r="AD565" s="83"/>
      <c r="AE565" s="83"/>
      <c r="AF565" s="83"/>
      <c r="AG565" s="83"/>
      <c r="AH565" s="83"/>
    </row>
    <row r="566" spans="1:34" ht="69.75" customHeight="1" x14ac:dyDescent="0.25">
      <c r="A566" s="829"/>
      <c r="B566" s="749" t="s">
        <v>743</v>
      </c>
      <c r="C566" s="749" t="s">
        <v>744</v>
      </c>
      <c r="D566" s="329" t="s">
        <v>354</v>
      </c>
      <c r="E566" s="334">
        <v>86086000</v>
      </c>
      <c r="F566" s="335">
        <v>84390367</v>
      </c>
      <c r="G566" s="326"/>
      <c r="H566" s="83"/>
      <c r="I566" s="83"/>
      <c r="J566" s="327"/>
      <c r="K566" s="83"/>
      <c r="L566" s="83"/>
      <c r="M566" s="83"/>
      <c r="N566" s="328"/>
      <c r="O566" s="83"/>
      <c r="P566" s="83"/>
      <c r="Q566" s="83"/>
      <c r="R566" s="83"/>
      <c r="S566" s="83"/>
      <c r="T566" s="83"/>
      <c r="U566" s="83"/>
      <c r="V566" s="83"/>
      <c r="W566" s="83"/>
      <c r="X566" s="83"/>
      <c r="Y566" s="83"/>
      <c r="Z566" s="83"/>
      <c r="AA566" s="83"/>
      <c r="AB566" s="83"/>
      <c r="AC566" s="83"/>
      <c r="AD566" s="83"/>
      <c r="AE566" s="83"/>
      <c r="AF566" s="83"/>
      <c r="AG566" s="83"/>
      <c r="AH566" s="83"/>
    </row>
    <row r="567" spans="1:34" ht="69.75" customHeight="1" x14ac:dyDescent="0.25">
      <c r="A567" s="829"/>
      <c r="B567" s="710"/>
      <c r="C567" s="710"/>
      <c r="D567" s="329" t="s">
        <v>924</v>
      </c>
      <c r="E567" s="334">
        <v>789292834</v>
      </c>
      <c r="F567" s="335">
        <v>733454504</v>
      </c>
      <c r="G567" s="326"/>
      <c r="H567" s="83"/>
      <c r="I567" s="83"/>
      <c r="J567" s="327"/>
      <c r="K567" s="83"/>
      <c r="L567" s="83"/>
      <c r="M567" s="83"/>
      <c r="N567" s="328"/>
      <c r="O567" s="83"/>
      <c r="P567" s="83"/>
      <c r="Q567" s="83"/>
      <c r="R567" s="83"/>
      <c r="S567" s="83"/>
      <c r="T567" s="83"/>
      <c r="U567" s="83"/>
      <c r="V567" s="83"/>
      <c r="W567" s="83"/>
      <c r="X567" s="83"/>
      <c r="Y567" s="83"/>
      <c r="Z567" s="83"/>
      <c r="AA567" s="83"/>
      <c r="AB567" s="83"/>
      <c r="AC567" s="83"/>
      <c r="AD567" s="83"/>
      <c r="AE567" s="83"/>
      <c r="AF567" s="83"/>
      <c r="AG567" s="83"/>
      <c r="AH567" s="83"/>
    </row>
    <row r="568" spans="1:34" ht="69.75" customHeight="1" x14ac:dyDescent="0.25">
      <c r="A568" s="829"/>
      <c r="B568" s="710"/>
      <c r="C568" s="710"/>
      <c r="D568" s="329" t="s">
        <v>925</v>
      </c>
      <c r="E568" s="334">
        <v>335963368</v>
      </c>
      <c r="F568" s="335">
        <v>313201221</v>
      </c>
      <c r="G568" s="326"/>
      <c r="H568" s="83"/>
      <c r="I568" s="83"/>
      <c r="J568" s="327"/>
      <c r="K568" s="83"/>
      <c r="L568" s="83"/>
      <c r="M568" s="83"/>
      <c r="N568" s="328"/>
      <c r="O568" s="83"/>
      <c r="P568" s="83"/>
      <c r="Q568" s="83"/>
      <c r="R568" s="83"/>
      <c r="S568" s="83"/>
      <c r="T568" s="83"/>
      <c r="U568" s="83"/>
      <c r="V568" s="83"/>
      <c r="W568" s="83"/>
      <c r="X568" s="83"/>
      <c r="Y568" s="83"/>
      <c r="Z568" s="83"/>
      <c r="AA568" s="83"/>
      <c r="AB568" s="83"/>
      <c r="AC568" s="83"/>
      <c r="AD568" s="83"/>
      <c r="AE568" s="83"/>
      <c r="AF568" s="83"/>
      <c r="AG568" s="83"/>
      <c r="AH568" s="83"/>
    </row>
    <row r="569" spans="1:34" ht="69.75" customHeight="1" x14ac:dyDescent="0.25">
      <c r="A569" s="829"/>
      <c r="B569" s="731"/>
      <c r="C569" s="731"/>
      <c r="D569" s="329" t="s">
        <v>674</v>
      </c>
      <c r="E569" s="336">
        <v>729276096</v>
      </c>
      <c r="F569" s="335">
        <v>438481100</v>
      </c>
      <c r="G569" s="332"/>
      <c r="H569" s="83"/>
      <c r="I569" s="83"/>
      <c r="J569" s="327"/>
      <c r="K569" s="83"/>
      <c r="L569" s="83"/>
      <c r="M569" s="83"/>
      <c r="N569" s="328"/>
      <c r="O569" s="83"/>
      <c r="P569" s="83"/>
      <c r="Q569" s="83"/>
      <c r="R569" s="83"/>
      <c r="S569" s="83"/>
      <c r="T569" s="83"/>
      <c r="U569" s="83"/>
      <c r="V569" s="83"/>
      <c r="W569" s="83"/>
      <c r="X569" s="83"/>
      <c r="Y569" s="83"/>
      <c r="Z569" s="83"/>
      <c r="AA569" s="83"/>
      <c r="AB569" s="83"/>
      <c r="AC569" s="83"/>
      <c r="AD569" s="83"/>
      <c r="AE569" s="83"/>
      <c r="AF569" s="83"/>
      <c r="AG569" s="83"/>
      <c r="AH569" s="83"/>
    </row>
    <row r="570" spans="1:34" ht="69.75" customHeight="1" x14ac:dyDescent="0.25">
      <c r="A570" s="829"/>
      <c r="B570" s="30" t="s">
        <v>747</v>
      </c>
      <c r="C570" s="30" t="s">
        <v>748</v>
      </c>
      <c r="D570" s="329" t="s">
        <v>926</v>
      </c>
      <c r="E570" s="334">
        <v>322224768</v>
      </c>
      <c r="F570" s="335">
        <v>303081400</v>
      </c>
      <c r="G570" s="326"/>
      <c r="H570" s="83"/>
      <c r="I570" s="83"/>
      <c r="J570" s="327"/>
      <c r="K570" s="83"/>
      <c r="L570" s="83"/>
      <c r="M570" s="83"/>
      <c r="N570" s="328"/>
      <c r="O570" s="83"/>
      <c r="P570" s="83"/>
      <c r="Q570" s="83"/>
      <c r="R570" s="83"/>
      <c r="S570" s="83"/>
      <c r="T570" s="83"/>
      <c r="U570" s="83"/>
      <c r="V570" s="83"/>
      <c r="W570" s="83"/>
      <c r="X570" s="83"/>
      <c r="Y570" s="83"/>
      <c r="Z570" s="83"/>
      <c r="AA570" s="83"/>
      <c r="AB570" s="83"/>
      <c r="AC570" s="83"/>
      <c r="AD570" s="83"/>
      <c r="AE570" s="83"/>
      <c r="AF570" s="83"/>
      <c r="AG570" s="83"/>
      <c r="AH570" s="83"/>
    </row>
    <row r="571" spans="1:34" ht="69.75" customHeight="1" x14ac:dyDescent="0.25">
      <c r="A571" s="823"/>
      <c r="B571" s="30" t="s">
        <v>751</v>
      </c>
      <c r="C571" s="30" t="s">
        <v>752</v>
      </c>
      <c r="D571" s="329" t="s">
        <v>370</v>
      </c>
      <c r="E571" s="334">
        <v>775730000</v>
      </c>
      <c r="F571" s="335">
        <v>495567917</v>
      </c>
      <c r="G571" s="326"/>
      <c r="H571" s="83"/>
      <c r="I571" s="83"/>
      <c r="J571" s="327"/>
      <c r="K571" s="83"/>
      <c r="L571" s="83"/>
      <c r="M571" s="83"/>
      <c r="N571" s="328"/>
      <c r="O571" s="83"/>
      <c r="P571" s="83"/>
      <c r="Q571" s="83"/>
      <c r="R571" s="83"/>
      <c r="S571" s="83"/>
      <c r="T571" s="83"/>
      <c r="U571" s="83"/>
      <c r="V571" s="83"/>
      <c r="W571" s="83"/>
      <c r="X571" s="83"/>
      <c r="Y571" s="83"/>
      <c r="Z571" s="83"/>
      <c r="AA571" s="83"/>
      <c r="AB571" s="83"/>
      <c r="AC571" s="83"/>
      <c r="AD571" s="83"/>
      <c r="AE571" s="83"/>
      <c r="AF571" s="83"/>
      <c r="AG571" s="83"/>
      <c r="AH571" s="83"/>
    </row>
    <row r="572" spans="1:34" ht="17.25" customHeight="1" x14ac:dyDescent="0.25">
      <c r="A572" s="337"/>
      <c r="B572" s="338"/>
      <c r="C572" s="338"/>
      <c r="D572" s="339"/>
      <c r="E572" s="340"/>
      <c r="F572" s="340"/>
      <c r="G572" s="341"/>
      <c r="H572" s="83"/>
      <c r="I572" s="83"/>
      <c r="J572" s="327"/>
      <c r="K572" s="83"/>
      <c r="L572" s="83"/>
      <c r="M572" s="83"/>
      <c r="N572" s="328"/>
      <c r="O572" s="83"/>
      <c r="P572" s="83"/>
      <c r="Q572" s="83"/>
      <c r="R572" s="83"/>
      <c r="S572" s="83"/>
      <c r="T572" s="83"/>
      <c r="U572" s="83"/>
      <c r="V572" s="83"/>
      <c r="W572" s="83"/>
      <c r="X572" s="83"/>
      <c r="Y572" s="83"/>
      <c r="Z572" s="83"/>
      <c r="AA572" s="83"/>
      <c r="AB572" s="83"/>
      <c r="AC572" s="83"/>
      <c r="AD572" s="83"/>
      <c r="AE572" s="83"/>
      <c r="AF572" s="83"/>
      <c r="AG572" s="83"/>
      <c r="AH572" s="83"/>
    </row>
    <row r="573" spans="1:34" ht="15.75" customHeight="1" x14ac:dyDescent="0.3">
      <c r="A573" s="877" t="s">
        <v>933</v>
      </c>
      <c r="B573" s="695"/>
      <c r="C573" s="695"/>
      <c r="D573" s="695"/>
      <c r="E573" s="695"/>
      <c r="F573" s="695"/>
      <c r="G573" s="736"/>
      <c r="J573" s="120"/>
      <c r="N573" s="197"/>
    </row>
    <row r="574" spans="1:34" ht="66" customHeight="1" x14ac:dyDescent="0.25">
      <c r="A574" s="198" t="s">
        <v>27</v>
      </c>
      <c r="B574" s="128" t="s">
        <v>726</v>
      </c>
      <c r="C574" s="128" t="s">
        <v>727</v>
      </c>
      <c r="D574" s="128" t="s">
        <v>920</v>
      </c>
      <c r="E574" s="128" t="s">
        <v>934</v>
      </c>
      <c r="F574" s="128" t="s">
        <v>935</v>
      </c>
      <c r="G574" s="313" t="s">
        <v>923</v>
      </c>
      <c r="J574" s="120"/>
      <c r="N574" s="197"/>
    </row>
    <row r="575" spans="1:34" ht="69.75" customHeight="1" x14ac:dyDescent="0.25">
      <c r="A575" s="874" t="s">
        <v>715</v>
      </c>
      <c r="B575" s="878" t="s">
        <v>739</v>
      </c>
      <c r="C575" s="878" t="s">
        <v>740</v>
      </c>
      <c r="D575" s="324" t="s">
        <v>339</v>
      </c>
      <c r="E575" s="325">
        <v>574654000</v>
      </c>
      <c r="F575" s="61">
        <v>0</v>
      </c>
      <c r="G575" s="326"/>
      <c r="H575" s="83"/>
      <c r="I575" s="83"/>
      <c r="J575" s="327"/>
      <c r="K575" s="83"/>
      <c r="L575" s="83"/>
      <c r="M575" s="83"/>
      <c r="N575" s="328"/>
      <c r="O575" s="83"/>
      <c r="P575" s="83"/>
      <c r="Q575" s="83"/>
      <c r="R575" s="83"/>
      <c r="S575" s="83"/>
      <c r="T575" s="83"/>
      <c r="U575" s="83"/>
      <c r="V575" s="83"/>
      <c r="W575" s="83"/>
      <c r="X575" s="83"/>
      <c r="Y575" s="83"/>
      <c r="Z575" s="83"/>
      <c r="AA575" s="83"/>
      <c r="AB575" s="83"/>
      <c r="AC575" s="83"/>
      <c r="AD575" s="83"/>
      <c r="AE575" s="83"/>
      <c r="AF575" s="83"/>
      <c r="AG575" s="83"/>
      <c r="AH575" s="83"/>
    </row>
    <row r="576" spans="1:34" ht="69.75" customHeight="1" x14ac:dyDescent="0.25">
      <c r="A576" s="829"/>
      <c r="B576" s="710"/>
      <c r="C576" s="710"/>
      <c r="D576" s="324" t="s">
        <v>349</v>
      </c>
      <c r="E576" s="325">
        <v>198130000</v>
      </c>
      <c r="F576" s="61">
        <v>0</v>
      </c>
      <c r="G576" s="326"/>
      <c r="H576" s="83"/>
      <c r="I576" s="83"/>
      <c r="J576" s="327"/>
      <c r="K576" s="83"/>
      <c r="L576" s="83"/>
      <c r="M576" s="83"/>
      <c r="N576" s="328"/>
      <c r="O576" s="83"/>
      <c r="P576" s="83"/>
      <c r="Q576" s="83"/>
      <c r="R576" s="83"/>
      <c r="S576" s="83"/>
      <c r="T576" s="83"/>
      <c r="U576" s="83"/>
      <c r="V576" s="83"/>
      <c r="W576" s="83"/>
      <c r="X576" s="83"/>
      <c r="Y576" s="83"/>
      <c r="Z576" s="83"/>
      <c r="AA576" s="83"/>
      <c r="AB576" s="83"/>
      <c r="AC576" s="83"/>
      <c r="AD576" s="83"/>
      <c r="AE576" s="83"/>
      <c r="AF576" s="83"/>
      <c r="AG576" s="83"/>
      <c r="AH576" s="83"/>
    </row>
    <row r="577" spans="1:34" ht="69.75" customHeight="1" x14ac:dyDescent="0.25">
      <c r="A577" s="829"/>
      <c r="B577" s="731"/>
      <c r="C577" s="731"/>
      <c r="D577" s="324" t="s">
        <v>351</v>
      </c>
      <c r="E577" s="325">
        <v>34285000</v>
      </c>
      <c r="F577" s="61">
        <v>0</v>
      </c>
      <c r="G577" s="326"/>
      <c r="H577" s="83"/>
      <c r="I577" s="83"/>
      <c r="J577" s="327"/>
      <c r="K577" s="83"/>
      <c r="L577" s="83"/>
      <c r="M577" s="83"/>
      <c r="N577" s="328"/>
      <c r="O577" s="83"/>
      <c r="P577" s="83"/>
      <c r="Q577" s="83"/>
      <c r="R577" s="83"/>
      <c r="S577" s="83"/>
      <c r="T577" s="83"/>
      <c r="U577" s="83"/>
      <c r="V577" s="83"/>
      <c r="W577" s="83"/>
      <c r="X577" s="83"/>
      <c r="Y577" s="83"/>
      <c r="Z577" s="83"/>
      <c r="AA577" s="83"/>
      <c r="AB577" s="83"/>
      <c r="AC577" s="83"/>
      <c r="AD577" s="83"/>
      <c r="AE577" s="83"/>
      <c r="AF577" s="83"/>
      <c r="AG577" s="83"/>
      <c r="AH577" s="83"/>
    </row>
    <row r="578" spans="1:34" ht="69.75" customHeight="1" x14ac:dyDescent="0.25">
      <c r="A578" s="829"/>
      <c r="B578" s="749" t="s">
        <v>743</v>
      </c>
      <c r="C578" s="749" t="s">
        <v>744</v>
      </c>
      <c r="D578" s="329" t="s">
        <v>354</v>
      </c>
      <c r="E578" s="325">
        <v>68299000</v>
      </c>
      <c r="F578" s="61">
        <v>0</v>
      </c>
      <c r="G578" s="326"/>
      <c r="H578" s="83"/>
      <c r="I578" s="83"/>
      <c r="J578" s="327"/>
      <c r="K578" s="83"/>
      <c r="L578" s="83"/>
      <c r="M578" s="83"/>
      <c r="N578" s="328"/>
      <c r="O578" s="83"/>
      <c r="P578" s="83"/>
      <c r="Q578" s="83"/>
      <c r="R578" s="83"/>
      <c r="S578" s="83"/>
      <c r="T578" s="83"/>
      <c r="U578" s="83"/>
      <c r="V578" s="83"/>
      <c r="W578" s="83"/>
      <c r="X578" s="83"/>
      <c r="Y578" s="83"/>
      <c r="Z578" s="83"/>
      <c r="AA578" s="83"/>
      <c r="AB578" s="83"/>
      <c r="AC578" s="83"/>
      <c r="AD578" s="83"/>
      <c r="AE578" s="83"/>
      <c r="AF578" s="83"/>
      <c r="AG578" s="83"/>
      <c r="AH578" s="83"/>
    </row>
    <row r="579" spans="1:34" ht="69.75" customHeight="1" x14ac:dyDescent="0.25">
      <c r="A579" s="829"/>
      <c r="B579" s="710"/>
      <c r="C579" s="710"/>
      <c r="D579" s="329" t="s">
        <v>924</v>
      </c>
      <c r="E579" s="325">
        <v>699388000</v>
      </c>
      <c r="F579" s="61">
        <v>0</v>
      </c>
      <c r="G579" s="326"/>
      <c r="H579" s="83"/>
      <c r="I579" s="83"/>
      <c r="J579" s="327"/>
      <c r="K579" s="83"/>
      <c r="L579" s="83"/>
      <c r="M579" s="83"/>
      <c r="N579" s="328"/>
      <c r="O579" s="83"/>
      <c r="P579" s="83"/>
      <c r="Q579" s="83"/>
      <c r="R579" s="83"/>
      <c r="S579" s="83"/>
      <c r="T579" s="83"/>
      <c r="U579" s="83"/>
      <c r="V579" s="83"/>
      <c r="W579" s="83"/>
      <c r="X579" s="83"/>
      <c r="Y579" s="83"/>
      <c r="Z579" s="83"/>
      <c r="AA579" s="83"/>
      <c r="AB579" s="83"/>
      <c r="AC579" s="83"/>
      <c r="AD579" s="83"/>
      <c r="AE579" s="83"/>
      <c r="AF579" s="83"/>
      <c r="AG579" s="83"/>
      <c r="AH579" s="83"/>
    </row>
    <row r="580" spans="1:34" ht="69.75" customHeight="1" x14ac:dyDescent="0.25">
      <c r="A580" s="829"/>
      <c r="B580" s="710"/>
      <c r="C580" s="710"/>
      <c r="D580" s="329" t="s">
        <v>925</v>
      </c>
      <c r="E580" s="325">
        <v>349839000</v>
      </c>
      <c r="F580" s="61">
        <v>0</v>
      </c>
      <c r="G580" s="326"/>
      <c r="H580" s="83"/>
      <c r="I580" s="83"/>
      <c r="J580" s="327"/>
      <c r="K580" s="83"/>
      <c r="L580" s="83"/>
      <c r="M580" s="83"/>
      <c r="N580" s="328"/>
      <c r="O580" s="83"/>
      <c r="P580" s="83"/>
      <c r="Q580" s="83"/>
      <c r="R580" s="83"/>
      <c r="S580" s="83"/>
      <c r="T580" s="83"/>
      <c r="U580" s="83"/>
      <c r="V580" s="83"/>
      <c r="W580" s="83"/>
      <c r="X580" s="83"/>
      <c r="Y580" s="83"/>
      <c r="Z580" s="83"/>
      <c r="AA580" s="83"/>
      <c r="AB580" s="83"/>
      <c r="AC580" s="83"/>
      <c r="AD580" s="83"/>
      <c r="AE580" s="83"/>
      <c r="AF580" s="83"/>
      <c r="AG580" s="83"/>
      <c r="AH580" s="83"/>
    </row>
    <row r="581" spans="1:34" ht="69.75" customHeight="1" x14ac:dyDescent="0.25">
      <c r="A581" s="829"/>
      <c r="B581" s="731"/>
      <c r="C581" s="731"/>
      <c r="D581" s="329" t="s">
        <v>674</v>
      </c>
      <c r="E581" s="330">
        <v>482999000</v>
      </c>
      <c r="F581" s="331">
        <v>0</v>
      </c>
      <c r="G581" s="332"/>
      <c r="H581" s="83"/>
      <c r="I581" s="83"/>
      <c r="J581" s="327"/>
      <c r="K581" s="83"/>
      <c r="L581" s="83"/>
      <c r="M581" s="83"/>
      <c r="N581" s="328"/>
      <c r="O581" s="83"/>
      <c r="P581" s="83"/>
      <c r="Q581" s="83"/>
      <c r="R581" s="83"/>
      <c r="S581" s="83"/>
      <c r="T581" s="83"/>
      <c r="U581" s="83"/>
      <c r="V581" s="83"/>
      <c r="W581" s="83"/>
      <c r="X581" s="83"/>
      <c r="Y581" s="83"/>
      <c r="Z581" s="83"/>
      <c r="AA581" s="83"/>
      <c r="AB581" s="83"/>
      <c r="AC581" s="83"/>
      <c r="AD581" s="83"/>
      <c r="AE581" s="83"/>
      <c r="AF581" s="83"/>
      <c r="AG581" s="83"/>
      <c r="AH581" s="83"/>
    </row>
    <row r="582" spans="1:34" ht="69.75" customHeight="1" x14ac:dyDescent="0.25">
      <c r="A582" s="829"/>
      <c r="B582" s="30" t="s">
        <v>747</v>
      </c>
      <c r="C582" s="30" t="s">
        <v>748</v>
      </c>
      <c r="D582" s="329" t="s">
        <v>926</v>
      </c>
      <c r="E582" s="325">
        <v>250350000</v>
      </c>
      <c r="F582" s="61">
        <v>0</v>
      </c>
      <c r="G582" s="326"/>
      <c r="H582" s="83"/>
      <c r="I582" s="83"/>
      <c r="J582" s="327"/>
      <c r="K582" s="83"/>
      <c r="L582" s="83"/>
      <c r="M582" s="83"/>
      <c r="N582" s="328"/>
      <c r="O582" s="83"/>
      <c r="P582" s="83"/>
      <c r="Q582" s="83"/>
      <c r="R582" s="83"/>
      <c r="S582" s="83"/>
      <c r="T582" s="83"/>
      <c r="U582" s="83"/>
      <c r="V582" s="83"/>
      <c r="W582" s="83"/>
      <c r="X582" s="83"/>
      <c r="Y582" s="83"/>
      <c r="Z582" s="83"/>
      <c r="AA582" s="83"/>
      <c r="AB582" s="83"/>
      <c r="AC582" s="83"/>
      <c r="AD582" s="83"/>
      <c r="AE582" s="83"/>
      <c r="AF582" s="83"/>
      <c r="AG582" s="83"/>
      <c r="AH582" s="83"/>
    </row>
    <row r="583" spans="1:34" ht="69.75" customHeight="1" x14ac:dyDescent="0.25">
      <c r="A583" s="823"/>
      <c r="B583" s="30" t="s">
        <v>751</v>
      </c>
      <c r="C583" s="30" t="s">
        <v>752</v>
      </c>
      <c r="D583" s="329" t="s">
        <v>370</v>
      </c>
      <c r="E583" s="325">
        <v>801561000</v>
      </c>
      <c r="F583" s="61">
        <v>0</v>
      </c>
      <c r="G583" s="326"/>
      <c r="H583" s="83"/>
      <c r="I583" s="83"/>
      <c r="J583" s="327"/>
      <c r="K583" s="83"/>
      <c r="L583" s="83"/>
      <c r="M583" s="83"/>
      <c r="N583" s="328"/>
      <c r="O583" s="83"/>
      <c r="P583" s="83"/>
      <c r="Q583" s="83"/>
      <c r="R583" s="83"/>
      <c r="S583" s="83"/>
      <c r="T583" s="83"/>
      <c r="U583" s="83"/>
      <c r="V583" s="83"/>
      <c r="W583" s="83"/>
      <c r="X583" s="83"/>
      <c r="Y583" s="83"/>
      <c r="Z583" s="83"/>
      <c r="AA583" s="83"/>
      <c r="AB583" s="83"/>
      <c r="AC583" s="83"/>
      <c r="AD583" s="83"/>
      <c r="AE583" s="83"/>
      <c r="AF583" s="83"/>
      <c r="AG583" s="83"/>
      <c r="AH583" s="83"/>
    </row>
    <row r="584" spans="1:34" ht="69.75" customHeight="1" x14ac:dyDescent="0.25">
      <c r="A584" s="874" t="s">
        <v>716</v>
      </c>
      <c r="B584" s="878" t="s">
        <v>739</v>
      </c>
      <c r="C584" s="878" t="s">
        <v>740</v>
      </c>
      <c r="D584" s="324" t="s">
        <v>339</v>
      </c>
      <c r="E584" s="325">
        <v>574654000</v>
      </c>
      <c r="F584" s="61">
        <v>0</v>
      </c>
      <c r="G584" s="326"/>
      <c r="H584" s="83"/>
      <c r="I584" s="83"/>
      <c r="J584" s="327"/>
      <c r="K584" s="83"/>
      <c r="L584" s="83"/>
      <c r="M584" s="83"/>
      <c r="N584" s="328"/>
      <c r="O584" s="83"/>
      <c r="P584" s="83"/>
      <c r="Q584" s="83"/>
      <c r="R584" s="83"/>
      <c r="S584" s="83"/>
      <c r="T584" s="83"/>
      <c r="U584" s="83"/>
      <c r="V584" s="83"/>
      <c r="W584" s="83"/>
      <c r="X584" s="83"/>
      <c r="Y584" s="83"/>
      <c r="Z584" s="83"/>
      <c r="AA584" s="83"/>
      <c r="AB584" s="83"/>
      <c r="AC584" s="83"/>
      <c r="AD584" s="83"/>
      <c r="AE584" s="83"/>
      <c r="AF584" s="83"/>
      <c r="AG584" s="83"/>
      <c r="AH584" s="83"/>
    </row>
    <row r="585" spans="1:34" ht="69.75" customHeight="1" x14ac:dyDescent="0.25">
      <c r="A585" s="829"/>
      <c r="B585" s="710"/>
      <c r="C585" s="710"/>
      <c r="D585" s="324" t="s">
        <v>349</v>
      </c>
      <c r="E585" s="325">
        <v>198130000</v>
      </c>
      <c r="F585" s="61">
        <v>0</v>
      </c>
      <c r="G585" s="326"/>
      <c r="H585" s="83"/>
      <c r="I585" s="83"/>
      <c r="J585" s="327"/>
      <c r="K585" s="83"/>
      <c r="L585" s="83"/>
      <c r="M585" s="83"/>
      <c r="N585" s="328"/>
      <c r="O585" s="83"/>
      <c r="P585" s="83"/>
      <c r="Q585" s="83"/>
      <c r="R585" s="83"/>
      <c r="S585" s="83"/>
      <c r="T585" s="83"/>
      <c r="U585" s="83"/>
      <c r="V585" s="83"/>
      <c r="W585" s="83"/>
      <c r="X585" s="83"/>
      <c r="Y585" s="83"/>
      <c r="Z585" s="83"/>
      <c r="AA585" s="83"/>
      <c r="AB585" s="83"/>
      <c r="AC585" s="83"/>
      <c r="AD585" s="83"/>
      <c r="AE585" s="83"/>
      <c r="AF585" s="83"/>
      <c r="AG585" s="83"/>
      <c r="AH585" s="83"/>
    </row>
    <row r="586" spans="1:34" ht="69.75" customHeight="1" x14ac:dyDescent="0.25">
      <c r="A586" s="829"/>
      <c r="B586" s="731"/>
      <c r="C586" s="731"/>
      <c r="D586" s="324" t="s">
        <v>351</v>
      </c>
      <c r="E586" s="325">
        <v>34285000</v>
      </c>
      <c r="F586" s="61">
        <v>0</v>
      </c>
      <c r="G586" s="326"/>
      <c r="H586" s="83"/>
      <c r="I586" s="83"/>
      <c r="J586" s="327"/>
      <c r="K586" s="83"/>
      <c r="L586" s="83"/>
      <c r="M586" s="83"/>
      <c r="N586" s="328"/>
      <c r="O586" s="83"/>
      <c r="P586" s="83"/>
      <c r="Q586" s="83"/>
      <c r="R586" s="83"/>
      <c r="S586" s="83"/>
      <c r="T586" s="83"/>
      <c r="U586" s="83"/>
      <c r="V586" s="83"/>
      <c r="W586" s="83"/>
      <c r="X586" s="83"/>
      <c r="Y586" s="83"/>
      <c r="Z586" s="83"/>
      <c r="AA586" s="83"/>
      <c r="AB586" s="83"/>
      <c r="AC586" s="83"/>
      <c r="AD586" s="83"/>
      <c r="AE586" s="83"/>
      <c r="AF586" s="83"/>
      <c r="AG586" s="83"/>
      <c r="AH586" s="83"/>
    </row>
    <row r="587" spans="1:34" ht="69.75" customHeight="1" x14ac:dyDescent="0.25">
      <c r="A587" s="829"/>
      <c r="B587" s="749" t="s">
        <v>743</v>
      </c>
      <c r="C587" s="749" t="s">
        <v>744</v>
      </c>
      <c r="D587" s="329" t="s">
        <v>354</v>
      </c>
      <c r="E587" s="325">
        <v>68299000</v>
      </c>
      <c r="F587" s="61">
        <v>0</v>
      </c>
      <c r="G587" s="326"/>
      <c r="H587" s="83"/>
      <c r="I587" s="83"/>
      <c r="J587" s="327"/>
      <c r="K587" s="83"/>
      <c r="L587" s="83"/>
      <c r="M587" s="83"/>
      <c r="N587" s="328"/>
      <c r="O587" s="83"/>
      <c r="P587" s="83"/>
      <c r="Q587" s="83"/>
      <c r="R587" s="83"/>
      <c r="S587" s="83"/>
      <c r="T587" s="83"/>
      <c r="U587" s="83"/>
      <c r="V587" s="83"/>
      <c r="W587" s="83"/>
      <c r="X587" s="83"/>
      <c r="Y587" s="83"/>
      <c r="Z587" s="83"/>
      <c r="AA587" s="83"/>
      <c r="AB587" s="83"/>
      <c r="AC587" s="83"/>
      <c r="AD587" s="83"/>
      <c r="AE587" s="83"/>
      <c r="AF587" s="83"/>
      <c r="AG587" s="83"/>
      <c r="AH587" s="83"/>
    </row>
    <row r="588" spans="1:34" ht="69.75" customHeight="1" x14ac:dyDescent="0.25">
      <c r="A588" s="829"/>
      <c r="B588" s="710"/>
      <c r="C588" s="710"/>
      <c r="D588" s="329" t="s">
        <v>924</v>
      </c>
      <c r="E588" s="325">
        <v>699388000</v>
      </c>
      <c r="F588" s="61">
        <v>0</v>
      </c>
      <c r="G588" s="326"/>
      <c r="H588" s="83"/>
      <c r="I588" s="83"/>
      <c r="J588" s="327"/>
      <c r="K588" s="83"/>
      <c r="L588" s="83"/>
      <c r="M588" s="83"/>
      <c r="N588" s="328"/>
      <c r="O588" s="83"/>
      <c r="P588" s="83"/>
      <c r="Q588" s="83"/>
      <c r="R588" s="83"/>
      <c r="S588" s="83"/>
      <c r="T588" s="83"/>
      <c r="U588" s="83"/>
      <c r="V588" s="83"/>
      <c r="W588" s="83"/>
      <c r="X588" s="83"/>
      <c r="Y588" s="83"/>
      <c r="Z588" s="83"/>
      <c r="AA588" s="83"/>
      <c r="AB588" s="83"/>
      <c r="AC588" s="83"/>
      <c r="AD588" s="83"/>
      <c r="AE588" s="83"/>
      <c r="AF588" s="83"/>
      <c r="AG588" s="83"/>
      <c r="AH588" s="83"/>
    </row>
    <row r="589" spans="1:34" ht="69.75" customHeight="1" x14ac:dyDescent="0.25">
      <c r="A589" s="829"/>
      <c r="B589" s="710"/>
      <c r="C589" s="710"/>
      <c r="D589" s="329" t="s">
        <v>925</v>
      </c>
      <c r="E589" s="325">
        <v>349839000</v>
      </c>
      <c r="F589" s="61">
        <v>0</v>
      </c>
      <c r="G589" s="326"/>
      <c r="H589" s="83"/>
      <c r="I589" s="83"/>
      <c r="J589" s="327"/>
      <c r="K589" s="83"/>
      <c r="L589" s="83"/>
      <c r="M589" s="83"/>
      <c r="N589" s="328"/>
      <c r="O589" s="83"/>
      <c r="P589" s="83"/>
      <c r="Q589" s="83"/>
      <c r="R589" s="83"/>
      <c r="S589" s="83"/>
      <c r="T589" s="83"/>
      <c r="U589" s="83"/>
      <c r="V589" s="83"/>
      <c r="W589" s="83"/>
      <c r="X589" s="83"/>
      <c r="Y589" s="83"/>
      <c r="Z589" s="83"/>
      <c r="AA589" s="83"/>
      <c r="AB589" s="83"/>
      <c r="AC589" s="83"/>
      <c r="AD589" s="83"/>
      <c r="AE589" s="83"/>
      <c r="AF589" s="83"/>
      <c r="AG589" s="83"/>
      <c r="AH589" s="83"/>
    </row>
    <row r="590" spans="1:34" ht="69.75" customHeight="1" x14ac:dyDescent="0.25">
      <c r="A590" s="829"/>
      <c r="B590" s="731"/>
      <c r="C590" s="731"/>
      <c r="D590" s="329" t="s">
        <v>674</v>
      </c>
      <c r="E590" s="330">
        <v>482999000</v>
      </c>
      <c r="F590" s="331">
        <v>0</v>
      </c>
      <c r="G590" s="332"/>
      <c r="H590" s="83"/>
      <c r="I590" s="83"/>
      <c r="J590" s="327"/>
      <c r="K590" s="83"/>
      <c r="L590" s="83"/>
      <c r="M590" s="83"/>
      <c r="N590" s="328"/>
      <c r="O590" s="83"/>
      <c r="P590" s="83"/>
      <c r="Q590" s="83"/>
      <c r="R590" s="83"/>
      <c r="S590" s="83"/>
      <c r="T590" s="83"/>
      <c r="U590" s="83"/>
      <c r="V590" s="83"/>
      <c r="W590" s="83"/>
      <c r="X590" s="83"/>
      <c r="Y590" s="83"/>
      <c r="Z590" s="83"/>
      <c r="AA590" s="83"/>
      <c r="AB590" s="83"/>
      <c r="AC590" s="83"/>
      <c r="AD590" s="83"/>
      <c r="AE590" s="83"/>
      <c r="AF590" s="83"/>
      <c r="AG590" s="83"/>
      <c r="AH590" s="83"/>
    </row>
    <row r="591" spans="1:34" ht="69.75" customHeight="1" x14ac:dyDescent="0.25">
      <c r="A591" s="829"/>
      <c r="B591" s="30" t="s">
        <v>747</v>
      </c>
      <c r="C591" s="30" t="s">
        <v>748</v>
      </c>
      <c r="D591" s="329" t="s">
        <v>926</v>
      </c>
      <c r="E591" s="325">
        <v>250350000</v>
      </c>
      <c r="F591" s="61">
        <v>0</v>
      </c>
      <c r="G591" s="326"/>
      <c r="H591" s="83"/>
      <c r="I591" s="83"/>
      <c r="J591" s="327"/>
      <c r="K591" s="83"/>
      <c r="L591" s="83"/>
      <c r="M591" s="83"/>
      <c r="N591" s="328"/>
      <c r="O591" s="83"/>
      <c r="P591" s="83"/>
      <c r="Q591" s="83"/>
      <c r="R591" s="83"/>
      <c r="S591" s="83"/>
      <c r="T591" s="83"/>
      <c r="U591" s="83"/>
      <c r="V591" s="83"/>
      <c r="W591" s="83"/>
      <c r="X591" s="83"/>
      <c r="Y591" s="83"/>
      <c r="Z591" s="83"/>
      <c r="AA591" s="83"/>
      <c r="AB591" s="83"/>
      <c r="AC591" s="83"/>
      <c r="AD591" s="83"/>
      <c r="AE591" s="83"/>
      <c r="AF591" s="83"/>
      <c r="AG591" s="83"/>
      <c r="AH591" s="83"/>
    </row>
    <row r="592" spans="1:34" ht="69.75" customHeight="1" x14ac:dyDescent="0.25">
      <c r="A592" s="823"/>
      <c r="B592" s="30" t="s">
        <v>751</v>
      </c>
      <c r="C592" s="30" t="s">
        <v>752</v>
      </c>
      <c r="D592" s="329" t="s">
        <v>370</v>
      </c>
      <c r="E592" s="325">
        <v>801561000</v>
      </c>
      <c r="F592" s="325">
        <v>5482052</v>
      </c>
      <c r="G592" s="326"/>
      <c r="H592" s="83"/>
      <c r="I592" s="83"/>
      <c r="J592" s="327"/>
      <c r="K592" s="83"/>
      <c r="L592" s="83"/>
      <c r="M592" s="83"/>
      <c r="N592" s="328"/>
      <c r="O592" s="83"/>
      <c r="P592" s="83"/>
      <c r="Q592" s="83"/>
      <c r="R592" s="83"/>
      <c r="S592" s="83"/>
      <c r="T592" s="83"/>
      <c r="U592" s="83"/>
      <c r="V592" s="83"/>
      <c r="W592" s="83"/>
      <c r="X592" s="83"/>
      <c r="Y592" s="83"/>
      <c r="Z592" s="83"/>
      <c r="AA592" s="83"/>
      <c r="AB592" s="83"/>
      <c r="AC592" s="83"/>
      <c r="AD592" s="83"/>
      <c r="AE592" s="83"/>
      <c r="AF592" s="83"/>
      <c r="AG592" s="83"/>
      <c r="AH592" s="83"/>
    </row>
    <row r="593" spans="1:34" ht="69.75" customHeight="1" x14ac:dyDescent="0.25">
      <c r="A593" s="874" t="s">
        <v>717</v>
      </c>
      <c r="B593" s="878" t="s">
        <v>739</v>
      </c>
      <c r="C593" s="878" t="s">
        <v>740</v>
      </c>
      <c r="D593" s="324" t="s">
        <v>339</v>
      </c>
      <c r="E593" s="325">
        <v>574654000</v>
      </c>
      <c r="F593" s="325">
        <v>12993393</v>
      </c>
      <c r="G593" s="326"/>
      <c r="H593" s="83"/>
      <c r="I593" s="83"/>
      <c r="J593" s="327"/>
      <c r="K593" s="83"/>
      <c r="L593" s="83"/>
      <c r="M593" s="83"/>
      <c r="N593" s="328"/>
      <c r="O593" s="83"/>
      <c r="P593" s="83"/>
      <c r="Q593" s="83"/>
      <c r="R593" s="83"/>
      <c r="S593" s="83"/>
      <c r="T593" s="83"/>
      <c r="U593" s="83"/>
      <c r="V593" s="83"/>
      <c r="W593" s="83"/>
      <c r="X593" s="83"/>
      <c r="Y593" s="83"/>
      <c r="Z593" s="83"/>
      <c r="AA593" s="83"/>
      <c r="AB593" s="83"/>
      <c r="AC593" s="83"/>
      <c r="AD593" s="83"/>
      <c r="AE593" s="83"/>
      <c r="AF593" s="83"/>
      <c r="AG593" s="83"/>
      <c r="AH593" s="83"/>
    </row>
    <row r="594" spans="1:34" ht="69.75" customHeight="1" x14ac:dyDescent="0.25">
      <c r="A594" s="829"/>
      <c r="B594" s="710"/>
      <c r="C594" s="710"/>
      <c r="D594" s="324" t="s">
        <v>349</v>
      </c>
      <c r="E594" s="325">
        <v>198130000</v>
      </c>
      <c r="F594" s="325">
        <v>7349100</v>
      </c>
      <c r="G594" s="326"/>
      <c r="H594" s="83"/>
      <c r="I594" s="83"/>
      <c r="J594" s="327"/>
      <c r="K594" s="83"/>
      <c r="L594" s="83"/>
      <c r="M594" s="83"/>
      <c r="N594" s="328"/>
      <c r="O594" s="83"/>
      <c r="P594" s="83"/>
      <c r="Q594" s="83"/>
      <c r="R594" s="83"/>
      <c r="S594" s="83"/>
      <c r="T594" s="83"/>
      <c r="U594" s="83"/>
      <c r="V594" s="83"/>
      <c r="W594" s="83"/>
      <c r="X594" s="83"/>
      <c r="Y594" s="83"/>
      <c r="Z594" s="83"/>
      <c r="AA594" s="83"/>
      <c r="AB594" s="83"/>
      <c r="AC594" s="83"/>
      <c r="AD594" s="83"/>
      <c r="AE594" s="83"/>
      <c r="AF594" s="83"/>
      <c r="AG594" s="83"/>
      <c r="AH594" s="83"/>
    </row>
    <row r="595" spans="1:34" ht="69.75" customHeight="1" x14ac:dyDescent="0.25">
      <c r="A595" s="829"/>
      <c r="B595" s="731"/>
      <c r="C595" s="731"/>
      <c r="D595" s="324" t="s">
        <v>351</v>
      </c>
      <c r="E595" s="325">
        <v>34285000</v>
      </c>
      <c r="F595" s="325">
        <v>2085333</v>
      </c>
      <c r="G595" s="326"/>
      <c r="H595" s="83"/>
      <c r="I595" s="83"/>
      <c r="J595" s="327"/>
      <c r="K595" s="83"/>
      <c r="L595" s="83"/>
      <c r="M595" s="83"/>
      <c r="N595" s="328"/>
      <c r="O595" s="83"/>
      <c r="P595" s="83"/>
      <c r="Q595" s="83"/>
      <c r="R595" s="83"/>
      <c r="S595" s="83"/>
      <c r="T595" s="83"/>
      <c r="U595" s="83"/>
      <c r="V595" s="83"/>
      <c r="W595" s="83"/>
      <c r="X595" s="83"/>
      <c r="Y595" s="83"/>
      <c r="Z595" s="83"/>
      <c r="AA595" s="83"/>
      <c r="AB595" s="83"/>
      <c r="AC595" s="83"/>
      <c r="AD595" s="83"/>
      <c r="AE595" s="83"/>
      <c r="AF595" s="83"/>
      <c r="AG595" s="83"/>
      <c r="AH595" s="83"/>
    </row>
    <row r="596" spans="1:34" ht="69.75" customHeight="1" x14ac:dyDescent="0.25">
      <c r="A596" s="829"/>
      <c r="B596" s="749" t="s">
        <v>743</v>
      </c>
      <c r="C596" s="749" t="s">
        <v>744</v>
      </c>
      <c r="D596" s="329" t="s">
        <v>354</v>
      </c>
      <c r="E596" s="325">
        <v>68299000</v>
      </c>
      <c r="F596" s="325">
        <v>0</v>
      </c>
      <c r="G596" s="326"/>
      <c r="H596" s="83"/>
      <c r="I596" s="83"/>
      <c r="J596" s="327"/>
      <c r="K596" s="83"/>
      <c r="L596" s="83"/>
      <c r="M596" s="83"/>
      <c r="N596" s="328"/>
      <c r="O596" s="83"/>
      <c r="P596" s="83"/>
      <c r="Q596" s="83"/>
      <c r="R596" s="83"/>
      <c r="S596" s="83"/>
      <c r="T596" s="83"/>
      <c r="U596" s="83"/>
      <c r="V596" s="83"/>
      <c r="W596" s="83"/>
      <c r="X596" s="83"/>
      <c r="Y596" s="83"/>
      <c r="Z596" s="83"/>
      <c r="AA596" s="83"/>
      <c r="AB596" s="83"/>
      <c r="AC596" s="83"/>
      <c r="AD596" s="83"/>
      <c r="AE596" s="83"/>
      <c r="AF596" s="83"/>
      <c r="AG596" s="83"/>
      <c r="AH596" s="83"/>
    </row>
    <row r="597" spans="1:34" ht="69.75" customHeight="1" x14ac:dyDescent="0.25">
      <c r="A597" s="829"/>
      <c r="B597" s="710"/>
      <c r="C597" s="710"/>
      <c r="D597" s="329" t="s">
        <v>924</v>
      </c>
      <c r="E597" s="325">
        <v>699388000</v>
      </c>
      <c r="F597" s="325">
        <v>0</v>
      </c>
      <c r="G597" s="326"/>
      <c r="H597" s="83"/>
      <c r="I597" s="83"/>
      <c r="J597" s="327"/>
      <c r="K597" s="83"/>
      <c r="L597" s="83"/>
      <c r="M597" s="83"/>
      <c r="N597" s="328"/>
      <c r="O597" s="83"/>
      <c r="P597" s="83"/>
      <c r="Q597" s="83"/>
      <c r="R597" s="83"/>
      <c r="S597" s="83"/>
      <c r="T597" s="83"/>
      <c r="U597" s="83"/>
      <c r="V597" s="83"/>
      <c r="W597" s="83"/>
      <c r="X597" s="83"/>
      <c r="Y597" s="83"/>
      <c r="Z597" s="83"/>
      <c r="AA597" s="83"/>
      <c r="AB597" s="83"/>
      <c r="AC597" s="83"/>
      <c r="AD597" s="83"/>
      <c r="AE597" s="83"/>
      <c r="AF597" s="83"/>
      <c r="AG597" s="83"/>
      <c r="AH597" s="83"/>
    </row>
    <row r="598" spans="1:34" ht="69.75" customHeight="1" x14ac:dyDescent="0.25">
      <c r="A598" s="829"/>
      <c r="B598" s="710"/>
      <c r="C598" s="710"/>
      <c r="D598" s="329" t="s">
        <v>925</v>
      </c>
      <c r="E598" s="325">
        <v>349839000</v>
      </c>
      <c r="F598" s="325">
        <v>14248600</v>
      </c>
      <c r="G598" s="326"/>
      <c r="H598" s="83"/>
      <c r="I598" s="83"/>
      <c r="J598" s="327"/>
      <c r="K598" s="83"/>
      <c r="L598" s="83"/>
      <c r="M598" s="83"/>
      <c r="N598" s="328"/>
      <c r="O598" s="83"/>
      <c r="P598" s="83"/>
      <c r="Q598" s="83"/>
      <c r="R598" s="83"/>
      <c r="S598" s="83"/>
      <c r="T598" s="83"/>
      <c r="U598" s="83"/>
      <c r="V598" s="83"/>
      <c r="W598" s="83"/>
      <c r="X598" s="83"/>
      <c r="Y598" s="83"/>
      <c r="Z598" s="83"/>
      <c r="AA598" s="83"/>
      <c r="AB598" s="83"/>
      <c r="AC598" s="83"/>
      <c r="AD598" s="83"/>
      <c r="AE598" s="83"/>
      <c r="AF598" s="83"/>
      <c r="AG598" s="83"/>
      <c r="AH598" s="83"/>
    </row>
    <row r="599" spans="1:34" ht="69.75" customHeight="1" x14ac:dyDescent="0.25">
      <c r="A599" s="829"/>
      <c r="B599" s="731"/>
      <c r="C599" s="731"/>
      <c r="D599" s="329" t="s">
        <v>674</v>
      </c>
      <c r="E599" s="330">
        <v>482999000</v>
      </c>
      <c r="F599" s="330">
        <v>13621034</v>
      </c>
      <c r="G599" s="326"/>
      <c r="H599" s="83"/>
      <c r="I599" s="83"/>
      <c r="J599" s="327"/>
      <c r="K599" s="83"/>
      <c r="L599" s="83"/>
      <c r="M599" s="83"/>
      <c r="N599" s="328"/>
      <c r="O599" s="83"/>
      <c r="P599" s="83"/>
      <c r="Q599" s="83"/>
      <c r="R599" s="83"/>
      <c r="S599" s="83"/>
      <c r="T599" s="83"/>
      <c r="U599" s="83"/>
      <c r="V599" s="83"/>
      <c r="W599" s="83"/>
      <c r="X599" s="83"/>
      <c r="Y599" s="83"/>
      <c r="Z599" s="83"/>
      <c r="AA599" s="83"/>
      <c r="AB599" s="83"/>
      <c r="AC599" s="83"/>
      <c r="AD599" s="83"/>
      <c r="AE599" s="83"/>
      <c r="AF599" s="83"/>
      <c r="AG599" s="83"/>
      <c r="AH599" s="83"/>
    </row>
    <row r="600" spans="1:34" ht="69.75" customHeight="1" x14ac:dyDescent="0.25">
      <c r="A600" s="829"/>
      <c r="B600" s="30" t="s">
        <v>747</v>
      </c>
      <c r="C600" s="30" t="s">
        <v>748</v>
      </c>
      <c r="D600" s="329" t="s">
        <v>926</v>
      </c>
      <c r="E600" s="325">
        <v>250350000</v>
      </c>
      <c r="F600" s="325">
        <v>5581534</v>
      </c>
      <c r="G600" s="326"/>
      <c r="H600" s="83"/>
      <c r="I600" s="83"/>
      <c r="J600" s="327"/>
      <c r="K600" s="83"/>
      <c r="L600" s="83"/>
      <c r="M600" s="83"/>
      <c r="N600" s="328"/>
      <c r="O600" s="83"/>
      <c r="P600" s="83"/>
      <c r="Q600" s="83"/>
      <c r="R600" s="83"/>
      <c r="S600" s="83"/>
      <c r="T600" s="83"/>
      <c r="U600" s="83"/>
      <c r="V600" s="83"/>
      <c r="W600" s="83"/>
      <c r="X600" s="83"/>
      <c r="Y600" s="83"/>
      <c r="Z600" s="83"/>
      <c r="AA600" s="83"/>
      <c r="AB600" s="83"/>
      <c r="AC600" s="83"/>
      <c r="AD600" s="83"/>
      <c r="AE600" s="83"/>
      <c r="AF600" s="83"/>
      <c r="AG600" s="83"/>
      <c r="AH600" s="83"/>
    </row>
    <row r="601" spans="1:34" ht="69.75" customHeight="1" x14ac:dyDescent="0.25">
      <c r="A601" s="823"/>
      <c r="B601" s="30" t="s">
        <v>751</v>
      </c>
      <c r="C601" s="30" t="s">
        <v>752</v>
      </c>
      <c r="D601" s="329" t="s">
        <v>370</v>
      </c>
      <c r="E601" s="325">
        <v>801561000</v>
      </c>
      <c r="F601" s="325">
        <v>19474701</v>
      </c>
      <c r="G601" s="326"/>
      <c r="H601" s="83"/>
      <c r="I601" s="83"/>
      <c r="J601" s="327"/>
      <c r="K601" s="83"/>
      <c r="L601" s="83"/>
      <c r="M601" s="83"/>
      <c r="N601" s="328"/>
      <c r="O601" s="83"/>
      <c r="P601" s="83"/>
      <c r="Q601" s="83"/>
      <c r="R601" s="83"/>
      <c r="S601" s="83"/>
      <c r="T601" s="83"/>
      <c r="U601" s="83"/>
      <c r="V601" s="83"/>
      <c r="W601" s="83"/>
      <c r="X601" s="83"/>
      <c r="Y601" s="83"/>
      <c r="Z601" s="83"/>
      <c r="AA601" s="83"/>
      <c r="AB601" s="83"/>
      <c r="AC601" s="83"/>
      <c r="AD601" s="83"/>
      <c r="AE601" s="83"/>
      <c r="AF601" s="83"/>
      <c r="AG601" s="83"/>
      <c r="AH601" s="83"/>
    </row>
    <row r="602" spans="1:34" ht="69.75" customHeight="1" x14ac:dyDescent="0.25">
      <c r="A602" s="874" t="s">
        <v>718</v>
      </c>
      <c r="B602" s="878" t="s">
        <v>739</v>
      </c>
      <c r="C602" s="878" t="s">
        <v>740</v>
      </c>
      <c r="D602" s="324" t="s">
        <v>339</v>
      </c>
      <c r="E602" s="325">
        <v>556207000</v>
      </c>
      <c r="F602" s="325">
        <v>53643627</v>
      </c>
      <c r="G602" s="326"/>
      <c r="H602" s="83"/>
      <c r="I602" s="83"/>
      <c r="J602" s="327"/>
      <c r="K602" s="83"/>
      <c r="L602" s="83"/>
      <c r="M602" s="83"/>
      <c r="N602" s="328"/>
      <c r="O602" s="83"/>
      <c r="P602" s="83"/>
      <c r="Q602" s="83"/>
      <c r="R602" s="83"/>
      <c r="S602" s="83"/>
      <c r="T602" s="83"/>
      <c r="U602" s="83"/>
      <c r="V602" s="83"/>
      <c r="W602" s="83"/>
      <c r="X602" s="83"/>
      <c r="Y602" s="83"/>
      <c r="Z602" s="83"/>
      <c r="AA602" s="83"/>
      <c r="AB602" s="83"/>
      <c r="AC602" s="83"/>
      <c r="AD602" s="83"/>
      <c r="AE602" s="83"/>
      <c r="AF602" s="83"/>
      <c r="AG602" s="83"/>
      <c r="AH602" s="83"/>
    </row>
    <row r="603" spans="1:34" ht="69.75" customHeight="1" x14ac:dyDescent="0.25">
      <c r="A603" s="829"/>
      <c r="B603" s="710"/>
      <c r="C603" s="710"/>
      <c r="D603" s="324" t="s">
        <v>349</v>
      </c>
      <c r="E603" s="325">
        <v>172920000</v>
      </c>
      <c r="F603" s="325">
        <v>22047300</v>
      </c>
      <c r="G603" s="326"/>
      <c r="H603" s="83"/>
      <c r="I603" s="83"/>
      <c r="J603" s="327"/>
      <c r="K603" s="83"/>
      <c r="L603" s="83"/>
      <c r="M603" s="83"/>
      <c r="N603" s="328"/>
      <c r="O603" s="83"/>
      <c r="P603" s="83"/>
      <c r="Q603" s="83"/>
      <c r="R603" s="83"/>
      <c r="S603" s="83"/>
      <c r="T603" s="83"/>
      <c r="U603" s="83"/>
      <c r="V603" s="83"/>
      <c r="W603" s="83"/>
      <c r="X603" s="83"/>
      <c r="Y603" s="83"/>
      <c r="Z603" s="83"/>
      <c r="AA603" s="83"/>
      <c r="AB603" s="83"/>
      <c r="AC603" s="83"/>
      <c r="AD603" s="83"/>
      <c r="AE603" s="83"/>
      <c r="AF603" s="83"/>
      <c r="AG603" s="83"/>
      <c r="AH603" s="83"/>
    </row>
    <row r="604" spans="1:34" ht="69.75" customHeight="1" x14ac:dyDescent="0.25">
      <c r="A604" s="829"/>
      <c r="B604" s="731"/>
      <c r="C604" s="731"/>
      <c r="D604" s="324" t="s">
        <v>351</v>
      </c>
      <c r="E604" s="325">
        <v>27200000</v>
      </c>
      <c r="F604" s="325">
        <v>4805333</v>
      </c>
      <c r="G604" s="326"/>
      <c r="H604" s="83"/>
      <c r="I604" s="83"/>
      <c r="J604" s="327"/>
      <c r="K604" s="83"/>
      <c r="L604" s="83"/>
      <c r="M604" s="83"/>
      <c r="N604" s="328"/>
      <c r="O604" s="83"/>
      <c r="P604" s="83"/>
      <c r="Q604" s="83"/>
      <c r="R604" s="83"/>
      <c r="S604" s="83"/>
      <c r="T604" s="83"/>
      <c r="U604" s="83"/>
      <c r="V604" s="83"/>
      <c r="W604" s="83"/>
      <c r="X604" s="83"/>
      <c r="Y604" s="83"/>
      <c r="Z604" s="83"/>
      <c r="AA604" s="83"/>
      <c r="AB604" s="83"/>
      <c r="AC604" s="83"/>
      <c r="AD604" s="83"/>
      <c r="AE604" s="83"/>
      <c r="AF604" s="83"/>
      <c r="AG604" s="83"/>
      <c r="AH604" s="83"/>
    </row>
    <row r="605" spans="1:34" ht="69.75" customHeight="1" x14ac:dyDescent="0.25">
      <c r="A605" s="829"/>
      <c r="B605" s="749" t="s">
        <v>743</v>
      </c>
      <c r="C605" s="749" t="s">
        <v>744</v>
      </c>
      <c r="D605" s="329" t="s">
        <v>354</v>
      </c>
      <c r="E605" s="325">
        <v>67897116</v>
      </c>
      <c r="F605" s="325">
        <v>4041500</v>
      </c>
      <c r="G605" s="326"/>
      <c r="H605" s="83"/>
      <c r="I605" s="83"/>
      <c r="J605" s="327"/>
      <c r="K605" s="83"/>
      <c r="L605" s="83"/>
      <c r="M605" s="83"/>
      <c r="N605" s="328"/>
      <c r="O605" s="83"/>
      <c r="P605" s="83"/>
      <c r="Q605" s="83"/>
      <c r="R605" s="83"/>
      <c r="S605" s="83"/>
      <c r="T605" s="83"/>
      <c r="U605" s="83"/>
      <c r="V605" s="83"/>
      <c r="W605" s="83"/>
      <c r="X605" s="83"/>
      <c r="Y605" s="83"/>
      <c r="Z605" s="83"/>
      <c r="AA605" s="83"/>
      <c r="AB605" s="83"/>
      <c r="AC605" s="83"/>
      <c r="AD605" s="83"/>
      <c r="AE605" s="83"/>
      <c r="AF605" s="83"/>
      <c r="AG605" s="83"/>
      <c r="AH605" s="83"/>
    </row>
    <row r="606" spans="1:34" ht="69.75" customHeight="1" x14ac:dyDescent="0.25">
      <c r="A606" s="829"/>
      <c r="B606" s="710"/>
      <c r="C606" s="710"/>
      <c r="D606" s="329" t="s">
        <v>924</v>
      </c>
      <c r="E606" s="325">
        <v>375068706</v>
      </c>
      <c r="F606" s="325">
        <v>25354666</v>
      </c>
      <c r="G606" s="326"/>
      <c r="H606" s="83"/>
      <c r="I606" s="83"/>
      <c r="J606" s="327"/>
      <c r="K606" s="83"/>
      <c r="L606" s="83"/>
      <c r="M606" s="83"/>
      <c r="N606" s="328"/>
      <c r="O606" s="83"/>
      <c r="P606" s="83"/>
      <c r="Q606" s="83"/>
      <c r="R606" s="83"/>
      <c r="S606" s="83"/>
      <c r="T606" s="83"/>
      <c r="U606" s="83"/>
      <c r="V606" s="83"/>
      <c r="W606" s="83"/>
      <c r="X606" s="83"/>
      <c r="Y606" s="83"/>
      <c r="Z606" s="83"/>
      <c r="AA606" s="83"/>
      <c r="AB606" s="83"/>
      <c r="AC606" s="83"/>
      <c r="AD606" s="83"/>
      <c r="AE606" s="83"/>
      <c r="AF606" s="83"/>
      <c r="AG606" s="83"/>
      <c r="AH606" s="83"/>
    </row>
    <row r="607" spans="1:34" ht="69.75" customHeight="1" x14ac:dyDescent="0.25">
      <c r="A607" s="829"/>
      <c r="B607" s="710"/>
      <c r="C607" s="710"/>
      <c r="D607" s="329" t="s">
        <v>925</v>
      </c>
      <c r="E607" s="325">
        <v>313790000</v>
      </c>
      <c r="F607" s="325">
        <v>45283800</v>
      </c>
      <c r="G607" s="326"/>
      <c r="H607" s="83"/>
      <c r="I607" s="83"/>
      <c r="J607" s="327"/>
      <c r="K607" s="83"/>
      <c r="L607" s="83"/>
      <c r="M607" s="83"/>
      <c r="N607" s="328"/>
      <c r="O607" s="83"/>
      <c r="P607" s="83"/>
      <c r="Q607" s="83"/>
      <c r="R607" s="83"/>
      <c r="S607" s="83"/>
      <c r="T607" s="83"/>
      <c r="U607" s="83"/>
      <c r="V607" s="83"/>
      <c r="W607" s="83"/>
      <c r="X607" s="83"/>
      <c r="Y607" s="83"/>
      <c r="Z607" s="83"/>
      <c r="AA607" s="83"/>
      <c r="AB607" s="83"/>
      <c r="AC607" s="83"/>
      <c r="AD607" s="83"/>
      <c r="AE607" s="83"/>
      <c r="AF607" s="83"/>
      <c r="AG607" s="83"/>
      <c r="AH607" s="83"/>
    </row>
    <row r="608" spans="1:34" ht="69.75" customHeight="1" x14ac:dyDescent="0.25">
      <c r="A608" s="829"/>
      <c r="B608" s="731"/>
      <c r="C608" s="731"/>
      <c r="D608" s="329" t="s">
        <v>674</v>
      </c>
      <c r="E608" s="330">
        <v>443325000</v>
      </c>
      <c r="F608" s="330">
        <v>50942234</v>
      </c>
      <c r="G608" s="326"/>
      <c r="H608" s="83"/>
      <c r="I608" s="83"/>
      <c r="J608" s="327"/>
      <c r="K608" s="83"/>
      <c r="L608" s="83"/>
      <c r="M608" s="83"/>
      <c r="N608" s="328"/>
      <c r="O608" s="83"/>
      <c r="P608" s="83"/>
      <c r="Q608" s="83"/>
      <c r="R608" s="83"/>
      <c r="S608" s="83"/>
      <c r="T608" s="83"/>
      <c r="U608" s="83"/>
      <c r="V608" s="83"/>
      <c r="W608" s="83"/>
      <c r="X608" s="83"/>
      <c r="Y608" s="83"/>
      <c r="Z608" s="83"/>
      <c r="AA608" s="83"/>
      <c r="AB608" s="83"/>
      <c r="AC608" s="83"/>
      <c r="AD608" s="83"/>
      <c r="AE608" s="83"/>
      <c r="AF608" s="83"/>
      <c r="AG608" s="83"/>
      <c r="AH608" s="83"/>
    </row>
    <row r="609" spans="1:34" ht="69.75" customHeight="1" x14ac:dyDescent="0.25">
      <c r="A609" s="829"/>
      <c r="B609" s="30" t="s">
        <v>747</v>
      </c>
      <c r="C609" s="30" t="s">
        <v>748</v>
      </c>
      <c r="D609" s="329" t="s">
        <v>926</v>
      </c>
      <c r="E609" s="325">
        <v>222016000</v>
      </c>
      <c r="F609" s="325">
        <v>22792600</v>
      </c>
      <c r="G609" s="326"/>
      <c r="H609" s="83"/>
      <c r="I609" s="83"/>
      <c r="J609" s="327"/>
      <c r="K609" s="83"/>
      <c r="L609" s="83"/>
      <c r="M609" s="83"/>
      <c r="N609" s="328"/>
      <c r="O609" s="83"/>
      <c r="P609" s="83"/>
      <c r="Q609" s="83"/>
      <c r="R609" s="83"/>
      <c r="S609" s="83"/>
      <c r="T609" s="83"/>
      <c r="U609" s="83"/>
      <c r="V609" s="83"/>
      <c r="W609" s="83"/>
      <c r="X609" s="83"/>
      <c r="Y609" s="83"/>
      <c r="Z609" s="83"/>
      <c r="AA609" s="83"/>
      <c r="AB609" s="83"/>
      <c r="AC609" s="83"/>
      <c r="AD609" s="83"/>
      <c r="AE609" s="83"/>
      <c r="AF609" s="83"/>
      <c r="AG609" s="83"/>
      <c r="AH609" s="83"/>
    </row>
    <row r="610" spans="1:34" ht="69.75" customHeight="1" x14ac:dyDescent="0.25">
      <c r="A610" s="823"/>
      <c r="B610" s="30" t="s">
        <v>751</v>
      </c>
      <c r="C610" s="30" t="s">
        <v>752</v>
      </c>
      <c r="D610" s="329" t="s">
        <v>370</v>
      </c>
      <c r="E610" s="325">
        <v>754641627</v>
      </c>
      <c r="F610" s="325">
        <v>37130834</v>
      </c>
      <c r="G610" s="326"/>
      <c r="H610" s="83"/>
      <c r="I610" s="83"/>
      <c r="J610" s="327"/>
      <c r="K610" s="83"/>
      <c r="L610" s="83"/>
      <c r="M610" s="83"/>
      <c r="N610" s="328"/>
      <c r="O610" s="83"/>
      <c r="P610" s="83"/>
      <c r="Q610" s="83"/>
      <c r="R610" s="83"/>
      <c r="S610" s="83"/>
      <c r="T610" s="83"/>
      <c r="U610" s="83"/>
      <c r="V610" s="83"/>
      <c r="W610" s="83"/>
      <c r="X610" s="83"/>
      <c r="Y610" s="83"/>
      <c r="Z610" s="83"/>
      <c r="AA610" s="83"/>
      <c r="AB610" s="83"/>
      <c r="AC610" s="83"/>
      <c r="AD610" s="83"/>
      <c r="AE610" s="83"/>
      <c r="AF610" s="83"/>
      <c r="AG610" s="83"/>
      <c r="AH610" s="83"/>
    </row>
    <row r="611" spans="1:34" ht="69.75" customHeight="1" x14ac:dyDescent="0.25">
      <c r="A611" s="874" t="s">
        <v>718</v>
      </c>
      <c r="B611" s="878" t="s">
        <v>739</v>
      </c>
      <c r="C611" s="878" t="s">
        <v>740</v>
      </c>
      <c r="D611" s="324" t="s">
        <v>339</v>
      </c>
      <c r="E611" s="325">
        <v>556207000</v>
      </c>
      <c r="F611" s="325">
        <v>53643627</v>
      </c>
      <c r="G611" s="326"/>
      <c r="H611" s="83"/>
      <c r="I611" s="83"/>
      <c r="J611" s="327"/>
      <c r="K611" s="83"/>
      <c r="L611" s="83"/>
      <c r="M611" s="83"/>
      <c r="N611" s="328"/>
      <c r="O611" s="83"/>
      <c r="P611" s="83"/>
      <c r="Q611" s="83"/>
      <c r="R611" s="83"/>
      <c r="S611" s="83"/>
      <c r="T611" s="83"/>
      <c r="U611" s="83"/>
      <c r="V611" s="83"/>
      <c r="W611" s="83"/>
      <c r="X611" s="83"/>
      <c r="Y611" s="83"/>
      <c r="Z611" s="83"/>
      <c r="AA611" s="83"/>
      <c r="AB611" s="83"/>
      <c r="AC611" s="83"/>
      <c r="AD611" s="83"/>
      <c r="AE611" s="83"/>
      <c r="AF611" s="83"/>
      <c r="AG611" s="83"/>
      <c r="AH611" s="83"/>
    </row>
    <row r="612" spans="1:34" ht="69.75" customHeight="1" x14ac:dyDescent="0.25">
      <c r="A612" s="829"/>
      <c r="B612" s="710"/>
      <c r="C612" s="710"/>
      <c r="D612" s="324" t="s">
        <v>349</v>
      </c>
      <c r="E612" s="325">
        <v>172920000</v>
      </c>
      <c r="F612" s="325">
        <v>22047300</v>
      </c>
      <c r="G612" s="326"/>
      <c r="H612" s="83"/>
      <c r="I612" s="83"/>
      <c r="J612" s="327"/>
      <c r="K612" s="83"/>
      <c r="L612" s="83"/>
      <c r="M612" s="83"/>
      <c r="N612" s="328"/>
      <c r="O612" s="83"/>
      <c r="P612" s="83"/>
      <c r="Q612" s="83"/>
      <c r="R612" s="83"/>
      <c r="S612" s="83"/>
      <c r="T612" s="83"/>
      <c r="U612" s="83"/>
      <c r="V612" s="83"/>
      <c r="W612" s="83"/>
      <c r="X612" s="83"/>
      <c r="Y612" s="83"/>
      <c r="Z612" s="83"/>
      <c r="AA612" s="83"/>
      <c r="AB612" s="83"/>
      <c r="AC612" s="83"/>
      <c r="AD612" s="83"/>
      <c r="AE612" s="83"/>
      <c r="AF612" s="83"/>
      <c r="AG612" s="83"/>
      <c r="AH612" s="83"/>
    </row>
    <row r="613" spans="1:34" ht="69.75" customHeight="1" x14ac:dyDescent="0.25">
      <c r="A613" s="829"/>
      <c r="B613" s="731"/>
      <c r="C613" s="731"/>
      <c r="D613" s="324" t="s">
        <v>351</v>
      </c>
      <c r="E613" s="325">
        <v>27200000</v>
      </c>
      <c r="F613" s="325">
        <v>4805333</v>
      </c>
      <c r="G613" s="326"/>
      <c r="H613" s="83"/>
      <c r="I613" s="83"/>
      <c r="J613" s="327"/>
      <c r="K613" s="83"/>
      <c r="L613" s="83"/>
      <c r="M613" s="83"/>
      <c r="N613" s="328"/>
      <c r="O613" s="83"/>
      <c r="P613" s="83"/>
      <c r="Q613" s="83"/>
      <c r="R613" s="83"/>
      <c r="S613" s="83"/>
      <c r="T613" s="83"/>
      <c r="U613" s="83"/>
      <c r="V613" s="83"/>
      <c r="W613" s="83"/>
      <c r="X613" s="83"/>
      <c r="Y613" s="83"/>
      <c r="Z613" s="83"/>
      <c r="AA613" s="83"/>
      <c r="AB613" s="83"/>
      <c r="AC613" s="83"/>
      <c r="AD613" s="83"/>
      <c r="AE613" s="83"/>
      <c r="AF613" s="83"/>
      <c r="AG613" s="83"/>
      <c r="AH613" s="83"/>
    </row>
    <row r="614" spans="1:34" ht="69.75" customHeight="1" x14ac:dyDescent="0.25">
      <c r="A614" s="829"/>
      <c r="B614" s="749" t="s">
        <v>743</v>
      </c>
      <c r="C614" s="749" t="s">
        <v>744</v>
      </c>
      <c r="D614" s="329" t="s">
        <v>354</v>
      </c>
      <c r="E614" s="325">
        <v>67897116</v>
      </c>
      <c r="F614" s="325">
        <v>4041500</v>
      </c>
      <c r="G614" s="326"/>
      <c r="H614" s="83"/>
      <c r="I614" s="83"/>
      <c r="J614" s="327"/>
      <c r="K614" s="83"/>
      <c r="L614" s="83"/>
      <c r="M614" s="83"/>
      <c r="N614" s="328"/>
      <c r="O614" s="83"/>
      <c r="P614" s="83"/>
      <c r="Q614" s="83"/>
      <c r="R614" s="83"/>
      <c r="S614" s="83"/>
      <c r="T614" s="83"/>
      <c r="U614" s="83"/>
      <c r="V614" s="83"/>
      <c r="W614" s="83"/>
      <c r="X614" s="83"/>
      <c r="Y614" s="83"/>
      <c r="Z614" s="83"/>
      <c r="AA614" s="83"/>
      <c r="AB614" s="83"/>
      <c r="AC614" s="83"/>
      <c r="AD614" s="83"/>
      <c r="AE614" s="83"/>
      <c r="AF614" s="83"/>
      <c r="AG614" s="83"/>
      <c r="AH614" s="83"/>
    </row>
    <row r="615" spans="1:34" ht="69.75" customHeight="1" x14ac:dyDescent="0.25">
      <c r="A615" s="829"/>
      <c r="B615" s="710"/>
      <c r="C615" s="710"/>
      <c r="D615" s="329" t="s">
        <v>924</v>
      </c>
      <c r="E615" s="325">
        <v>375068706</v>
      </c>
      <c r="F615" s="325">
        <v>25354666</v>
      </c>
      <c r="G615" s="326"/>
      <c r="H615" s="83"/>
      <c r="I615" s="83"/>
      <c r="J615" s="327"/>
      <c r="K615" s="83"/>
      <c r="L615" s="83"/>
      <c r="M615" s="83"/>
      <c r="N615" s="328"/>
      <c r="O615" s="83"/>
      <c r="P615" s="83"/>
      <c r="Q615" s="83"/>
      <c r="R615" s="83"/>
      <c r="S615" s="83"/>
      <c r="T615" s="83"/>
      <c r="U615" s="83"/>
      <c r="V615" s="83"/>
      <c r="W615" s="83"/>
      <c r="X615" s="83"/>
      <c r="Y615" s="83"/>
      <c r="Z615" s="83"/>
      <c r="AA615" s="83"/>
      <c r="AB615" s="83"/>
      <c r="AC615" s="83"/>
      <c r="AD615" s="83"/>
      <c r="AE615" s="83"/>
      <c r="AF615" s="83"/>
      <c r="AG615" s="83"/>
      <c r="AH615" s="83"/>
    </row>
    <row r="616" spans="1:34" ht="69.75" customHeight="1" x14ac:dyDescent="0.25">
      <c r="A616" s="829"/>
      <c r="B616" s="710"/>
      <c r="C616" s="710"/>
      <c r="D616" s="329" t="s">
        <v>925</v>
      </c>
      <c r="E616" s="325">
        <v>313790000</v>
      </c>
      <c r="F616" s="325">
        <v>45283800</v>
      </c>
      <c r="G616" s="326"/>
      <c r="H616" s="83"/>
      <c r="I616" s="83"/>
      <c r="J616" s="327"/>
      <c r="K616" s="83"/>
      <c r="L616" s="83"/>
      <c r="M616" s="83"/>
      <c r="N616" s="328"/>
      <c r="O616" s="83"/>
      <c r="P616" s="83"/>
      <c r="Q616" s="83"/>
      <c r="R616" s="83"/>
      <c r="S616" s="83"/>
      <c r="T616" s="83"/>
      <c r="U616" s="83"/>
      <c r="V616" s="83"/>
      <c r="W616" s="83"/>
      <c r="X616" s="83"/>
      <c r="Y616" s="83"/>
      <c r="Z616" s="83"/>
      <c r="AA616" s="83"/>
      <c r="AB616" s="83"/>
      <c r="AC616" s="83"/>
      <c r="AD616" s="83"/>
      <c r="AE616" s="83"/>
      <c r="AF616" s="83"/>
      <c r="AG616" s="83"/>
      <c r="AH616" s="83"/>
    </row>
    <row r="617" spans="1:34" ht="69.75" customHeight="1" x14ac:dyDescent="0.25">
      <c r="A617" s="829"/>
      <c r="B617" s="731"/>
      <c r="C617" s="731"/>
      <c r="D617" s="329" t="s">
        <v>674</v>
      </c>
      <c r="E617" s="330">
        <v>443325000</v>
      </c>
      <c r="F617" s="330">
        <v>50942234</v>
      </c>
      <c r="G617" s="326"/>
      <c r="H617" s="83"/>
      <c r="I617" s="83"/>
      <c r="J617" s="327"/>
      <c r="K617" s="83"/>
      <c r="L617" s="83"/>
      <c r="M617" s="83"/>
      <c r="N617" s="328"/>
      <c r="O617" s="83"/>
      <c r="P617" s="83"/>
      <c r="Q617" s="83"/>
      <c r="R617" s="83"/>
      <c r="S617" s="83"/>
      <c r="T617" s="83"/>
      <c r="U617" s="83"/>
      <c r="V617" s="83"/>
      <c r="W617" s="83"/>
      <c r="X617" s="83"/>
      <c r="Y617" s="83"/>
      <c r="Z617" s="83"/>
      <c r="AA617" s="83"/>
      <c r="AB617" s="83"/>
      <c r="AC617" s="83"/>
      <c r="AD617" s="83"/>
      <c r="AE617" s="83"/>
      <c r="AF617" s="83"/>
      <c r="AG617" s="83"/>
      <c r="AH617" s="83"/>
    </row>
    <row r="618" spans="1:34" ht="69.75" customHeight="1" x14ac:dyDescent="0.25">
      <c r="A618" s="829"/>
      <c r="B618" s="30" t="s">
        <v>747</v>
      </c>
      <c r="C618" s="30" t="s">
        <v>748</v>
      </c>
      <c r="D618" s="329" t="s">
        <v>926</v>
      </c>
      <c r="E618" s="325">
        <v>222016000</v>
      </c>
      <c r="F618" s="325">
        <v>22792600</v>
      </c>
      <c r="G618" s="326"/>
      <c r="H618" s="83"/>
      <c r="I618" s="83"/>
      <c r="J618" s="327"/>
      <c r="K618" s="83"/>
      <c r="L618" s="83"/>
      <c r="M618" s="83"/>
      <c r="N618" s="328"/>
      <c r="O618" s="83"/>
      <c r="P618" s="83"/>
      <c r="Q618" s="83"/>
      <c r="R618" s="83"/>
      <c r="S618" s="83"/>
      <c r="T618" s="83"/>
      <c r="U618" s="83"/>
      <c r="V618" s="83"/>
      <c r="W618" s="83"/>
      <c r="X618" s="83"/>
      <c r="Y618" s="83"/>
      <c r="Z618" s="83"/>
      <c r="AA618" s="83"/>
      <c r="AB618" s="83"/>
      <c r="AC618" s="83"/>
      <c r="AD618" s="83"/>
      <c r="AE618" s="83"/>
      <c r="AF618" s="83"/>
      <c r="AG618" s="83"/>
      <c r="AH618" s="83"/>
    </row>
    <row r="619" spans="1:34" ht="69.75" customHeight="1" x14ac:dyDescent="0.25">
      <c r="A619" s="823"/>
      <c r="B619" s="30" t="s">
        <v>751</v>
      </c>
      <c r="C619" s="30" t="s">
        <v>752</v>
      </c>
      <c r="D619" s="329" t="s">
        <v>370</v>
      </c>
      <c r="E619" s="325">
        <v>754641627</v>
      </c>
      <c r="F619" s="325">
        <v>37130834</v>
      </c>
      <c r="G619" s="326"/>
      <c r="H619" s="83"/>
      <c r="I619" s="83"/>
      <c r="J619" s="327"/>
      <c r="K619" s="83"/>
      <c r="L619" s="83"/>
      <c r="M619" s="83"/>
      <c r="N619" s="328"/>
      <c r="O619" s="83"/>
      <c r="P619" s="83"/>
      <c r="Q619" s="83"/>
      <c r="R619" s="83"/>
      <c r="S619" s="83"/>
      <c r="T619" s="83"/>
      <c r="U619" s="83"/>
      <c r="V619" s="83"/>
      <c r="W619" s="83"/>
      <c r="X619" s="83"/>
      <c r="Y619" s="83"/>
      <c r="Z619" s="83"/>
      <c r="AA619" s="83"/>
      <c r="AB619" s="83"/>
      <c r="AC619" s="83"/>
      <c r="AD619" s="83"/>
      <c r="AE619" s="83"/>
      <c r="AF619" s="83"/>
      <c r="AG619" s="83"/>
      <c r="AH619" s="83"/>
    </row>
    <row r="620" spans="1:34" ht="69.75" customHeight="1" x14ac:dyDescent="0.25">
      <c r="A620" s="874" t="s">
        <v>720</v>
      </c>
      <c r="B620" s="878" t="s">
        <v>739</v>
      </c>
      <c r="C620" s="878" t="s">
        <v>740</v>
      </c>
      <c r="D620" s="324" t="s">
        <v>339</v>
      </c>
      <c r="E620" s="325">
        <v>556207000</v>
      </c>
      <c r="F620" s="325">
        <v>173791767</v>
      </c>
      <c r="G620" s="326"/>
      <c r="H620" s="83"/>
      <c r="I620" s="83"/>
      <c r="J620" s="327"/>
      <c r="K620" s="83"/>
      <c r="L620" s="83"/>
      <c r="M620" s="83"/>
      <c r="N620" s="328"/>
      <c r="O620" s="83"/>
      <c r="P620" s="83"/>
      <c r="Q620" s="83"/>
      <c r="R620" s="83"/>
      <c r="S620" s="83"/>
      <c r="T620" s="83"/>
      <c r="U620" s="83"/>
      <c r="V620" s="83"/>
      <c r="W620" s="83"/>
      <c r="X620" s="83"/>
      <c r="Y620" s="83"/>
      <c r="Z620" s="83"/>
      <c r="AA620" s="83"/>
      <c r="AB620" s="83"/>
      <c r="AC620" s="83"/>
      <c r="AD620" s="83"/>
      <c r="AE620" s="83"/>
      <c r="AF620" s="83"/>
      <c r="AG620" s="83"/>
      <c r="AH620" s="83"/>
    </row>
    <row r="621" spans="1:34" ht="69.75" customHeight="1" x14ac:dyDescent="0.25">
      <c r="A621" s="829"/>
      <c r="B621" s="710"/>
      <c r="C621" s="710"/>
      <c r="D621" s="324" t="s">
        <v>349</v>
      </c>
      <c r="E621" s="325">
        <v>172920000</v>
      </c>
      <c r="F621" s="325">
        <v>56631300</v>
      </c>
      <c r="G621" s="326"/>
      <c r="H621" s="83"/>
      <c r="I621" s="83"/>
      <c r="J621" s="327"/>
      <c r="K621" s="83"/>
      <c r="L621" s="83"/>
      <c r="M621" s="83"/>
      <c r="N621" s="328"/>
      <c r="O621" s="83"/>
      <c r="P621" s="83"/>
      <c r="Q621" s="83"/>
      <c r="R621" s="83"/>
      <c r="S621" s="83"/>
      <c r="T621" s="83"/>
      <c r="U621" s="83"/>
      <c r="V621" s="83"/>
      <c r="W621" s="83"/>
      <c r="X621" s="83"/>
      <c r="Y621" s="83"/>
      <c r="Z621" s="83"/>
      <c r="AA621" s="83"/>
      <c r="AB621" s="83"/>
      <c r="AC621" s="83"/>
      <c r="AD621" s="83"/>
      <c r="AE621" s="83"/>
      <c r="AF621" s="83"/>
      <c r="AG621" s="83"/>
      <c r="AH621" s="83"/>
    </row>
    <row r="622" spans="1:34" ht="69.75" customHeight="1" x14ac:dyDescent="0.25">
      <c r="A622" s="829"/>
      <c r="B622" s="731"/>
      <c r="C622" s="731"/>
      <c r="D622" s="324" t="s">
        <v>351</v>
      </c>
      <c r="E622" s="325">
        <v>27200000</v>
      </c>
      <c r="F622" s="325">
        <v>10245333</v>
      </c>
      <c r="G622" s="326"/>
      <c r="H622" s="83"/>
      <c r="I622" s="83"/>
      <c r="J622" s="327"/>
      <c r="K622" s="83"/>
      <c r="L622" s="83"/>
      <c r="M622" s="83"/>
      <c r="N622" s="328"/>
      <c r="O622" s="83"/>
      <c r="P622" s="83"/>
      <c r="Q622" s="83"/>
      <c r="R622" s="83"/>
      <c r="S622" s="83"/>
      <c r="T622" s="83"/>
      <c r="U622" s="83"/>
      <c r="V622" s="83"/>
      <c r="W622" s="83"/>
      <c r="X622" s="83"/>
      <c r="Y622" s="83"/>
      <c r="Z622" s="83"/>
      <c r="AA622" s="83"/>
      <c r="AB622" s="83"/>
      <c r="AC622" s="83"/>
      <c r="AD622" s="83"/>
      <c r="AE622" s="83"/>
      <c r="AF622" s="83"/>
      <c r="AG622" s="83"/>
      <c r="AH622" s="83"/>
    </row>
    <row r="623" spans="1:34" ht="69.75" customHeight="1" x14ac:dyDescent="0.25">
      <c r="A623" s="829"/>
      <c r="B623" s="749" t="s">
        <v>743</v>
      </c>
      <c r="C623" s="749" t="s">
        <v>744</v>
      </c>
      <c r="D623" s="329" t="s">
        <v>354</v>
      </c>
      <c r="E623" s="325">
        <v>67897116</v>
      </c>
      <c r="F623" s="325">
        <v>20207500</v>
      </c>
      <c r="G623" s="326"/>
      <c r="H623" s="83"/>
      <c r="I623" s="83"/>
      <c r="J623" s="327"/>
      <c r="K623" s="83"/>
      <c r="L623" s="83"/>
      <c r="M623" s="83"/>
      <c r="N623" s="328"/>
      <c r="O623" s="83"/>
      <c r="P623" s="83"/>
      <c r="Q623" s="83"/>
      <c r="R623" s="83"/>
      <c r="S623" s="83"/>
      <c r="T623" s="83"/>
      <c r="U623" s="83"/>
      <c r="V623" s="83"/>
      <c r="W623" s="83"/>
      <c r="X623" s="83"/>
      <c r="Y623" s="83"/>
      <c r="Z623" s="83"/>
      <c r="AA623" s="83"/>
      <c r="AB623" s="83"/>
      <c r="AC623" s="83"/>
      <c r="AD623" s="83"/>
      <c r="AE623" s="83"/>
      <c r="AF623" s="83"/>
      <c r="AG623" s="83"/>
      <c r="AH623" s="83"/>
    </row>
    <row r="624" spans="1:34" ht="69.75" customHeight="1" x14ac:dyDescent="0.25">
      <c r="A624" s="829"/>
      <c r="B624" s="710"/>
      <c r="C624" s="710"/>
      <c r="D624" s="329" t="s">
        <v>924</v>
      </c>
      <c r="E624" s="325">
        <v>375068706</v>
      </c>
      <c r="F624" s="325">
        <v>112050666</v>
      </c>
      <c r="G624" s="326"/>
      <c r="H624" s="83"/>
      <c r="I624" s="83"/>
      <c r="J624" s="327"/>
      <c r="K624" s="83"/>
      <c r="L624" s="83"/>
      <c r="M624" s="83"/>
      <c r="N624" s="328"/>
      <c r="O624" s="83"/>
      <c r="P624" s="83"/>
      <c r="Q624" s="83"/>
      <c r="R624" s="83"/>
      <c r="S624" s="83"/>
      <c r="T624" s="83"/>
      <c r="U624" s="83"/>
      <c r="V624" s="83"/>
      <c r="W624" s="83"/>
      <c r="X624" s="83"/>
      <c r="Y624" s="83"/>
      <c r="Z624" s="83"/>
      <c r="AA624" s="83"/>
      <c r="AB624" s="83"/>
      <c r="AC624" s="83"/>
      <c r="AD624" s="83"/>
      <c r="AE624" s="83"/>
      <c r="AF624" s="83"/>
      <c r="AG624" s="83"/>
      <c r="AH624" s="83"/>
    </row>
    <row r="625" spans="1:34" ht="69.75" customHeight="1" x14ac:dyDescent="0.25">
      <c r="A625" s="829"/>
      <c r="B625" s="710"/>
      <c r="C625" s="710"/>
      <c r="D625" s="329" t="s">
        <v>925</v>
      </c>
      <c r="E625" s="325">
        <v>313790000</v>
      </c>
      <c r="F625" s="325">
        <v>108041800</v>
      </c>
      <c r="G625" s="326"/>
      <c r="H625" s="83"/>
      <c r="I625" s="83"/>
      <c r="J625" s="327"/>
      <c r="K625" s="83"/>
      <c r="L625" s="83"/>
      <c r="M625" s="83"/>
      <c r="N625" s="328"/>
      <c r="O625" s="83"/>
      <c r="P625" s="83"/>
      <c r="Q625" s="83"/>
      <c r="R625" s="83"/>
      <c r="S625" s="83"/>
      <c r="T625" s="83"/>
      <c r="U625" s="83"/>
      <c r="V625" s="83"/>
      <c r="W625" s="83"/>
      <c r="X625" s="83"/>
      <c r="Y625" s="83"/>
      <c r="Z625" s="83"/>
      <c r="AA625" s="83"/>
      <c r="AB625" s="83"/>
      <c r="AC625" s="83"/>
      <c r="AD625" s="83"/>
      <c r="AE625" s="83"/>
      <c r="AF625" s="83"/>
      <c r="AG625" s="83"/>
      <c r="AH625" s="83"/>
    </row>
    <row r="626" spans="1:34" ht="69.75" customHeight="1" x14ac:dyDescent="0.25">
      <c r="A626" s="829"/>
      <c r="B626" s="731"/>
      <c r="C626" s="731"/>
      <c r="D626" s="329" t="s">
        <v>674</v>
      </c>
      <c r="E626" s="330">
        <v>443325000</v>
      </c>
      <c r="F626" s="330">
        <v>146091734</v>
      </c>
      <c r="G626" s="326"/>
      <c r="H626" s="83"/>
      <c r="I626" s="83"/>
      <c r="J626" s="327"/>
      <c r="K626" s="83"/>
      <c r="L626" s="83"/>
      <c r="M626" s="83"/>
      <c r="N626" s="328"/>
      <c r="O626" s="83"/>
      <c r="P626" s="83"/>
      <c r="Q626" s="83"/>
      <c r="R626" s="83"/>
      <c r="S626" s="83"/>
      <c r="T626" s="83"/>
      <c r="U626" s="83"/>
      <c r="V626" s="83"/>
      <c r="W626" s="83"/>
      <c r="X626" s="83"/>
      <c r="Y626" s="83"/>
      <c r="Z626" s="83"/>
      <c r="AA626" s="83"/>
      <c r="AB626" s="83"/>
      <c r="AC626" s="83"/>
      <c r="AD626" s="83"/>
      <c r="AE626" s="83"/>
      <c r="AF626" s="83"/>
      <c r="AG626" s="83"/>
      <c r="AH626" s="83"/>
    </row>
    <row r="627" spans="1:34" ht="69.75" customHeight="1" x14ac:dyDescent="0.25">
      <c r="A627" s="829"/>
      <c r="B627" s="30" t="s">
        <v>747</v>
      </c>
      <c r="C627" s="30" t="s">
        <v>748</v>
      </c>
      <c r="D627" s="329" t="s">
        <v>926</v>
      </c>
      <c r="E627" s="325">
        <v>222016000</v>
      </c>
      <c r="F627" s="325">
        <v>64739434</v>
      </c>
      <c r="G627" s="326"/>
      <c r="H627" s="83"/>
      <c r="I627" s="83"/>
      <c r="J627" s="327"/>
      <c r="K627" s="83"/>
      <c r="L627" s="83"/>
      <c r="M627" s="83"/>
      <c r="N627" s="328"/>
      <c r="O627" s="83"/>
      <c r="P627" s="83"/>
      <c r="Q627" s="83"/>
      <c r="R627" s="83"/>
      <c r="S627" s="83"/>
      <c r="T627" s="83"/>
      <c r="U627" s="83"/>
      <c r="V627" s="83"/>
      <c r="W627" s="83"/>
      <c r="X627" s="83"/>
      <c r="Y627" s="83"/>
      <c r="Z627" s="83"/>
      <c r="AA627" s="83"/>
      <c r="AB627" s="83"/>
      <c r="AC627" s="83"/>
      <c r="AD627" s="83"/>
      <c r="AE627" s="83"/>
      <c r="AF627" s="83"/>
      <c r="AG627" s="83"/>
      <c r="AH627" s="83"/>
    </row>
    <row r="628" spans="1:34" ht="69.75" customHeight="1" x14ac:dyDescent="0.25">
      <c r="A628" s="823"/>
      <c r="B628" s="30" t="s">
        <v>751</v>
      </c>
      <c r="C628" s="30" t="s">
        <v>752</v>
      </c>
      <c r="D628" s="329" t="s">
        <v>370</v>
      </c>
      <c r="E628" s="325">
        <v>754641627</v>
      </c>
      <c r="F628" s="325">
        <v>192001861</v>
      </c>
      <c r="G628" s="326"/>
      <c r="H628" s="83"/>
      <c r="I628" s="83"/>
      <c r="J628" s="327"/>
      <c r="K628" s="83"/>
      <c r="L628" s="83"/>
      <c r="M628" s="83"/>
      <c r="N628" s="328"/>
      <c r="O628" s="83"/>
      <c r="P628" s="83"/>
      <c r="Q628" s="83"/>
      <c r="R628" s="83"/>
      <c r="S628" s="83"/>
      <c r="T628" s="83"/>
      <c r="U628" s="83"/>
      <c r="V628" s="83"/>
      <c r="W628" s="83"/>
      <c r="X628" s="83"/>
      <c r="Y628" s="83"/>
      <c r="Z628" s="83"/>
      <c r="AA628" s="83"/>
      <c r="AB628" s="83"/>
      <c r="AC628" s="83"/>
      <c r="AD628" s="83"/>
      <c r="AE628" s="83"/>
      <c r="AF628" s="83"/>
      <c r="AG628" s="83"/>
      <c r="AH628" s="83"/>
    </row>
    <row r="629" spans="1:34" ht="69.75" customHeight="1" x14ac:dyDescent="0.25">
      <c r="A629" s="874" t="s">
        <v>707</v>
      </c>
      <c r="B629" s="878" t="s">
        <v>739</v>
      </c>
      <c r="C629" s="878" t="s">
        <v>740</v>
      </c>
      <c r="D629" s="324" t="s">
        <v>339</v>
      </c>
      <c r="E629" s="325">
        <v>556207000</v>
      </c>
      <c r="F629" s="325">
        <v>225108767</v>
      </c>
      <c r="G629" s="326"/>
      <c r="H629" s="83"/>
      <c r="I629" s="83"/>
      <c r="J629" s="327"/>
      <c r="K629" s="83"/>
      <c r="L629" s="83"/>
      <c r="M629" s="83"/>
      <c r="N629" s="328"/>
      <c r="O629" s="83"/>
      <c r="P629" s="83"/>
      <c r="Q629" s="83"/>
      <c r="R629" s="83"/>
      <c r="S629" s="83"/>
      <c r="T629" s="83"/>
      <c r="U629" s="83"/>
      <c r="V629" s="83"/>
      <c r="W629" s="83"/>
      <c r="X629" s="83"/>
      <c r="Y629" s="83"/>
      <c r="Z629" s="83"/>
      <c r="AA629" s="83"/>
      <c r="AB629" s="83"/>
      <c r="AC629" s="83"/>
      <c r="AD629" s="83"/>
      <c r="AE629" s="83"/>
      <c r="AF629" s="83"/>
      <c r="AG629" s="83"/>
      <c r="AH629" s="83"/>
    </row>
    <row r="630" spans="1:34" ht="69.75" customHeight="1" x14ac:dyDescent="0.25">
      <c r="A630" s="829"/>
      <c r="B630" s="710"/>
      <c r="C630" s="710"/>
      <c r="D630" s="324" t="s">
        <v>349</v>
      </c>
      <c r="E630" s="325">
        <v>172920000</v>
      </c>
      <c r="F630" s="325">
        <v>73923300</v>
      </c>
      <c r="G630" s="326"/>
      <c r="H630" s="83"/>
      <c r="I630" s="83"/>
      <c r="J630" s="327"/>
      <c r="K630" s="83"/>
      <c r="L630" s="83"/>
      <c r="M630" s="83"/>
      <c r="N630" s="328"/>
      <c r="O630" s="83"/>
      <c r="P630" s="83"/>
      <c r="Q630" s="83"/>
      <c r="R630" s="83"/>
      <c r="S630" s="83"/>
      <c r="T630" s="83"/>
      <c r="U630" s="83"/>
      <c r="V630" s="83"/>
      <c r="W630" s="83"/>
      <c r="X630" s="83"/>
      <c r="Y630" s="83"/>
      <c r="Z630" s="83"/>
      <c r="AA630" s="83"/>
      <c r="AB630" s="83"/>
      <c r="AC630" s="83"/>
      <c r="AD630" s="83"/>
      <c r="AE630" s="83"/>
      <c r="AF630" s="83"/>
      <c r="AG630" s="83"/>
      <c r="AH630" s="83"/>
    </row>
    <row r="631" spans="1:34" ht="69.75" customHeight="1" x14ac:dyDescent="0.25">
      <c r="A631" s="829"/>
      <c r="B631" s="731"/>
      <c r="C631" s="731"/>
      <c r="D631" s="324" t="s">
        <v>351</v>
      </c>
      <c r="E631" s="325">
        <v>27200000</v>
      </c>
      <c r="F631" s="325">
        <v>12965333</v>
      </c>
      <c r="G631" s="326"/>
      <c r="H631" s="83"/>
      <c r="I631" s="83"/>
      <c r="J631" s="327"/>
      <c r="K631" s="83"/>
      <c r="L631" s="83"/>
      <c r="M631" s="83"/>
      <c r="N631" s="328"/>
      <c r="O631" s="83"/>
      <c r="P631" s="83"/>
      <c r="Q631" s="83"/>
      <c r="R631" s="83"/>
      <c r="S631" s="83"/>
      <c r="T631" s="83"/>
      <c r="U631" s="83"/>
      <c r="V631" s="83"/>
      <c r="W631" s="83"/>
      <c r="X631" s="83"/>
      <c r="Y631" s="83"/>
      <c r="Z631" s="83"/>
      <c r="AA631" s="83"/>
      <c r="AB631" s="83"/>
      <c r="AC631" s="83"/>
      <c r="AD631" s="83"/>
      <c r="AE631" s="83"/>
      <c r="AF631" s="83"/>
      <c r="AG631" s="83"/>
      <c r="AH631" s="83"/>
    </row>
    <row r="632" spans="1:34" ht="69.75" customHeight="1" x14ac:dyDescent="0.25">
      <c r="A632" s="829"/>
      <c r="B632" s="749" t="s">
        <v>743</v>
      </c>
      <c r="C632" s="749" t="s">
        <v>744</v>
      </c>
      <c r="D632" s="329" t="s">
        <v>354</v>
      </c>
      <c r="E632" s="325">
        <v>67897116</v>
      </c>
      <c r="F632" s="325">
        <v>28290500</v>
      </c>
      <c r="G632" s="326"/>
      <c r="H632" s="83"/>
      <c r="I632" s="83"/>
      <c r="J632" s="327"/>
      <c r="K632" s="83"/>
      <c r="L632" s="83"/>
      <c r="M632" s="83"/>
      <c r="N632" s="328"/>
      <c r="O632" s="83"/>
      <c r="P632" s="83"/>
      <c r="Q632" s="83"/>
      <c r="R632" s="83"/>
      <c r="S632" s="83"/>
      <c r="T632" s="83"/>
      <c r="U632" s="83"/>
      <c r="V632" s="83"/>
      <c r="W632" s="83"/>
      <c r="X632" s="83"/>
      <c r="Y632" s="83"/>
      <c r="Z632" s="83"/>
      <c r="AA632" s="83"/>
      <c r="AB632" s="83"/>
      <c r="AC632" s="83"/>
      <c r="AD632" s="83"/>
      <c r="AE632" s="83"/>
      <c r="AF632" s="83"/>
      <c r="AG632" s="83"/>
      <c r="AH632" s="83"/>
    </row>
    <row r="633" spans="1:34" ht="69.75" customHeight="1" x14ac:dyDescent="0.25">
      <c r="A633" s="829"/>
      <c r="B633" s="710"/>
      <c r="C633" s="710"/>
      <c r="D633" s="329" t="s">
        <v>924</v>
      </c>
      <c r="E633" s="325">
        <v>375068706</v>
      </c>
      <c r="F633" s="325">
        <v>155398666</v>
      </c>
      <c r="G633" s="326"/>
      <c r="H633" s="83"/>
      <c r="I633" s="83"/>
      <c r="J633" s="327"/>
      <c r="K633" s="83"/>
      <c r="L633" s="83"/>
      <c r="M633" s="83"/>
      <c r="N633" s="328"/>
      <c r="O633" s="83"/>
      <c r="P633" s="83"/>
      <c r="Q633" s="83"/>
      <c r="R633" s="83"/>
      <c r="S633" s="83"/>
      <c r="T633" s="83"/>
      <c r="U633" s="83"/>
      <c r="V633" s="83"/>
      <c r="W633" s="83"/>
      <c r="X633" s="83"/>
      <c r="Y633" s="83"/>
      <c r="Z633" s="83"/>
      <c r="AA633" s="83"/>
      <c r="AB633" s="83"/>
      <c r="AC633" s="83"/>
      <c r="AD633" s="83"/>
      <c r="AE633" s="83"/>
      <c r="AF633" s="83"/>
      <c r="AG633" s="83"/>
      <c r="AH633" s="83"/>
    </row>
    <row r="634" spans="1:34" ht="69.75" customHeight="1" x14ac:dyDescent="0.25">
      <c r="A634" s="829"/>
      <c r="B634" s="710"/>
      <c r="C634" s="710"/>
      <c r="D634" s="329" t="s">
        <v>925</v>
      </c>
      <c r="E634" s="325">
        <v>313790000</v>
      </c>
      <c r="F634" s="325">
        <v>135982800</v>
      </c>
      <c r="G634" s="326"/>
      <c r="H634" s="83"/>
      <c r="I634" s="83"/>
      <c r="J634" s="327"/>
      <c r="K634" s="83"/>
      <c r="L634" s="83"/>
      <c r="M634" s="83"/>
      <c r="N634" s="328"/>
      <c r="O634" s="83"/>
      <c r="P634" s="83"/>
      <c r="Q634" s="83"/>
      <c r="R634" s="83"/>
      <c r="S634" s="83"/>
      <c r="T634" s="83"/>
      <c r="U634" s="83"/>
      <c r="V634" s="83"/>
      <c r="W634" s="83"/>
      <c r="X634" s="83"/>
      <c r="Y634" s="83"/>
      <c r="Z634" s="83"/>
      <c r="AA634" s="83"/>
      <c r="AB634" s="83"/>
      <c r="AC634" s="83"/>
      <c r="AD634" s="83"/>
      <c r="AE634" s="83"/>
      <c r="AF634" s="83"/>
      <c r="AG634" s="83"/>
      <c r="AH634" s="83"/>
    </row>
    <row r="635" spans="1:34" ht="69.75" customHeight="1" x14ac:dyDescent="0.25">
      <c r="A635" s="829"/>
      <c r="B635" s="731"/>
      <c r="C635" s="731"/>
      <c r="D635" s="329" t="s">
        <v>674</v>
      </c>
      <c r="E635" s="330">
        <v>443325000</v>
      </c>
      <c r="F635" s="330">
        <v>192585734</v>
      </c>
      <c r="G635" s="326"/>
      <c r="H635" s="83"/>
      <c r="I635" s="83"/>
      <c r="J635" s="327"/>
      <c r="K635" s="83"/>
      <c r="L635" s="83"/>
      <c r="M635" s="83"/>
      <c r="N635" s="328"/>
      <c r="O635" s="83"/>
      <c r="P635" s="83"/>
      <c r="Q635" s="83"/>
      <c r="R635" s="83"/>
      <c r="S635" s="83"/>
      <c r="T635" s="83"/>
      <c r="U635" s="83"/>
      <c r="V635" s="83"/>
      <c r="W635" s="83"/>
      <c r="X635" s="83"/>
      <c r="Y635" s="83"/>
      <c r="Z635" s="83"/>
      <c r="AA635" s="83"/>
      <c r="AB635" s="83"/>
      <c r="AC635" s="83"/>
      <c r="AD635" s="83"/>
      <c r="AE635" s="83"/>
      <c r="AF635" s="83"/>
      <c r="AG635" s="83"/>
      <c r="AH635" s="83"/>
    </row>
    <row r="636" spans="1:34" ht="69.75" customHeight="1" x14ac:dyDescent="0.25">
      <c r="A636" s="829"/>
      <c r="B636" s="30" t="s">
        <v>747</v>
      </c>
      <c r="C636" s="30" t="s">
        <v>748</v>
      </c>
      <c r="D636" s="329" t="s">
        <v>926</v>
      </c>
      <c r="E636" s="325">
        <v>222016000</v>
      </c>
      <c r="F636" s="325">
        <v>86883434</v>
      </c>
      <c r="G636" s="326"/>
      <c r="H636" s="83"/>
      <c r="I636" s="83"/>
      <c r="J636" s="327"/>
      <c r="K636" s="83"/>
      <c r="L636" s="83"/>
      <c r="M636" s="83"/>
      <c r="N636" s="328"/>
      <c r="O636" s="83"/>
      <c r="P636" s="83"/>
      <c r="Q636" s="83"/>
      <c r="R636" s="83"/>
      <c r="S636" s="83"/>
      <c r="T636" s="83"/>
      <c r="U636" s="83"/>
      <c r="V636" s="83"/>
      <c r="W636" s="83"/>
      <c r="X636" s="83"/>
      <c r="Y636" s="83"/>
      <c r="Z636" s="83"/>
      <c r="AA636" s="83"/>
      <c r="AB636" s="83"/>
      <c r="AC636" s="83"/>
      <c r="AD636" s="83"/>
      <c r="AE636" s="83"/>
      <c r="AF636" s="83"/>
      <c r="AG636" s="83"/>
      <c r="AH636" s="83"/>
    </row>
    <row r="637" spans="1:34" ht="69.75" customHeight="1" x14ac:dyDescent="0.25">
      <c r="A637" s="823"/>
      <c r="B637" s="30" t="s">
        <v>751</v>
      </c>
      <c r="C637" s="30" t="s">
        <v>752</v>
      </c>
      <c r="D637" s="329" t="s">
        <v>370</v>
      </c>
      <c r="E637" s="325">
        <v>754641627</v>
      </c>
      <c r="F637" s="325">
        <v>291259304</v>
      </c>
      <c r="G637" s="326"/>
      <c r="H637" s="83"/>
      <c r="I637" s="83"/>
      <c r="J637" s="327"/>
      <c r="K637" s="83"/>
      <c r="L637" s="83"/>
      <c r="M637" s="83"/>
      <c r="N637" s="328"/>
      <c r="O637" s="83"/>
      <c r="P637" s="83"/>
      <c r="Q637" s="83"/>
      <c r="R637" s="83"/>
      <c r="S637" s="83"/>
      <c r="T637" s="83"/>
      <c r="U637" s="83"/>
      <c r="V637" s="83"/>
      <c r="W637" s="83"/>
      <c r="X637" s="83"/>
      <c r="Y637" s="83"/>
      <c r="Z637" s="83"/>
      <c r="AA637" s="83"/>
      <c r="AB637" s="83"/>
      <c r="AC637" s="83"/>
      <c r="AD637" s="83"/>
      <c r="AE637" s="83"/>
      <c r="AF637" s="83"/>
      <c r="AG637" s="83"/>
      <c r="AH637" s="83"/>
    </row>
    <row r="638" spans="1:34" ht="69.75" customHeight="1" x14ac:dyDescent="0.25">
      <c r="A638" s="874" t="s">
        <v>708</v>
      </c>
      <c r="B638" s="878" t="s">
        <v>739</v>
      </c>
      <c r="C638" s="878" t="s">
        <v>740</v>
      </c>
      <c r="D638" s="324" t="s">
        <v>339</v>
      </c>
      <c r="E638" s="325">
        <v>605339000</v>
      </c>
      <c r="F638" s="325">
        <v>276425767</v>
      </c>
      <c r="G638" s="326"/>
      <c r="H638" s="83"/>
      <c r="I638" s="83"/>
      <c r="J638" s="327"/>
      <c r="K638" s="83"/>
      <c r="L638" s="83"/>
      <c r="M638" s="83"/>
      <c r="N638" s="328"/>
      <c r="O638" s="83"/>
      <c r="P638" s="83"/>
      <c r="Q638" s="83"/>
      <c r="R638" s="83"/>
      <c r="S638" s="83"/>
      <c r="T638" s="83"/>
      <c r="U638" s="83"/>
      <c r="V638" s="83"/>
      <c r="W638" s="83"/>
      <c r="X638" s="83"/>
      <c r="Y638" s="83"/>
      <c r="Z638" s="83"/>
      <c r="AA638" s="83"/>
      <c r="AB638" s="83"/>
      <c r="AC638" s="83"/>
      <c r="AD638" s="83"/>
      <c r="AE638" s="83"/>
      <c r="AF638" s="83"/>
      <c r="AG638" s="83"/>
      <c r="AH638" s="83"/>
    </row>
    <row r="639" spans="1:34" ht="69.75" customHeight="1" x14ac:dyDescent="0.25">
      <c r="A639" s="829"/>
      <c r="B639" s="710"/>
      <c r="C639" s="710"/>
      <c r="D639" s="324" t="s">
        <v>349</v>
      </c>
      <c r="E639" s="325">
        <v>172920000</v>
      </c>
      <c r="F639" s="325">
        <v>91215300</v>
      </c>
      <c r="G639" s="326"/>
      <c r="H639" s="83"/>
      <c r="I639" s="83"/>
      <c r="J639" s="327"/>
      <c r="K639" s="83"/>
      <c r="L639" s="83"/>
      <c r="M639" s="83"/>
      <c r="N639" s="328"/>
      <c r="O639" s="83"/>
      <c r="P639" s="83"/>
      <c r="Q639" s="83"/>
      <c r="R639" s="83"/>
      <c r="S639" s="83"/>
      <c r="T639" s="83"/>
      <c r="U639" s="83"/>
      <c r="V639" s="83"/>
      <c r="W639" s="83"/>
      <c r="X639" s="83"/>
      <c r="Y639" s="83"/>
      <c r="Z639" s="83"/>
      <c r="AA639" s="83"/>
      <c r="AB639" s="83"/>
      <c r="AC639" s="83"/>
      <c r="AD639" s="83"/>
      <c r="AE639" s="83"/>
      <c r="AF639" s="83"/>
      <c r="AG639" s="83"/>
      <c r="AH639" s="83"/>
    </row>
    <row r="640" spans="1:34" ht="69.75" customHeight="1" x14ac:dyDescent="0.25">
      <c r="A640" s="829"/>
      <c r="B640" s="731"/>
      <c r="C640" s="731"/>
      <c r="D640" s="324" t="s">
        <v>351</v>
      </c>
      <c r="E640" s="325">
        <v>29920000</v>
      </c>
      <c r="F640" s="325">
        <v>15685333</v>
      </c>
      <c r="G640" s="326"/>
      <c r="H640" s="83"/>
      <c r="I640" s="83"/>
      <c r="J640" s="327"/>
      <c r="K640" s="83"/>
      <c r="L640" s="83"/>
      <c r="M640" s="83"/>
      <c r="N640" s="328"/>
      <c r="O640" s="83"/>
      <c r="P640" s="83"/>
      <c r="Q640" s="83"/>
      <c r="R640" s="83"/>
      <c r="S640" s="83"/>
      <c r="T640" s="83"/>
      <c r="U640" s="83"/>
      <c r="V640" s="83"/>
      <c r="W640" s="83"/>
      <c r="X640" s="83"/>
      <c r="Y640" s="83"/>
      <c r="Z640" s="83"/>
      <c r="AA640" s="83"/>
      <c r="AB640" s="83"/>
      <c r="AC640" s="83"/>
      <c r="AD640" s="83"/>
      <c r="AE640" s="83"/>
      <c r="AF640" s="83"/>
      <c r="AG640" s="83"/>
      <c r="AH640" s="83"/>
    </row>
    <row r="641" spans="1:34" ht="69.75" customHeight="1" x14ac:dyDescent="0.25">
      <c r="A641" s="829"/>
      <c r="B641" s="749" t="s">
        <v>743</v>
      </c>
      <c r="C641" s="749" t="s">
        <v>744</v>
      </c>
      <c r="D641" s="329" t="s">
        <v>354</v>
      </c>
      <c r="E641" s="325">
        <v>76788500</v>
      </c>
      <c r="F641" s="325">
        <v>36373500</v>
      </c>
      <c r="G641" s="326"/>
      <c r="H641" s="83"/>
      <c r="I641" s="83"/>
      <c r="J641" s="327"/>
      <c r="K641" s="83"/>
      <c r="L641" s="83"/>
      <c r="M641" s="83"/>
      <c r="N641" s="328"/>
      <c r="O641" s="83"/>
      <c r="P641" s="83"/>
      <c r="Q641" s="83"/>
      <c r="R641" s="83"/>
      <c r="S641" s="83"/>
      <c r="T641" s="83"/>
      <c r="U641" s="83"/>
      <c r="V641" s="83"/>
      <c r="W641" s="83"/>
      <c r="X641" s="83"/>
      <c r="Y641" s="83"/>
      <c r="Z641" s="83"/>
      <c r="AA641" s="83"/>
      <c r="AB641" s="83"/>
      <c r="AC641" s="83"/>
      <c r="AD641" s="83"/>
      <c r="AE641" s="83"/>
      <c r="AF641" s="83"/>
      <c r="AG641" s="83"/>
      <c r="AH641" s="83"/>
    </row>
    <row r="642" spans="1:34" ht="69.75" customHeight="1" x14ac:dyDescent="0.25">
      <c r="A642" s="829"/>
      <c r="B642" s="710"/>
      <c r="C642" s="710"/>
      <c r="D642" s="329" t="s">
        <v>924</v>
      </c>
      <c r="E642" s="325">
        <v>734844689</v>
      </c>
      <c r="F642" s="325">
        <v>198746666</v>
      </c>
      <c r="G642" s="326"/>
      <c r="H642" s="83"/>
      <c r="I642" s="83"/>
      <c r="J642" s="327"/>
      <c r="K642" s="83"/>
      <c r="L642" s="83"/>
      <c r="M642" s="83"/>
      <c r="N642" s="328"/>
      <c r="O642" s="83"/>
      <c r="P642" s="83"/>
      <c r="Q642" s="83"/>
      <c r="R642" s="83"/>
      <c r="S642" s="83"/>
      <c r="T642" s="83"/>
      <c r="U642" s="83"/>
      <c r="V642" s="83"/>
      <c r="W642" s="83"/>
      <c r="X642" s="83"/>
      <c r="Y642" s="83"/>
      <c r="Z642" s="83"/>
      <c r="AA642" s="83"/>
      <c r="AB642" s="83"/>
      <c r="AC642" s="83"/>
      <c r="AD642" s="83"/>
      <c r="AE642" s="83"/>
      <c r="AF642" s="83"/>
      <c r="AG642" s="83"/>
      <c r="AH642" s="83"/>
    </row>
    <row r="643" spans="1:34" ht="69.75" customHeight="1" x14ac:dyDescent="0.25">
      <c r="A643" s="829"/>
      <c r="B643" s="710"/>
      <c r="C643" s="710"/>
      <c r="D643" s="329" t="s">
        <v>925</v>
      </c>
      <c r="E643" s="325">
        <v>333790000</v>
      </c>
      <c r="F643" s="325">
        <v>163923800</v>
      </c>
      <c r="G643" s="326"/>
      <c r="H643" s="83"/>
      <c r="I643" s="83"/>
      <c r="J643" s="327"/>
      <c r="K643" s="83"/>
      <c r="L643" s="83"/>
      <c r="M643" s="83"/>
      <c r="N643" s="328"/>
      <c r="O643" s="83"/>
      <c r="P643" s="83"/>
      <c r="Q643" s="83"/>
      <c r="R643" s="83"/>
      <c r="S643" s="83"/>
      <c r="T643" s="83"/>
      <c r="U643" s="83"/>
      <c r="V643" s="83"/>
      <c r="W643" s="83"/>
      <c r="X643" s="83"/>
      <c r="Y643" s="83"/>
      <c r="Z643" s="83"/>
      <c r="AA643" s="83"/>
      <c r="AB643" s="83"/>
      <c r="AC643" s="83"/>
      <c r="AD643" s="83"/>
      <c r="AE643" s="83"/>
      <c r="AF643" s="83"/>
      <c r="AG643" s="83"/>
      <c r="AH643" s="83"/>
    </row>
    <row r="644" spans="1:34" ht="69.75" customHeight="1" x14ac:dyDescent="0.25">
      <c r="A644" s="829"/>
      <c r="B644" s="731"/>
      <c r="C644" s="731"/>
      <c r="D644" s="329" t="s">
        <v>674</v>
      </c>
      <c r="E644" s="330">
        <v>443888000</v>
      </c>
      <c r="F644" s="330">
        <v>239079734</v>
      </c>
      <c r="G644" s="326"/>
      <c r="H644" s="83"/>
      <c r="I644" s="83"/>
      <c r="J644" s="327"/>
      <c r="K644" s="83"/>
      <c r="L644" s="83"/>
      <c r="M644" s="83"/>
      <c r="N644" s="328"/>
      <c r="O644" s="83"/>
      <c r="P644" s="83"/>
      <c r="Q644" s="83"/>
      <c r="R644" s="83"/>
      <c r="S644" s="83"/>
      <c r="T644" s="83"/>
      <c r="U644" s="83"/>
      <c r="V644" s="83"/>
      <c r="W644" s="83"/>
      <c r="X644" s="83"/>
      <c r="Y644" s="83"/>
      <c r="Z644" s="83"/>
      <c r="AA644" s="83"/>
      <c r="AB644" s="83"/>
      <c r="AC644" s="83"/>
      <c r="AD644" s="83"/>
      <c r="AE644" s="83"/>
      <c r="AF644" s="83"/>
      <c r="AG644" s="83"/>
      <c r="AH644" s="83"/>
    </row>
    <row r="645" spans="1:34" ht="69.75" customHeight="1" x14ac:dyDescent="0.25">
      <c r="A645" s="829"/>
      <c r="B645" s="30" t="s">
        <v>747</v>
      </c>
      <c r="C645" s="30" t="s">
        <v>748</v>
      </c>
      <c r="D645" s="329" t="s">
        <v>926</v>
      </c>
      <c r="E645" s="325">
        <v>277709000</v>
      </c>
      <c r="F645" s="325">
        <v>109027434</v>
      </c>
      <c r="G645" s="326"/>
      <c r="H645" s="83"/>
      <c r="I645" s="83"/>
      <c r="J645" s="327"/>
      <c r="K645" s="83"/>
      <c r="L645" s="83"/>
      <c r="M645" s="83"/>
      <c r="N645" s="328"/>
      <c r="O645" s="83"/>
      <c r="P645" s="83"/>
      <c r="Q645" s="83"/>
      <c r="R645" s="83"/>
      <c r="S645" s="83"/>
      <c r="T645" s="83"/>
      <c r="U645" s="83"/>
      <c r="V645" s="83"/>
      <c r="W645" s="83"/>
      <c r="X645" s="83"/>
      <c r="Y645" s="83"/>
      <c r="Z645" s="83"/>
      <c r="AA645" s="83"/>
      <c r="AB645" s="83"/>
      <c r="AC645" s="83"/>
      <c r="AD645" s="83"/>
      <c r="AE645" s="83"/>
      <c r="AF645" s="83"/>
      <c r="AG645" s="83"/>
      <c r="AH645" s="83"/>
    </row>
    <row r="646" spans="1:34" ht="69.75" customHeight="1" x14ac:dyDescent="0.25">
      <c r="A646" s="823"/>
      <c r="B646" s="30" t="s">
        <v>751</v>
      </c>
      <c r="C646" s="30" t="s">
        <v>752</v>
      </c>
      <c r="D646" s="329" t="s">
        <v>370</v>
      </c>
      <c r="E646" s="325">
        <v>779641627</v>
      </c>
      <c r="F646" s="325">
        <v>382449164</v>
      </c>
      <c r="G646" s="326"/>
      <c r="H646" s="83"/>
      <c r="I646" s="83"/>
      <c r="J646" s="327"/>
      <c r="K646" s="83"/>
      <c r="L646" s="83"/>
      <c r="M646" s="83"/>
      <c r="N646" s="328"/>
      <c r="O646" s="83"/>
      <c r="P646" s="83"/>
      <c r="Q646" s="83"/>
      <c r="R646" s="83"/>
      <c r="S646" s="83"/>
      <c r="T646" s="83"/>
      <c r="U646" s="83"/>
      <c r="V646" s="83"/>
      <c r="W646" s="83"/>
      <c r="X646" s="83"/>
      <c r="Y646" s="83"/>
      <c r="Z646" s="83"/>
      <c r="AA646" s="83"/>
      <c r="AB646" s="83"/>
      <c r="AC646" s="83"/>
      <c r="AD646" s="83"/>
      <c r="AE646" s="83"/>
      <c r="AF646" s="83"/>
      <c r="AG646" s="83"/>
      <c r="AH646" s="83"/>
    </row>
    <row r="647" spans="1:34" ht="69.75" customHeight="1" x14ac:dyDescent="0.25">
      <c r="A647" s="874" t="s">
        <v>709</v>
      </c>
      <c r="B647" s="878" t="s">
        <v>739</v>
      </c>
      <c r="C647" s="878" t="s">
        <v>740</v>
      </c>
      <c r="D647" s="324" t="s">
        <v>339</v>
      </c>
      <c r="E647" s="325">
        <v>605339000</v>
      </c>
      <c r="F647" s="325">
        <v>327742767</v>
      </c>
      <c r="G647" s="326"/>
      <c r="H647" s="83"/>
      <c r="I647" s="83"/>
      <c r="J647" s="327"/>
      <c r="K647" s="83"/>
      <c r="L647" s="83"/>
      <c r="M647" s="83"/>
      <c r="N647" s="328"/>
      <c r="O647" s="83"/>
      <c r="P647" s="83"/>
      <c r="Q647" s="83"/>
      <c r="R647" s="83"/>
      <c r="S647" s="83"/>
      <c r="T647" s="83"/>
      <c r="U647" s="83"/>
      <c r="V647" s="83"/>
      <c r="W647" s="83"/>
      <c r="X647" s="83"/>
      <c r="Y647" s="83"/>
      <c r="Z647" s="83"/>
      <c r="AA647" s="83"/>
      <c r="AB647" s="83"/>
      <c r="AC647" s="83"/>
      <c r="AD647" s="83"/>
      <c r="AE647" s="83"/>
      <c r="AF647" s="83"/>
      <c r="AG647" s="83"/>
      <c r="AH647" s="83"/>
    </row>
    <row r="648" spans="1:34" ht="69.75" customHeight="1" x14ac:dyDescent="0.25">
      <c r="A648" s="829"/>
      <c r="B648" s="710"/>
      <c r="C648" s="710"/>
      <c r="D648" s="324" t="s">
        <v>349</v>
      </c>
      <c r="E648" s="325">
        <v>172920000</v>
      </c>
      <c r="F648" s="325">
        <v>108507300</v>
      </c>
      <c r="G648" s="326"/>
      <c r="H648" s="83"/>
      <c r="I648" s="83"/>
      <c r="J648" s="327"/>
      <c r="K648" s="83"/>
      <c r="L648" s="83"/>
      <c r="M648" s="83"/>
      <c r="N648" s="328"/>
      <c r="O648" s="83"/>
      <c r="P648" s="83"/>
      <c r="Q648" s="83"/>
      <c r="R648" s="83"/>
      <c r="S648" s="83"/>
      <c r="T648" s="83"/>
      <c r="U648" s="83"/>
      <c r="V648" s="83"/>
      <c r="W648" s="83"/>
      <c r="X648" s="83"/>
      <c r="Y648" s="83"/>
      <c r="Z648" s="83"/>
      <c r="AA648" s="83"/>
      <c r="AB648" s="83"/>
      <c r="AC648" s="83"/>
      <c r="AD648" s="83"/>
      <c r="AE648" s="83"/>
      <c r="AF648" s="83"/>
      <c r="AG648" s="83"/>
      <c r="AH648" s="83"/>
    </row>
    <row r="649" spans="1:34" ht="69.75" customHeight="1" x14ac:dyDescent="0.25">
      <c r="A649" s="829"/>
      <c r="B649" s="731"/>
      <c r="C649" s="731"/>
      <c r="D649" s="324" t="s">
        <v>351</v>
      </c>
      <c r="E649" s="325">
        <v>29920000</v>
      </c>
      <c r="F649" s="325">
        <v>18405333</v>
      </c>
      <c r="G649" s="326"/>
      <c r="H649" s="83"/>
      <c r="I649" s="83"/>
      <c r="J649" s="327"/>
      <c r="K649" s="83"/>
      <c r="L649" s="83"/>
      <c r="M649" s="83"/>
      <c r="N649" s="328"/>
      <c r="O649" s="83"/>
      <c r="P649" s="83"/>
      <c r="Q649" s="83"/>
      <c r="R649" s="83"/>
      <c r="S649" s="83"/>
      <c r="T649" s="83"/>
      <c r="U649" s="83"/>
      <c r="V649" s="83"/>
      <c r="W649" s="83"/>
      <c r="X649" s="83"/>
      <c r="Y649" s="83"/>
      <c r="Z649" s="83"/>
      <c r="AA649" s="83"/>
      <c r="AB649" s="83"/>
      <c r="AC649" s="83"/>
      <c r="AD649" s="83"/>
      <c r="AE649" s="83"/>
      <c r="AF649" s="83"/>
      <c r="AG649" s="83"/>
      <c r="AH649" s="83"/>
    </row>
    <row r="650" spans="1:34" ht="69.75" customHeight="1" x14ac:dyDescent="0.25">
      <c r="A650" s="829"/>
      <c r="B650" s="749" t="s">
        <v>743</v>
      </c>
      <c r="C650" s="749" t="s">
        <v>744</v>
      </c>
      <c r="D650" s="329" t="s">
        <v>354</v>
      </c>
      <c r="E650" s="325">
        <v>76788500</v>
      </c>
      <c r="F650" s="325">
        <v>44456500</v>
      </c>
      <c r="G650" s="326"/>
      <c r="H650" s="83"/>
      <c r="I650" s="83"/>
      <c r="J650" s="327"/>
      <c r="K650" s="83"/>
      <c r="L650" s="83"/>
      <c r="M650" s="83"/>
      <c r="N650" s="328"/>
      <c r="O650" s="83"/>
      <c r="P650" s="83"/>
      <c r="Q650" s="83"/>
      <c r="R650" s="83"/>
      <c r="S650" s="83"/>
      <c r="T650" s="83"/>
      <c r="U650" s="83"/>
      <c r="V650" s="83"/>
      <c r="W650" s="83"/>
      <c r="X650" s="83"/>
      <c r="Y650" s="83"/>
      <c r="Z650" s="83"/>
      <c r="AA650" s="83"/>
      <c r="AB650" s="83"/>
      <c r="AC650" s="83"/>
      <c r="AD650" s="83"/>
      <c r="AE650" s="83"/>
      <c r="AF650" s="83"/>
      <c r="AG650" s="83"/>
      <c r="AH650" s="83"/>
    </row>
    <row r="651" spans="1:34" ht="69.75" customHeight="1" x14ac:dyDescent="0.25">
      <c r="A651" s="829"/>
      <c r="B651" s="710"/>
      <c r="C651" s="710"/>
      <c r="D651" s="329" t="s">
        <v>924</v>
      </c>
      <c r="E651" s="325">
        <v>734844689</v>
      </c>
      <c r="F651" s="325">
        <v>242094666</v>
      </c>
      <c r="G651" s="326"/>
      <c r="H651" s="83"/>
      <c r="I651" s="83"/>
      <c r="J651" s="327"/>
      <c r="K651" s="83"/>
      <c r="L651" s="83"/>
      <c r="M651" s="83"/>
      <c r="N651" s="328"/>
      <c r="O651" s="83"/>
      <c r="P651" s="83"/>
      <c r="Q651" s="83"/>
      <c r="R651" s="83"/>
      <c r="S651" s="83"/>
      <c r="T651" s="83"/>
      <c r="U651" s="83"/>
      <c r="V651" s="83"/>
      <c r="W651" s="83"/>
      <c r="X651" s="83"/>
      <c r="Y651" s="83"/>
      <c r="Z651" s="83"/>
      <c r="AA651" s="83"/>
      <c r="AB651" s="83"/>
      <c r="AC651" s="83"/>
      <c r="AD651" s="83"/>
      <c r="AE651" s="83"/>
      <c r="AF651" s="83"/>
      <c r="AG651" s="83"/>
      <c r="AH651" s="83"/>
    </row>
    <row r="652" spans="1:34" ht="69.75" customHeight="1" x14ac:dyDescent="0.25">
      <c r="A652" s="829"/>
      <c r="B652" s="710"/>
      <c r="C652" s="710"/>
      <c r="D652" s="329" t="s">
        <v>925</v>
      </c>
      <c r="E652" s="325">
        <v>333790000</v>
      </c>
      <c r="F652" s="325">
        <v>195302800</v>
      </c>
      <c r="G652" s="326"/>
      <c r="H652" s="83"/>
      <c r="I652" s="83"/>
      <c r="J652" s="327"/>
      <c r="K652" s="83"/>
      <c r="L652" s="83"/>
      <c r="M652" s="83"/>
      <c r="N652" s="328"/>
      <c r="O652" s="83"/>
      <c r="P652" s="83"/>
      <c r="Q652" s="83"/>
      <c r="R652" s="83"/>
      <c r="S652" s="83"/>
      <c r="T652" s="83"/>
      <c r="U652" s="83"/>
      <c r="V652" s="83"/>
      <c r="W652" s="83"/>
      <c r="X652" s="83"/>
      <c r="Y652" s="83"/>
      <c r="Z652" s="83"/>
      <c r="AA652" s="83"/>
      <c r="AB652" s="83"/>
      <c r="AC652" s="83"/>
      <c r="AD652" s="83"/>
      <c r="AE652" s="83"/>
      <c r="AF652" s="83"/>
      <c r="AG652" s="83"/>
      <c r="AH652" s="83"/>
    </row>
    <row r="653" spans="1:34" ht="69.75" customHeight="1" x14ac:dyDescent="0.25">
      <c r="A653" s="829"/>
      <c r="B653" s="731"/>
      <c r="C653" s="731"/>
      <c r="D653" s="329" t="s">
        <v>674</v>
      </c>
      <c r="E653" s="330">
        <v>443888000</v>
      </c>
      <c r="F653" s="330">
        <v>281250734</v>
      </c>
      <c r="G653" s="326"/>
      <c r="H653" s="83"/>
      <c r="I653" s="83"/>
      <c r="J653" s="327"/>
      <c r="K653" s="83"/>
      <c r="L653" s="83"/>
      <c r="M653" s="83"/>
      <c r="N653" s="328"/>
      <c r="O653" s="83"/>
      <c r="P653" s="83"/>
      <c r="Q653" s="83"/>
      <c r="R653" s="83"/>
      <c r="S653" s="83"/>
      <c r="T653" s="83"/>
      <c r="U653" s="83"/>
      <c r="V653" s="83"/>
      <c r="W653" s="83"/>
      <c r="X653" s="83"/>
      <c r="Y653" s="83"/>
      <c r="Z653" s="83"/>
      <c r="AA653" s="83"/>
      <c r="AB653" s="83"/>
      <c r="AC653" s="83"/>
      <c r="AD653" s="83"/>
      <c r="AE653" s="83"/>
      <c r="AF653" s="83"/>
      <c r="AG653" s="83"/>
      <c r="AH653" s="83"/>
    </row>
    <row r="654" spans="1:34" ht="69.75" customHeight="1" x14ac:dyDescent="0.25">
      <c r="A654" s="829"/>
      <c r="B654" s="30" t="s">
        <v>747</v>
      </c>
      <c r="C654" s="30" t="s">
        <v>748</v>
      </c>
      <c r="D654" s="329" t="s">
        <v>926</v>
      </c>
      <c r="E654" s="325">
        <v>277709000</v>
      </c>
      <c r="F654" s="325">
        <v>135160101</v>
      </c>
      <c r="G654" s="326"/>
      <c r="H654" s="83"/>
      <c r="I654" s="83"/>
      <c r="J654" s="327"/>
      <c r="K654" s="83"/>
      <c r="L654" s="83"/>
      <c r="M654" s="83"/>
      <c r="N654" s="328"/>
      <c r="O654" s="83"/>
      <c r="P654" s="83"/>
      <c r="Q654" s="83"/>
      <c r="R654" s="83"/>
      <c r="S654" s="83"/>
      <c r="T654" s="83"/>
      <c r="U654" s="83"/>
      <c r="V654" s="83"/>
      <c r="W654" s="83"/>
      <c r="X654" s="83"/>
      <c r="Y654" s="83"/>
      <c r="Z654" s="83"/>
      <c r="AA654" s="83"/>
      <c r="AB654" s="83"/>
      <c r="AC654" s="83"/>
      <c r="AD654" s="83"/>
      <c r="AE654" s="83"/>
      <c r="AF654" s="83"/>
      <c r="AG654" s="83"/>
      <c r="AH654" s="83"/>
    </row>
    <row r="655" spans="1:34" ht="42.75" customHeight="1" x14ac:dyDescent="0.25">
      <c r="A655" s="823"/>
      <c r="B655" s="30" t="s">
        <v>751</v>
      </c>
      <c r="C655" s="30" t="s">
        <v>752</v>
      </c>
      <c r="D655" s="329" t="s">
        <v>370</v>
      </c>
      <c r="E655" s="325">
        <v>779641627</v>
      </c>
      <c r="F655" s="325">
        <v>454216764</v>
      </c>
      <c r="G655" s="326"/>
      <c r="H655" s="83"/>
      <c r="I655" s="83"/>
      <c r="J655" s="327"/>
      <c r="K655" s="83"/>
      <c r="L655" s="83"/>
      <c r="M655" s="83"/>
      <c r="N655" s="328"/>
      <c r="O655" s="83"/>
      <c r="P655" s="83"/>
      <c r="Q655" s="83"/>
      <c r="R655" s="83"/>
      <c r="S655" s="83"/>
      <c r="T655" s="83"/>
      <c r="U655" s="83"/>
      <c r="V655" s="83"/>
      <c r="W655" s="83"/>
      <c r="X655" s="83"/>
      <c r="Y655" s="83"/>
      <c r="Z655" s="83"/>
      <c r="AA655" s="83"/>
      <c r="AB655" s="83"/>
      <c r="AC655" s="83"/>
      <c r="AD655" s="83"/>
      <c r="AE655" s="83"/>
      <c r="AF655" s="83"/>
      <c r="AG655" s="83"/>
      <c r="AH655" s="83"/>
    </row>
    <row r="656" spans="1:34" ht="69.75" customHeight="1" x14ac:dyDescent="0.25">
      <c r="A656" s="874" t="s">
        <v>710</v>
      </c>
      <c r="B656" s="878" t="s">
        <v>739</v>
      </c>
      <c r="C656" s="878" t="s">
        <v>740</v>
      </c>
      <c r="D656" s="324" t="s">
        <v>339</v>
      </c>
      <c r="E656" s="325">
        <v>605339000</v>
      </c>
      <c r="F656" s="325">
        <v>379059767</v>
      </c>
      <c r="G656" s="326"/>
      <c r="H656" s="83"/>
      <c r="I656" s="83"/>
      <c r="J656" s="327"/>
      <c r="K656" s="83"/>
      <c r="L656" s="83"/>
      <c r="M656" s="83"/>
      <c r="N656" s="328"/>
      <c r="O656" s="83"/>
      <c r="P656" s="83"/>
      <c r="Q656" s="83"/>
      <c r="R656" s="83"/>
      <c r="S656" s="83"/>
      <c r="T656" s="83"/>
      <c r="U656" s="83"/>
      <c r="V656" s="83"/>
      <c r="W656" s="83"/>
      <c r="X656" s="83"/>
      <c r="Y656" s="83"/>
      <c r="Z656" s="83"/>
      <c r="AA656" s="83"/>
      <c r="AB656" s="83"/>
      <c r="AC656" s="83"/>
      <c r="AD656" s="83"/>
      <c r="AE656" s="83"/>
      <c r="AF656" s="83"/>
      <c r="AG656" s="83"/>
      <c r="AH656" s="83"/>
    </row>
    <row r="657" spans="1:34" ht="69.75" customHeight="1" x14ac:dyDescent="0.25">
      <c r="A657" s="829"/>
      <c r="B657" s="710"/>
      <c r="C657" s="710"/>
      <c r="D657" s="324" t="s">
        <v>349</v>
      </c>
      <c r="E657" s="325">
        <v>172920000</v>
      </c>
      <c r="F657" s="325">
        <v>125799300</v>
      </c>
      <c r="G657" s="326"/>
      <c r="H657" s="83"/>
      <c r="I657" s="83"/>
      <c r="J657" s="327"/>
      <c r="K657" s="83"/>
      <c r="L657" s="83"/>
      <c r="M657" s="83"/>
      <c r="N657" s="328"/>
      <c r="O657" s="83"/>
      <c r="P657" s="83"/>
      <c r="Q657" s="83"/>
      <c r="R657" s="83"/>
      <c r="S657" s="83"/>
      <c r="T657" s="83"/>
      <c r="U657" s="83"/>
      <c r="V657" s="83"/>
      <c r="W657" s="83"/>
      <c r="X657" s="83"/>
      <c r="Y657" s="83"/>
      <c r="Z657" s="83"/>
      <c r="AA657" s="83"/>
      <c r="AB657" s="83"/>
      <c r="AC657" s="83"/>
      <c r="AD657" s="83"/>
      <c r="AE657" s="83"/>
      <c r="AF657" s="83"/>
      <c r="AG657" s="83"/>
      <c r="AH657" s="83"/>
    </row>
    <row r="658" spans="1:34" ht="69.75" customHeight="1" x14ac:dyDescent="0.25">
      <c r="A658" s="829"/>
      <c r="B658" s="731"/>
      <c r="C658" s="731"/>
      <c r="D658" s="324" t="s">
        <v>351</v>
      </c>
      <c r="E658" s="325">
        <v>29920000</v>
      </c>
      <c r="F658" s="325">
        <v>21125333</v>
      </c>
      <c r="G658" s="326"/>
      <c r="H658" s="83"/>
      <c r="I658" s="83"/>
      <c r="J658" s="327"/>
      <c r="K658" s="83"/>
      <c r="L658" s="83"/>
      <c r="M658" s="83"/>
      <c r="N658" s="328"/>
      <c r="O658" s="83"/>
      <c r="P658" s="83"/>
      <c r="Q658" s="83"/>
      <c r="R658" s="83"/>
      <c r="S658" s="83"/>
      <c r="T658" s="83"/>
      <c r="U658" s="83"/>
      <c r="V658" s="83"/>
      <c r="W658" s="83"/>
      <c r="X658" s="83"/>
      <c r="Y658" s="83"/>
      <c r="Z658" s="83"/>
      <c r="AA658" s="83"/>
      <c r="AB658" s="83"/>
      <c r="AC658" s="83"/>
      <c r="AD658" s="83"/>
      <c r="AE658" s="83"/>
      <c r="AF658" s="83"/>
      <c r="AG658" s="83"/>
      <c r="AH658" s="83"/>
    </row>
    <row r="659" spans="1:34" ht="69.75" customHeight="1" x14ac:dyDescent="0.25">
      <c r="A659" s="829"/>
      <c r="B659" s="749" t="s">
        <v>743</v>
      </c>
      <c r="C659" s="749" t="s">
        <v>744</v>
      </c>
      <c r="D659" s="329" t="s">
        <v>354</v>
      </c>
      <c r="E659" s="325">
        <v>76788500</v>
      </c>
      <c r="F659" s="325">
        <v>52539500</v>
      </c>
      <c r="G659" s="326"/>
      <c r="H659" s="83"/>
      <c r="I659" s="83"/>
      <c r="J659" s="327"/>
      <c r="K659" s="83"/>
      <c r="L659" s="83"/>
      <c r="M659" s="83"/>
      <c r="N659" s="328"/>
      <c r="O659" s="83"/>
      <c r="P659" s="83"/>
      <c r="Q659" s="83"/>
      <c r="R659" s="83"/>
      <c r="S659" s="83"/>
      <c r="T659" s="83"/>
      <c r="U659" s="83"/>
      <c r="V659" s="83"/>
      <c r="W659" s="83"/>
      <c r="X659" s="83"/>
      <c r="Y659" s="83"/>
      <c r="Z659" s="83"/>
      <c r="AA659" s="83"/>
      <c r="AB659" s="83"/>
      <c r="AC659" s="83"/>
      <c r="AD659" s="83"/>
      <c r="AE659" s="83"/>
      <c r="AF659" s="83"/>
      <c r="AG659" s="83"/>
      <c r="AH659" s="83"/>
    </row>
    <row r="660" spans="1:34" ht="69.75" customHeight="1" x14ac:dyDescent="0.25">
      <c r="A660" s="829"/>
      <c r="B660" s="710"/>
      <c r="C660" s="710"/>
      <c r="D660" s="329" t="s">
        <v>924</v>
      </c>
      <c r="E660" s="325">
        <v>734844689</v>
      </c>
      <c r="F660" s="325">
        <v>310195333</v>
      </c>
      <c r="G660" s="326"/>
      <c r="H660" s="83"/>
      <c r="I660" s="83"/>
      <c r="J660" s="327"/>
      <c r="K660" s="83"/>
      <c r="L660" s="83"/>
      <c r="M660" s="83"/>
      <c r="N660" s="328"/>
      <c r="O660" s="83"/>
      <c r="P660" s="83"/>
      <c r="Q660" s="83"/>
      <c r="R660" s="83"/>
      <c r="S660" s="83"/>
      <c r="T660" s="83"/>
      <c r="U660" s="83"/>
      <c r="V660" s="83"/>
      <c r="W660" s="83"/>
      <c r="X660" s="83"/>
      <c r="Y660" s="83"/>
      <c r="Z660" s="83"/>
      <c r="AA660" s="83"/>
      <c r="AB660" s="83"/>
      <c r="AC660" s="83"/>
      <c r="AD660" s="83"/>
      <c r="AE660" s="83"/>
      <c r="AF660" s="83"/>
      <c r="AG660" s="83"/>
      <c r="AH660" s="83"/>
    </row>
    <row r="661" spans="1:34" ht="69.75" customHeight="1" x14ac:dyDescent="0.25">
      <c r="A661" s="829"/>
      <c r="B661" s="710"/>
      <c r="C661" s="710"/>
      <c r="D661" s="329" t="s">
        <v>925</v>
      </c>
      <c r="E661" s="325">
        <v>333790000</v>
      </c>
      <c r="F661" s="325">
        <v>227025600</v>
      </c>
      <c r="G661" s="326"/>
      <c r="H661" s="83"/>
      <c r="I661" s="83"/>
      <c r="J661" s="327"/>
      <c r="K661" s="83"/>
      <c r="L661" s="83"/>
      <c r="M661" s="83"/>
      <c r="N661" s="328"/>
      <c r="O661" s="83"/>
      <c r="P661" s="83"/>
      <c r="Q661" s="83"/>
      <c r="R661" s="83"/>
      <c r="S661" s="83"/>
      <c r="T661" s="83"/>
      <c r="U661" s="83"/>
      <c r="V661" s="83"/>
      <c r="W661" s="83"/>
      <c r="X661" s="83"/>
      <c r="Y661" s="83"/>
      <c r="Z661" s="83"/>
      <c r="AA661" s="83"/>
      <c r="AB661" s="83"/>
      <c r="AC661" s="83"/>
      <c r="AD661" s="83"/>
      <c r="AE661" s="83"/>
      <c r="AF661" s="83"/>
      <c r="AG661" s="83"/>
      <c r="AH661" s="83"/>
    </row>
    <row r="662" spans="1:34" ht="69.75" customHeight="1" x14ac:dyDescent="0.25">
      <c r="A662" s="829"/>
      <c r="B662" s="731"/>
      <c r="C662" s="731"/>
      <c r="D662" s="329" t="s">
        <v>674</v>
      </c>
      <c r="E662" s="330">
        <v>443888000</v>
      </c>
      <c r="F662" s="330">
        <v>326159634</v>
      </c>
      <c r="G662" s="326"/>
      <c r="H662" s="83"/>
      <c r="I662" s="83"/>
      <c r="J662" s="327"/>
      <c r="K662" s="83"/>
      <c r="L662" s="83"/>
      <c r="M662" s="83"/>
      <c r="N662" s="328"/>
      <c r="O662" s="83"/>
      <c r="P662" s="83"/>
      <c r="Q662" s="83"/>
      <c r="R662" s="83"/>
      <c r="S662" s="83"/>
      <c r="T662" s="83"/>
      <c r="U662" s="83"/>
      <c r="V662" s="83"/>
      <c r="W662" s="83"/>
      <c r="X662" s="83"/>
      <c r="Y662" s="83"/>
      <c r="Z662" s="83"/>
      <c r="AA662" s="83"/>
      <c r="AB662" s="83"/>
      <c r="AC662" s="83"/>
      <c r="AD662" s="83"/>
      <c r="AE662" s="83"/>
      <c r="AF662" s="83"/>
      <c r="AG662" s="83"/>
      <c r="AH662" s="83"/>
    </row>
    <row r="663" spans="1:34" ht="69.75" customHeight="1" x14ac:dyDescent="0.25">
      <c r="A663" s="829"/>
      <c r="B663" s="30" t="s">
        <v>747</v>
      </c>
      <c r="C663" s="30" t="s">
        <v>748</v>
      </c>
      <c r="D663" s="329" t="s">
        <v>926</v>
      </c>
      <c r="E663" s="325">
        <v>277709000</v>
      </c>
      <c r="F663" s="325">
        <v>169864101</v>
      </c>
      <c r="G663" s="326"/>
      <c r="H663" s="83"/>
      <c r="I663" s="83"/>
      <c r="J663" s="327"/>
      <c r="K663" s="83"/>
      <c r="L663" s="83"/>
      <c r="M663" s="83"/>
      <c r="N663" s="328"/>
      <c r="O663" s="83"/>
      <c r="P663" s="83"/>
      <c r="Q663" s="83"/>
      <c r="R663" s="83"/>
      <c r="S663" s="83"/>
      <c r="T663" s="83"/>
      <c r="U663" s="83"/>
      <c r="V663" s="83"/>
      <c r="W663" s="83"/>
      <c r="X663" s="83"/>
      <c r="Y663" s="83"/>
      <c r="Z663" s="83"/>
      <c r="AA663" s="83"/>
      <c r="AB663" s="83"/>
      <c r="AC663" s="83"/>
      <c r="AD663" s="83"/>
      <c r="AE663" s="83"/>
      <c r="AF663" s="83"/>
      <c r="AG663" s="83"/>
      <c r="AH663" s="83"/>
    </row>
    <row r="664" spans="1:34" ht="69.75" customHeight="1" x14ac:dyDescent="0.25">
      <c r="A664" s="823"/>
      <c r="B664" s="30" t="s">
        <v>751</v>
      </c>
      <c r="C664" s="30" t="s">
        <v>752</v>
      </c>
      <c r="D664" s="329" t="s">
        <v>370</v>
      </c>
      <c r="E664" s="325">
        <v>779641627</v>
      </c>
      <c r="F664" s="325">
        <v>520123927</v>
      </c>
      <c r="G664" s="326"/>
      <c r="H664" s="83"/>
      <c r="I664" s="83"/>
      <c r="J664" s="327"/>
      <c r="K664" s="83"/>
      <c r="L664" s="83"/>
      <c r="M664" s="83"/>
      <c r="N664" s="328"/>
      <c r="O664" s="83"/>
      <c r="P664" s="83"/>
      <c r="Q664" s="83"/>
      <c r="R664" s="83"/>
      <c r="S664" s="83"/>
      <c r="T664" s="83"/>
      <c r="U664" s="83"/>
      <c r="V664" s="83"/>
      <c r="W664" s="83"/>
      <c r="X664" s="83"/>
      <c r="Y664" s="83"/>
      <c r="Z664" s="83"/>
      <c r="AA664" s="83"/>
      <c r="AB664" s="83"/>
      <c r="AC664" s="83"/>
      <c r="AD664" s="83"/>
      <c r="AE664" s="83"/>
      <c r="AF664" s="83"/>
      <c r="AG664" s="83"/>
      <c r="AH664" s="83"/>
    </row>
    <row r="665" spans="1:34" ht="69.75" customHeight="1" x14ac:dyDescent="0.25">
      <c r="A665" s="874" t="s">
        <v>712</v>
      </c>
      <c r="B665" s="878" t="s">
        <v>739</v>
      </c>
      <c r="C665" s="878" t="s">
        <v>740</v>
      </c>
      <c r="D665" s="324" t="s">
        <v>339</v>
      </c>
      <c r="E665" s="325">
        <v>605339000</v>
      </c>
      <c r="F665" s="325">
        <v>430376767</v>
      </c>
      <c r="G665" s="326"/>
      <c r="H665" s="83"/>
      <c r="I665" s="83"/>
      <c r="J665" s="327"/>
      <c r="K665" s="83"/>
      <c r="L665" s="83"/>
      <c r="M665" s="83"/>
      <c r="N665" s="328"/>
      <c r="O665" s="83"/>
      <c r="P665" s="83"/>
      <c r="Q665" s="83"/>
      <c r="R665" s="83"/>
      <c r="S665" s="83"/>
      <c r="T665" s="83"/>
      <c r="U665" s="83"/>
      <c r="V665" s="83"/>
      <c r="W665" s="83"/>
      <c r="X665" s="83"/>
      <c r="Y665" s="83"/>
      <c r="Z665" s="83"/>
      <c r="AA665" s="83"/>
      <c r="AB665" s="83"/>
      <c r="AC665" s="83"/>
      <c r="AD665" s="83"/>
      <c r="AE665" s="83"/>
      <c r="AF665" s="83"/>
      <c r="AG665" s="83"/>
      <c r="AH665" s="83"/>
    </row>
    <row r="666" spans="1:34" ht="69.75" customHeight="1" x14ac:dyDescent="0.25">
      <c r="A666" s="829"/>
      <c r="B666" s="710"/>
      <c r="C666" s="710"/>
      <c r="D666" s="324" t="s">
        <v>349</v>
      </c>
      <c r="E666" s="325">
        <v>172920000</v>
      </c>
      <c r="F666" s="325">
        <v>143091300</v>
      </c>
      <c r="G666" s="326"/>
      <c r="H666" s="83"/>
      <c r="I666" s="83"/>
      <c r="J666" s="327"/>
      <c r="K666" s="83"/>
      <c r="L666" s="83"/>
      <c r="M666" s="83"/>
      <c r="N666" s="328"/>
      <c r="O666" s="83"/>
      <c r="P666" s="83"/>
      <c r="Q666" s="83"/>
      <c r="R666" s="83"/>
      <c r="S666" s="83"/>
      <c r="T666" s="83"/>
      <c r="U666" s="83"/>
      <c r="V666" s="83"/>
      <c r="W666" s="83"/>
      <c r="X666" s="83"/>
      <c r="Y666" s="83"/>
      <c r="Z666" s="83"/>
      <c r="AA666" s="83"/>
      <c r="AB666" s="83"/>
      <c r="AC666" s="83"/>
      <c r="AD666" s="83"/>
      <c r="AE666" s="83"/>
      <c r="AF666" s="83"/>
      <c r="AG666" s="83"/>
      <c r="AH666" s="83"/>
    </row>
    <row r="667" spans="1:34" ht="69.75" customHeight="1" x14ac:dyDescent="0.25">
      <c r="A667" s="829"/>
      <c r="B667" s="731"/>
      <c r="C667" s="731"/>
      <c r="D667" s="324" t="s">
        <v>351</v>
      </c>
      <c r="E667" s="325">
        <v>29920000</v>
      </c>
      <c r="F667" s="325">
        <v>23845333</v>
      </c>
      <c r="G667" s="326"/>
      <c r="H667" s="83"/>
      <c r="I667" s="83"/>
      <c r="J667" s="327"/>
      <c r="K667" s="83"/>
      <c r="L667" s="83"/>
      <c r="M667" s="83"/>
      <c r="N667" s="328"/>
      <c r="O667" s="83"/>
      <c r="P667" s="83"/>
      <c r="Q667" s="83"/>
      <c r="R667" s="83"/>
      <c r="S667" s="83"/>
      <c r="T667" s="83"/>
      <c r="U667" s="83"/>
      <c r="V667" s="83"/>
      <c r="W667" s="83"/>
      <c r="X667" s="83"/>
      <c r="Y667" s="83"/>
      <c r="Z667" s="83"/>
      <c r="AA667" s="83"/>
      <c r="AB667" s="83"/>
      <c r="AC667" s="83"/>
      <c r="AD667" s="83"/>
      <c r="AE667" s="83"/>
      <c r="AF667" s="83"/>
      <c r="AG667" s="83"/>
      <c r="AH667" s="83"/>
    </row>
    <row r="668" spans="1:34" ht="69.75" customHeight="1" x14ac:dyDescent="0.25">
      <c r="A668" s="829"/>
      <c r="B668" s="749" t="s">
        <v>743</v>
      </c>
      <c r="C668" s="749" t="s">
        <v>744</v>
      </c>
      <c r="D668" s="329" t="s">
        <v>354</v>
      </c>
      <c r="E668" s="325">
        <v>76788500</v>
      </c>
      <c r="F668" s="325">
        <v>60622500</v>
      </c>
      <c r="G668" s="326"/>
      <c r="H668" s="83"/>
      <c r="I668" s="83"/>
      <c r="J668" s="327"/>
      <c r="K668" s="83"/>
      <c r="L668" s="83"/>
      <c r="M668" s="83"/>
      <c r="N668" s="328"/>
      <c r="O668" s="83"/>
      <c r="P668" s="83"/>
      <c r="Q668" s="83"/>
      <c r="R668" s="83"/>
      <c r="S668" s="83"/>
      <c r="T668" s="83"/>
      <c r="U668" s="83"/>
      <c r="V668" s="83"/>
      <c r="W668" s="83"/>
      <c r="X668" s="83"/>
      <c r="Y668" s="83"/>
      <c r="Z668" s="83"/>
      <c r="AA668" s="83"/>
      <c r="AB668" s="83"/>
      <c r="AC668" s="83"/>
      <c r="AD668" s="83"/>
      <c r="AE668" s="83"/>
      <c r="AF668" s="83"/>
      <c r="AG668" s="83"/>
      <c r="AH668" s="83"/>
    </row>
    <row r="669" spans="1:34" ht="69.75" customHeight="1" x14ac:dyDescent="0.25">
      <c r="A669" s="829"/>
      <c r="B669" s="710"/>
      <c r="C669" s="710"/>
      <c r="D669" s="329" t="s">
        <v>924</v>
      </c>
      <c r="E669" s="325">
        <v>709813189</v>
      </c>
      <c r="F669" s="325">
        <v>420167333</v>
      </c>
      <c r="G669" s="326"/>
      <c r="H669" s="83"/>
      <c r="I669" s="83"/>
      <c r="J669" s="327"/>
      <c r="K669" s="83"/>
      <c r="L669" s="83"/>
      <c r="M669" s="83"/>
      <c r="N669" s="328"/>
      <c r="O669" s="83"/>
      <c r="P669" s="83"/>
      <c r="Q669" s="83"/>
      <c r="R669" s="83"/>
      <c r="S669" s="83"/>
      <c r="T669" s="83"/>
      <c r="U669" s="83"/>
      <c r="V669" s="83"/>
      <c r="W669" s="83"/>
      <c r="X669" s="83"/>
      <c r="Y669" s="83"/>
      <c r="Z669" s="83"/>
      <c r="AA669" s="83"/>
      <c r="AB669" s="83"/>
      <c r="AC669" s="83"/>
      <c r="AD669" s="83"/>
      <c r="AE669" s="83"/>
      <c r="AF669" s="83"/>
      <c r="AG669" s="83"/>
      <c r="AH669" s="83"/>
    </row>
    <row r="670" spans="1:34" ht="69.75" customHeight="1" x14ac:dyDescent="0.25">
      <c r="A670" s="829"/>
      <c r="B670" s="710"/>
      <c r="C670" s="710"/>
      <c r="D670" s="329" t="s">
        <v>925</v>
      </c>
      <c r="E670" s="325">
        <v>333790000</v>
      </c>
      <c r="F670" s="325">
        <v>269177000</v>
      </c>
      <c r="G670" s="326"/>
      <c r="H670" s="83"/>
      <c r="I670" s="83"/>
      <c r="J670" s="327"/>
      <c r="K670" s="83"/>
      <c r="L670" s="83"/>
      <c r="M670" s="83"/>
      <c r="N670" s="328"/>
      <c r="O670" s="83"/>
      <c r="P670" s="83"/>
      <c r="Q670" s="83"/>
      <c r="R670" s="83"/>
      <c r="S670" s="83"/>
      <c r="T670" s="83"/>
      <c r="U670" s="83"/>
      <c r="V670" s="83"/>
      <c r="W670" s="83"/>
      <c r="X670" s="83"/>
      <c r="Y670" s="83"/>
      <c r="Z670" s="83"/>
      <c r="AA670" s="83"/>
      <c r="AB670" s="83"/>
      <c r="AC670" s="83"/>
      <c r="AD670" s="83"/>
      <c r="AE670" s="83"/>
      <c r="AF670" s="83"/>
      <c r="AG670" s="83"/>
      <c r="AH670" s="83"/>
    </row>
    <row r="671" spans="1:34" ht="69.75" customHeight="1" x14ac:dyDescent="0.25">
      <c r="A671" s="829"/>
      <c r="B671" s="731"/>
      <c r="C671" s="731"/>
      <c r="D671" s="329" t="s">
        <v>674</v>
      </c>
      <c r="E671" s="330">
        <v>447929500</v>
      </c>
      <c r="F671" s="330">
        <v>372653634</v>
      </c>
      <c r="G671" s="326"/>
      <c r="H671" s="83"/>
      <c r="I671" s="83"/>
      <c r="J671" s="327"/>
      <c r="K671" s="83"/>
      <c r="L671" s="83"/>
      <c r="M671" s="83"/>
      <c r="N671" s="328"/>
      <c r="O671" s="83"/>
      <c r="P671" s="83"/>
      <c r="Q671" s="83"/>
      <c r="R671" s="83"/>
      <c r="S671" s="83"/>
      <c r="T671" s="83"/>
      <c r="U671" s="83"/>
      <c r="V671" s="83"/>
      <c r="W671" s="83"/>
      <c r="X671" s="83"/>
      <c r="Y671" s="83"/>
      <c r="Z671" s="83"/>
      <c r="AA671" s="83"/>
      <c r="AB671" s="83"/>
      <c r="AC671" s="83"/>
      <c r="AD671" s="83"/>
      <c r="AE671" s="83"/>
      <c r="AF671" s="83"/>
      <c r="AG671" s="83"/>
      <c r="AH671" s="83"/>
    </row>
    <row r="672" spans="1:34" ht="69.75" customHeight="1" x14ac:dyDescent="0.25">
      <c r="A672" s="829"/>
      <c r="B672" s="30" t="s">
        <v>747</v>
      </c>
      <c r="C672" s="30" t="s">
        <v>748</v>
      </c>
      <c r="D672" s="329" t="s">
        <v>926</v>
      </c>
      <c r="E672" s="325">
        <v>277709000</v>
      </c>
      <c r="F672" s="325">
        <v>204568101</v>
      </c>
      <c r="G672" s="326"/>
      <c r="H672" s="83"/>
      <c r="I672" s="83"/>
      <c r="J672" s="327"/>
      <c r="K672" s="83"/>
      <c r="L672" s="83"/>
      <c r="M672" s="83"/>
      <c r="N672" s="328"/>
      <c r="O672" s="83"/>
      <c r="P672" s="83"/>
      <c r="Q672" s="83"/>
      <c r="R672" s="83"/>
      <c r="S672" s="83"/>
      <c r="T672" s="83"/>
      <c r="U672" s="83"/>
      <c r="V672" s="83"/>
      <c r="W672" s="83"/>
      <c r="X672" s="83"/>
      <c r="Y672" s="83"/>
      <c r="Z672" s="83"/>
      <c r="AA672" s="83"/>
      <c r="AB672" s="83"/>
      <c r="AC672" s="83"/>
      <c r="AD672" s="83"/>
      <c r="AE672" s="83"/>
      <c r="AF672" s="83"/>
      <c r="AG672" s="83"/>
      <c r="AH672" s="83"/>
    </row>
    <row r="673" spans="1:34" ht="69.75" customHeight="1" x14ac:dyDescent="0.25">
      <c r="A673" s="823"/>
      <c r="B673" s="30" t="s">
        <v>751</v>
      </c>
      <c r="C673" s="30" t="s">
        <v>752</v>
      </c>
      <c r="D673" s="329" t="s">
        <v>370</v>
      </c>
      <c r="E673" s="325">
        <v>800631627</v>
      </c>
      <c r="F673" s="325">
        <v>589355555</v>
      </c>
      <c r="G673" s="326"/>
      <c r="H673" s="83"/>
      <c r="I673" s="83"/>
      <c r="J673" s="327"/>
      <c r="K673" s="83"/>
      <c r="L673" s="83"/>
      <c r="M673" s="83"/>
      <c r="N673" s="328"/>
      <c r="O673" s="83"/>
      <c r="P673" s="83"/>
      <c r="Q673" s="83"/>
      <c r="R673" s="83"/>
      <c r="S673" s="83"/>
      <c r="T673" s="83"/>
      <c r="U673" s="83"/>
      <c r="V673" s="83"/>
      <c r="W673" s="83"/>
      <c r="X673" s="83"/>
      <c r="Y673" s="83"/>
      <c r="Z673" s="83"/>
      <c r="AA673" s="83"/>
      <c r="AB673" s="83"/>
      <c r="AC673" s="83"/>
      <c r="AD673" s="83"/>
      <c r="AE673" s="83"/>
      <c r="AF673" s="83"/>
      <c r="AG673" s="83"/>
      <c r="AH673" s="83"/>
    </row>
    <row r="674" spans="1:34" ht="69.75" customHeight="1" x14ac:dyDescent="0.25">
      <c r="A674" s="874" t="s">
        <v>715</v>
      </c>
      <c r="B674" s="878" t="s">
        <v>739</v>
      </c>
      <c r="C674" s="878" t="s">
        <v>740</v>
      </c>
      <c r="D674" s="324" t="s">
        <v>339</v>
      </c>
      <c r="E674" s="325">
        <v>971277000</v>
      </c>
      <c r="F674" s="325">
        <v>0</v>
      </c>
      <c r="G674" s="326"/>
      <c r="H674" s="83"/>
      <c r="I674" s="83"/>
      <c r="J674" s="327"/>
      <c r="K674" s="83"/>
      <c r="L674" s="83"/>
      <c r="M674" s="83"/>
      <c r="N674" s="328"/>
      <c r="O674" s="83"/>
      <c r="P674" s="83"/>
      <c r="Q674" s="83"/>
      <c r="R674" s="83"/>
      <c r="S674" s="83"/>
      <c r="T674" s="83"/>
      <c r="U674" s="83"/>
      <c r="V674" s="83"/>
      <c r="W674" s="83"/>
      <c r="X674" s="83"/>
      <c r="Y674" s="83"/>
      <c r="Z674" s="83"/>
      <c r="AA674" s="83"/>
      <c r="AB674" s="83"/>
      <c r="AC674" s="83"/>
      <c r="AD674" s="83"/>
      <c r="AE674" s="83"/>
      <c r="AF674" s="83"/>
      <c r="AG674" s="83"/>
      <c r="AH674" s="83"/>
    </row>
    <row r="675" spans="1:34" ht="69.75" customHeight="1" x14ac:dyDescent="0.25">
      <c r="A675" s="829"/>
      <c r="B675" s="710"/>
      <c r="C675" s="710"/>
      <c r="D675" s="324" t="s">
        <v>349</v>
      </c>
      <c r="E675" s="325">
        <v>132270000</v>
      </c>
      <c r="F675" s="325">
        <v>0</v>
      </c>
      <c r="G675" s="326"/>
      <c r="H675" s="83"/>
      <c r="I675" s="83"/>
      <c r="J675" s="327"/>
      <c r="K675" s="83"/>
      <c r="L675" s="83"/>
      <c r="M675" s="83"/>
      <c r="N675" s="328"/>
      <c r="O675" s="83"/>
      <c r="P675" s="83"/>
      <c r="Q675" s="83"/>
      <c r="R675" s="83"/>
      <c r="S675" s="83"/>
      <c r="T675" s="83"/>
      <c r="U675" s="83"/>
      <c r="V675" s="83"/>
      <c r="W675" s="83"/>
      <c r="X675" s="83"/>
      <c r="Y675" s="83"/>
      <c r="Z675" s="83"/>
      <c r="AA675" s="83"/>
      <c r="AB675" s="83"/>
      <c r="AC675" s="83"/>
      <c r="AD675" s="83"/>
      <c r="AE675" s="83"/>
      <c r="AF675" s="83"/>
      <c r="AG675" s="83"/>
      <c r="AH675" s="83"/>
    </row>
    <row r="676" spans="1:34" ht="69.75" customHeight="1" x14ac:dyDescent="0.25">
      <c r="A676" s="829"/>
      <c r="B676" s="731"/>
      <c r="C676" s="731"/>
      <c r="D676" s="324" t="s">
        <v>351</v>
      </c>
      <c r="E676" s="325">
        <v>30100000</v>
      </c>
      <c r="F676" s="325">
        <v>0</v>
      </c>
      <c r="G676" s="326"/>
      <c r="H676" s="83"/>
      <c r="I676" s="83"/>
      <c r="J676" s="327"/>
      <c r="K676" s="83"/>
      <c r="L676" s="83"/>
      <c r="M676" s="83"/>
      <c r="N676" s="328"/>
      <c r="O676" s="83"/>
      <c r="P676" s="83"/>
      <c r="Q676" s="83"/>
      <c r="R676" s="83"/>
      <c r="S676" s="83"/>
      <c r="T676" s="83"/>
      <c r="U676" s="83"/>
      <c r="V676" s="83"/>
      <c r="W676" s="83"/>
      <c r="X676" s="83"/>
      <c r="Y676" s="83"/>
      <c r="Z676" s="83"/>
      <c r="AA676" s="83"/>
      <c r="AB676" s="83"/>
      <c r="AC676" s="83"/>
      <c r="AD676" s="83"/>
      <c r="AE676" s="83"/>
      <c r="AF676" s="83"/>
      <c r="AG676" s="83"/>
      <c r="AH676" s="83"/>
    </row>
    <row r="677" spans="1:34" ht="69.75" customHeight="1" x14ac:dyDescent="0.25">
      <c r="A677" s="829"/>
      <c r="B677" s="749" t="s">
        <v>743</v>
      </c>
      <c r="C677" s="749" t="s">
        <v>744</v>
      </c>
      <c r="D677" s="329" t="s">
        <v>354</v>
      </c>
      <c r="E677" s="325">
        <v>70434000</v>
      </c>
      <c r="F677" s="325">
        <v>0</v>
      </c>
      <c r="G677" s="326"/>
      <c r="H677" s="83"/>
      <c r="I677" s="83"/>
      <c r="J677" s="327"/>
      <c r="K677" s="83"/>
      <c r="L677" s="83"/>
      <c r="M677" s="83"/>
      <c r="N677" s="328"/>
      <c r="O677" s="83"/>
      <c r="P677" s="83"/>
      <c r="Q677" s="83"/>
      <c r="R677" s="83"/>
      <c r="S677" s="83"/>
      <c r="T677" s="83"/>
      <c r="U677" s="83"/>
      <c r="V677" s="83"/>
      <c r="W677" s="83"/>
      <c r="X677" s="83"/>
      <c r="Y677" s="83"/>
      <c r="Z677" s="83"/>
      <c r="AA677" s="83"/>
      <c r="AB677" s="83"/>
      <c r="AC677" s="83"/>
      <c r="AD677" s="83"/>
      <c r="AE677" s="83"/>
      <c r="AF677" s="83"/>
      <c r="AG677" s="83"/>
      <c r="AH677" s="83"/>
    </row>
    <row r="678" spans="1:34" ht="69.75" customHeight="1" x14ac:dyDescent="0.25">
      <c r="A678" s="829"/>
      <c r="B678" s="710"/>
      <c r="C678" s="710"/>
      <c r="D678" s="329" t="s">
        <v>924</v>
      </c>
      <c r="E678" s="325">
        <v>672748000</v>
      </c>
      <c r="F678" s="325">
        <v>0</v>
      </c>
      <c r="G678" s="326"/>
      <c r="H678" s="83"/>
      <c r="I678" s="83"/>
      <c r="J678" s="327"/>
      <c r="K678" s="83"/>
      <c r="L678" s="83"/>
      <c r="M678" s="83"/>
      <c r="N678" s="328"/>
      <c r="O678" s="83"/>
      <c r="P678" s="83"/>
      <c r="Q678" s="83"/>
      <c r="R678" s="83"/>
      <c r="S678" s="83"/>
      <c r="T678" s="83"/>
      <c r="U678" s="83"/>
      <c r="V678" s="83"/>
      <c r="W678" s="83"/>
      <c r="X678" s="83"/>
      <c r="Y678" s="83"/>
      <c r="Z678" s="83"/>
      <c r="AA678" s="83"/>
      <c r="AB678" s="83"/>
      <c r="AC678" s="83"/>
      <c r="AD678" s="83"/>
      <c r="AE678" s="83"/>
      <c r="AF678" s="83"/>
      <c r="AG678" s="83"/>
      <c r="AH678" s="83"/>
    </row>
    <row r="679" spans="1:34" ht="69.75" customHeight="1" x14ac:dyDescent="0.25">
      <c r="A679" s="829"/>
      <c r="B679" s="710"/>
      <c r="C679" s="710"/>
      <c r="D679" s="329" t="s">
        <v>925</v>
      </c>
      <c r="E679" s="325">
        <v>309585000</v>
      </c>
      <c r="F679" s="325">
        <v>0</v>
      </c>
      <c r="G679" s="326"/>
      <c r="H679" s="83"/>
      <c r="I679" s="83"/>
      <c r="J679" s="327"/>
      <c r="K679" s="83"/>
      <c r="L679" s="83"/>
      <c r="M679" s="83"/>
      <c r="N679" s="328"/>
      <c r="O679" s="83"/>
      <c r="P679" s="83"/>
      <c r="Q679" s="83"/>
      <c r="R679" s="83"/>
      <c r="S679" s="83"/>
      <c r="T679" s="83"/>
      <c r="U679" s="83"/>
      <c r="V679" s="83"/>
      <c r="W679" s="83"/>
      <c r="X679" s="83"/>
      <c r="Y679" s="83"/>
      <c r="Z679" s="83"/>
      <c r="AA679" s="83"/>
      <c r="AB679" s="83"/>
      <c r="AC679" s="83"/>
      <c r="AD679" s="83"/>
      <c r="AE679" s="83"/>
      <c r="AF679" s="83"/>
      <c r="AG679" s="83"/>
      <c r="AH679" s="83"/>
    </row>
    <row r="680" spans="1:34" ht="69.75" customHeight="1" x14ac:dyDescent="0.25">
      <c r="A680" s="829"/>
      <c r="B680" s="731"/>
      <c r="C680" s="731"/>
      <c r="D680" s="329" t="s">
        <v>674</v>
      </c>
      <c r="E680" s="330">
        <v>436082000</v>
      </c>
      <c r="F680" s="325">
        <v>0</v>
      </c>
      <c r="G680" s="326"/>
      <c r="H680" s="83"/>
      <c r="I680" s="83"/>
      <c r="J680" s="327"/>
      <c r="K680" s="83"/>
      <c r="L680" s="83"/>
      <c r="M680" s="83"/>
      <c r="N680" s="328"/>
      <c r="O680" s="83"/>
      <c r="P680" s="83"/>
      <c r="Q680" s="83"/>
      <c r="R680" s="83"/>
      <c r="S680" s="83"/>
      <c r="T680" s="83"/>
      <c r="U680" s="83"/>
      <c r="V680" s="83"/>
      <c r="W680" s="83"/>
      <c r="X680" s="83"/>
      <c r="Y680" s="83"/>
      <c r="Z680" s="83"/>
      <c r="AA680" s="83"/>
      <c r="AB680" s="83"/>
      <c r="AC680" s="83"/>
      <c r="AD680" s="83"/>
      <c r="AE680" s="83"/>
      <c r="AF680" s="83"/>
      <c r="AG680" s="83"/>
      <c r="AH680" s="83"/>
    </row>
    <row r="681" spans="1:34" ht="69.75" customHeight="1" x14ac:dyDescent="0.25">
      <c r="A681" s="829"/>
      <c r="B681" s="30" t="s">
        <v>747</v>
      </c>
      <c r="C681" s="30" t="s">
        <v>748</v>
      </c>
      <c r="D681" s="329" t="s">
        <v>926</v>
      </c>
      <c r="E681" s="325">
        <v>289724000</v>
      </c>
      <c r="F681" s="325">
        <v>0</v>
      </c>
      <c r="G681" s="326"/>
      <c r="H681" s="83"/>
      <c r="I681" s="83"/>
      <c r="J681" s="327"/>
      <c r="K681" s="83"/>
      <c r="L681" s="83"/>
      <c r="M681" s="83"/>
      <c r="N681" s="328"/>
      <c r="O681" s="83"/>
      <c r="P681" s="83"/>
      <c r="Q681" s="83"/>
      <c r="R681" s="83"/>
      <c r="S681" s="83"/>
      <c r="T681" s="83"/>
      <c r="U681" s="83"/>
      <c r="V681" s="83"/>
      <c r="W681" s="83"/>
      <c r="X681" s="83"/>
      <c r="Y681" s="83"/>
      <c r="Z681" s="83"/>
      <c r="AA681" s="83"/>
      <c r="AB681" s="83"/>
      <c r="AC681" s="83"/>
      <c r="AD681" s="83"/>
      <c r="AE681" s="83"/>
      <c r="AF681" s="83"/>
      <c r="AG681" s="83"/>
      <c r="AH681" s="83"/>
    </row>
    <row r="682" spans="1:34" ht="69.75" customHeight="1" x14ac:dyDescent="0.25">
      <c r="A682" s="823"/>
      <c r="B682" s="30" t="s">
        <v>751</v>
      </c>
      <c r="C682" s="30" t="s">
        <v>752</v>
      </c>
      <c r="D682" s="329" t="s">
        <v>370</v>
      </c>
      <c r="E682" s="325">
        <v>783556000</v>
      </c>
      <c r="F682" s="325">
        <v>0</v>
      </c>
      <c r="G682" s="326"/>
      <c r="H682" s="83"/>
      <c r="I682" s="83"/>
      <c r="J682" s="327"/>
      <c r="K682" s="83"/>
      <c r="L682" s="83"/>
      <c r="M682" s="83"/>
      <c r="N682" s="328"/>
      <c r="O682" s="83"/>
      <c r="P682" s="83"/>
      <c r="Q682" s="83"/>
      <c r="R682" s="83"/>
      <c r="S682" s="83"/>
      <c r="T682" s="83"/>
      <c r="U682" s="83"/>
      <c r="V682" s="83"/>
      <c r="W682" s="83"/>
      <c r="X682" s="83"/>
      <c r="Y682" s="83"/>
      <c r="Z682" s="83"/>
      <c r="AA682" s="83"/>
      <c r="AB682" s="83"/>
      <c r="AC682" s="83"/>
      <c r="AD682" s="83"/>
      <c r="AE682" s="83"/>
      <c r="AF682" s="83"/>
      <c r="AG682" s="83"/>
      <c r="AH682" s="83"/>
    </row>
    <row r="683" spans="1:34" ht="69.75" customHeight="1" x14ac:dyDescent="0.25">
      <c r="A683" s="874" t="s">
        <v>716</v>
      </c>
      <c r="B683" s="878" t="s">
        <v>739</v>
      </c>
      <c r="C683" s="878" t="s">
        <v>740</v>
      </c>
      <c r="D683" s="324" t="s">
        <v>339</v>
      </c>
      <c r="E683" s="325">
        <v>971277000</v>
      </c>
      <c r="F683" s="325">
        <v>5150933</v>
      </c>
      <c r="G683" s="326"/>
      <c r="H683" s="83"/>
      <c r="I683" s="83"/>
      <c r="J683" s="327"/>
      <c r="K683" s="83"/>
      <c r="L683" s="83"/>
      <c r="M683" s="83"/>
      <c r="N683" s="328"/>
      <c r="O683" s="83"/>
      <c r="P683" s="83"/>
      <c r="Q683" s="83"/>
      <c r="R683" s="83"/>
      <c r="S683" s="83"/>
      <c r="T683" s="83"/>
      <c r="U683" s="83"/>
      <c r="V683" s="83"/>
      <c r="W683" s="83"/>
      <c r="X683" s="83"/>
      <c r="Y683" s="83"/>
      <c r="Z683" s="83"/>
      <c r="AA683" s="83"/>
      <c r="AB683" s="83"/>
      <c r="AC683" s="83"/>
      <c r="AD683" s="83"/>
      <c r="AE683" s="83"/>
      <c r="AF683" s="83"/>
      <c r="AG683" s="83"/>
      <c r="AH683" s="83"/>
    </row>
    <row r="684" spans="1:34" ht="69.75" customHeight="1" x14ac:dyDescent="0.25">
      <c r="A684" s="829"/>
      <c r="B684" s="710"/>
      <c r="C684" s="710"/>
      <c r="D684" s="324" t="s">
        <v>349</v>
      </c>
      <c r="E684" s="325">
        <v>132270000</v>
      </c>
      <c r="F684" s="325">
        <v>2792367</v>
      </c>
      <c r="G684" s="326"/>
      <c r="H684" s="83"/>
      <c r="I684" s="83"/>
      <c r="J684" s="327"/>
      <c r="K684" s="83"/>
      <c r="L684" s="83"/>
      <c r="M684" s="83"/>
      <c r="N684" s="328"/>
      <c r="O684" s="83"/>
      <c r="P684" s="83"/>
      <c r="Q684" s="83"/>
      <c r="R684" s="83"/>
      <c r="S684" s="83"/>
      <c r="T684" s="83"/>
      <c r="U684" s="83"/>
      <c r="V684" s="83"/>
      <c r="W684" s="83"/>
      <c r="X684" s="83"/>
      <c r="Y684" s="83"/>
      <c r="Z684" s="83"/>
      <c r="AA684" s="83"/>
      <c r="AB684" s="83"/>
      <c r="AC684" s="83"/>
      <c r="AD684" s="83"/>
      <c r="AE684" s="83"/>
      <c r="AF684" s="83"/>
      <c r="AG684" s="83"/>
      <c r="AH684" s="83"/>
    </row>
    <row r="685" spans="1:34" ht="69.75" customHeight="1" x14ac:dyDescent="0.25">
      <c r="A685" s="829"/>
      <c r="B685" s="731"/>
      <c r="C685" s="731"/>
      <c r="D685" s="324" t="s">
        <v>351</v>
      </c>
      <c r="E685" s="325">
        <v>30100000</v>
      </c>
      <c r="F685" s="325">
        <v>0</v>
      </c>
      <c r="G685" s="326"/>
      <c r="H685" s="83"/>
      <c r="I685" s="83"/>
      <c r="J685" s="327"/>
      <c r="K685" s="83"/>
      <c r="L685" s="83"/>
      <c r="M685" s="83"/>
      <c r="N685" s="328"/>
      <c r="O685" s="83"/>
      <c r="P685" s="83"/>
      <c r="Q685" s="83"/>
      <c r="R685" s="83"/>
      <c r="S685" s="83"/>
      <c r="T685" s="83"/>
      <c r="U685" s="83"/>
      <c r="V685" s="83"/>
      <c r="W685" s="83"/>
      <c r="X685" s="83"/>
      <c r="Y685" s="83"/>
      <c r="Z685" s="83"/>
      <c r="AA685" s="83"/>
      <c r="AB685" s="83"/>
      <c r="AC685" s="83"/>
      <c r="AD685" s="83"/>
      <c r="AE685" s="83"/>
      <c r="AF685" s="83"/>
      <c r="AG685" s="83"/>
      <c r="AH685" s="83"/>
    </row>
    <row r="686" spans="1:34" ht="69.75" customHeight="1" x14ac:dyDescent="0.25">
      <c r="A686" s="829"/>
      <c r="B686" s="749" t="s">
        <v>743</v>
      </c>
      <c r="C686" s="749" t="s">
        <v>744</v>
      </c>
      <c r="D686" s="329" t="s">
        <v>354</v>
      </c>
      <c r="E686" s="325">
        <v>70434000</v>
      </c>
      <c r="F686" s="325">
        <v>2478233</v>
      </c>
      <c r="G686" s="326"/>
      <c r="H686" s="83"/>
      <c r="I686" s="83"/>
      <c r="J686" s="327"/>
      <c r="K686" s="83"/>
      <c r="L686" s="83"/>
      <c r="M686" s="83"/>
      <c r="N686" s="328"/>
      <c r="O686" s="83"/>
      <c r="P686" s="83"/>
      <c r="Q686" s="83"/>
      <c r="R686" s="83"/>
      <c r="S686" s="83"/>
      <c r="T686" s="83"/>
      <c r="U686" s="83"/>
      <c r="V686" s="83"/>
      <c r="W686" s="83"/>
      <c r="X686" s="83"/>
      <c r="Y686" s="83"/>
      <c r="Z686" s="83"/>
      <c r="AA686" s="83"/>
      <c r="AB686" s="83"/>
      <c r="AC686" s="83"/>
      <c r="AD686" s="83"/>
      <c r="AE686" s="83"/>
      <c r="AF686" s="83"/>
      <c r="AG686" s="83"/>
      <c r="AH686" s="83"/>
    </row>
    <row r="687" spans="1:34" ht="69.75" customHeight="1" x14ac:dyDescent="0.25">
      <c r="A687" s="829"/>
      <c r="B687" s="710"/>
      <c r="C687" s="710"/>
      <c r="D687" s="329" t="s">
        <v>924</v>
      </c>
      <c r="E687" s="325">
        <v>672748000</v>
      </c>
      <c r="F687" s="325">
        <v>7337300</v>
      </c>
      <c r="G687" s="326"/>
      <c r="H687" s="83"/>
      <c r="I687" s="83"/>
      <c r="J687" s="327"/>
      <c r="K687" s="83"/>
      <c r="L687" s="83"/>
      <c r="M687" s="83"/>
      <c r="N687" s="328"/>
      <c r="O687" s="83"/>
      <c r="P687" s="83"/>
      <c r="Q687" s="83"/>
      <c r="R687" s="83"/>
      <c r="S687" s="83"/>
      <c r="T687" s="83"/>
      <c r="U687" s="83"/>
      <c r="V687" s="83"/>
      <c r="W687" s="83"/>
      <c r="X687" s="83"/>
      <c r="Y687" s="83"/>
      <c r="Z687" s="83"/>
      <c r="AA687" s="83"/>
      <c r="AB687" s="83"/>
      <c r="AC687" s="83"/>
      <c r="AD687" s="83"/>
      <c r="AE687" s="83"/>
      <c r="AF687" s="83"/>
      <c r="AG687" s="83"/>
      <c r="AH687" s="83"/>
    </row>
    <row r="688" spans="1:34" ht="69.75" customHeight="1" x14ac:dyDescent="0.25">
      <c r="A688" s="829"/>
      <c r="B688" s="710"/>
      <c r="C688" s="710"/>
      <c r="D688" s="329" t="s">
        <v>925</v>
      </c>
      <c r="E688" s="325">
        <v>309585000</v>
      </c>
      <c r="F688" s="325">
        <v>818300</v>
      </c>
      <c r="G688" s="326"/>
      <c r="H688" s="83"/>
      <c r="I688" s="83"/>
      <c r="J688" s="327"/>
      <c r="K688" s="83"/>
      <c r="L688" s="83"/>
      <c r="M688" s="83"/>
      <c r="N688" s="328"/>
      <c r="O688" s="83"/>
      <c r="P688" s="83"/>
      <c r="Q688" s="83"/>
      <c r="R688" s="83"/>
      <c r="S688" s="83"/>
      <c r="T688" s="83"/>
      <c r="U688" s="83"/>
      <c r="V688" s="83"/>
      <c r="W688" s="83"/>
      <c r="X688" s="83"/>
      <c r="Y688" s="83"/>
      <c r="Z688" s="83"/>
      <c r="AA688" s="83"/>
      <c r="AB688" s="83"/>
      <c r="AC688" s="83"/>
      <c r="AD688" s="83"/>
      <c r="AE688" s="83"/>
      <c r="AF688" s="83"/>
      <c r="AG688" s="83"/>
      <c r="AH688" s="83"/>
    </row>
    <row r="689" spans="1:34" ht="69.75" customHeight="1" x14ac:dyDescent="0.25">
      <c r="A689" s="829"/>
      <c r="B689" s="731"/>
      <c r="C689" s="731"/>
      <c r="D689" s="329" t="s">
        <v>674</v>
      </c>
      <c r="E689" s="330">
        <v>436082000</v>
      </c>
      <c r="F689" s="325">
        <v>1169000</v>
      </c>
      <c r="G689" s="326"/>
      <c r="H689" s="83"/>
      <c r="I689" s="83"/>
      <c r="J689" s="327"/>
      <c r="K689" s="83"/>
      <c r="L689" s="83"/>
      <c r="M689" s="83"/>
      <c r="N689" s="328"/>
      <c r="O689" s="83"/>
      <c r="P689" s="83"/>
      <c r="Q689" s="83"/>
      <c r="R689" s="83"/>
      <c r="S689" s="83"/>
      <c r="T689" s="83"/>
      <c r="U689" s="83"/>
      <c r="V689" s="83"/>
      <c r="W689" s="83"/>
      <c r="X689" s="83"/>
      <c r="Y689" s="83"/>
      <c r="Z689" s="83"/>
      <c r="AA689" s="83"/>
      <c r="AB689" s="83"/>
      <c r="AC689" s="83"/>
      <c r="AD689" s="83"/>
      <c r="AE689" s="83"/>
      <c r="AF689" s="83"/>
      <c r="AG689" s="83"/>
      <c r="AH689" s="83"/>
    </row>
    <row r="690" spans="1:34" ht="69.75" customHeight="1" x14ac:dyDescent="0.25">
      <c r="A690" s="829"/>
      <c r="B690" s="30" t="s">
        <v>747</v>
      </c>
      <c r="C690" s="30" t="s">
        <v>748</v>
      </c>
      <c r="D690" s="329" t="s">
        <v>926</v>
      </c>
      <c r="E690" s="325">
        <v>289724000</v>
      </c>
      <c r="F690" s="325">
        <v>1520633</v>
      </c>
      <c r="G690" s="326"/>
      <c r="H690" s="83"/>
      <c r="I690" s="83"/>
      <c r="J690" s="327"/>
      <c r="K690" s="83"/>
      <c r="L690" s="83"/>
      <c r="M690" s="83"/>
      <c r="N690" s="328"/>
      <c r="O690" s="83"/>
      <c r="P690" s="83"/>
      <c r="Q690" s="83"/>
      <c r="R690" s="83"/>
      <c r="S690" s="83"/>
      <c r="T690" s="83"/>
      <c r="U690" s="83"/>
      <c r="V690" s="83"/>
      <c r="W690" s="83"/>
      <c r="X690" s="83"/>
      <c r="Y690" s="83"/>
      <c r="Z690" s="83"/>
      <c r="AA690" s="83"/>
      <c r="AB690" s="83"/>
      <c r="AC690" s="83"/>
      <c r="AD690" s="83"/>
      <c r="AE690" s="83"/>
      <c r="AF690" s="83"/>
      <c r="AG690" s="83"/>
      <c r="AH690" s="83"/>
    </row>
    <row r="691" spans="1:34" ht="69.75" customHeight="1" x14ac:dyDescent="0.25">
      <c r="A691" s="823"/>
      <c r="B691" s="30" t="s">
        <v>751</v>
      </c>
      <c r="C691" s="30" t="s">
        <v>752</v>
      </c>
      <c r="D691" s="329" t="s">
        <v>370</v>
      </c>
      <c r="E691" s="325">
        <v>783556000</v>
      </c>
      <c r="F691" s="325">
        <v>0</v>
      </c>
      <c r="G691" s="326"/>
      <c r="H691" s="83"/>
      <c r="I691" s="83"/>
      <c r="J691" s="327"/>
      <c r="K691" s="83"/>
      <c r="L691" s="83"/>
      <c r="M691" s="83"/>
      <c r="N691" s="328"/>
      <c r="O691" s="83"/>
      <c r="P691" s="83"/>
      <c r="Q691" s="83"/>
      <c r="R691" s="83"/>
      <c r="S691" s="83"/>
      <c r="T691" s="83"/>
      <c r="U691" s="83"/>
      <c r="V691" s="83"/>
      <c r="W691" s="83"/>
      <c r="X691" s="83"/>
      <c r="Y691" s="83"/>
      <c r="Z691" s="83"/>
      <c r="AA691" s="83"/>
      <c r="AB691" s="83"/>
      <c r="AC691" s="83"/>
      <c r="AD691" s="83"/>
      <c r="AE691" s="83"/>
      <c r="AF691" s="83"/>
      <c r="AG691" s="83"/>
      <c r="AH691" s="83"/>
    </row>
    <row r="692" spans="1:34" ht="69.75" customHeight="1" x14ac:dyDescent="0.25">
      <c r="A692" s="874" t="s">
        <v>717</v>
      </c>
      <c r="B692" s="878" t="s">
        <v>739</v>
      </c>
      <c r="C692" s="878" t="s">
        <v>740</v>
      </c>
      <c r="D692" s="324" t="s">
        <v>339</v>
      </c>
      <c r="E692" s="325">
        <v>971277000</v>
      </c>
      <c r="F692" s="325">
        <v>59114600</v>
      </c>
      <c r="G692" s="326"/>
      <c r="H692" s="83"/>
      <c r="I692" s="83"/>
      <c r="J692" s="327"/>
      <c r="K692" s="83"/>
      <c r="L692" s="83"/>
      <c r="M692" s="83"/>
      <c r="N692" s="328"/>
      <c r="O692" s="83"/>
      <c r="P692" s="83"/>
      <c r="Q692" s="83"/>
      <c r="R692" s="83"/>
      <c r="S692" s="83"/>
      <c r="T692" s="83"/>
      <c r="U692" s="83"/>
      <c r="V692" s="83"/>
      <c r="W692" s="83"/>
      <c r="X692" s="83"/>
      <c r="Y692" s="83"/>
      <c r="Z692" s="83"/>
      <c r="AA692" s="83"/>
      <c r="AB692" s="83"/>
      <c r="AC692" s="83"/>
      <c r="AD692" s="83"/>
      <c r="AE692" s="83"/>
      <c r="AF692" s="83"/>
      <c r="AG692" s="83"/>
      <c r="AH692" s="83"/>
    </row>
    <row r="693" spans="1:34" ht="69.75" customHeight="1" x14ac:dyDescent="0.25">
      <c r="A693" s="829"/>
      <c r="B693" s="710"/>
      <c r="C693" s="710"/>
      <c r="D693" s="324" t="s">
        <v>349</v>
      </c>
      <c r="E693" s="325">
        <v>132270000</v>
      </c>
      <c r="F693" s="325">
        <v>16460267</v>
      </c>
      <c r="G693" s="326"/>
      <c r="H693" s="83"/>
      <c r="I693" s="83"/>
      <c r="J693" s="327"/>
      <c r="K693" s="83"/>
      <c r="L693" s="83"/>
      <c r="M693" s="83"/>
      <c r="N693" s="328"/>
      <c r="O693" s="83"/>
      <c r="P693" s="83"/>
      <c r="Q693" s="83"/>
      <c r="R693" s="83"/>
      <c r="S693" s="83"/>
      <c r="T693" s="83"/>
      <c r="U693" s="83"/>
      <c r="V693" s="83"/>
      <c r="W693" s="83"/>
      <c r="X693" s="83"/>
      <c r="Y693" s="83"/>
      <c r="Z693" s="83"/>
      <c r="AA693" s="83"/>
      <c r="AB693" s="83"/>
      <c r="AC693" s="83"/>
      <c r="AD693" s="83"/>
      <c r="AE693" s="83"/>
      <c r="AF693" s="83"/>
      <c r="AG693" s="83"/>
      <c r="AH693" s="83"/>
    </row>
    <row r="694" spans="1:34" ht="69.75" customHeight="1" x14ac:dyDescent="0.25">
      <c r="A694" s="829"/>
      <c r="B694" s="731"/>
      <c r="C694" s="731"/>
      <c r="D694" s="324" t="s">
        <v>351</v>
      </c>
      <c r="E694" s="325">
        <v>30100000</v>
      </c>
      <c r="F694" s="325">
        <v>3712333</v>
      </c>
      <c r="G694" s="326"/>
      <c r="H694" s="83"/>
      <c r="I694" s="83"/>
      <c r="J694" s="327"/>
      <c r="K694" s="83"/>
      <c r="L694" s="83"/>
      <c r="M694" s="83"/>
      <c r="N694" s="328"/>
      <c r="O694" s="83"/>
      <c r="P694" s="83"/>
      <c r="Q694" s="83"/>
      <c r="R694" s="83"/>
      <c r="S694" s="83"/>
      <c r="T694" s="83"/>
      <c r="U694" s="83"/>
      <c r="V694" s="83"/>
      <c r="W694" s="83"/>
      <c r="X694" s="83"/>
      <c r="Y694" s="83"/>
      <c r="Z694" s="83"/>
      <c r="AA694" s="83"/>
      <c r="AB694" s="83"/>
      <c r="AC694" s="83"/>
      <c r="AD694" s="83"/>
      <c r="AE694" s="83"/>
      <c r="AF694" s="83"/>
      <c r="AG694" s="83"/>
      <c r="AH694" s="83"/>
    </row>
    <row r="695" spans="1:34" ht="69.75" customHeight="1" x14ac:dyDescent="0.25">
      <c r="A695" s="829"/>
      <c r="B695" s="749" t="s">
        <v>743</v>
      </c>
      <c r="C695" s="749" t="s">
        <v>744</v>
      </c>
      <c r="D695" s="329" t="s">
        <v>354</v>
      </c>
      <c r="E695" s="325">
        <v>70434000</v>
      </c>
      <c r="F695" s="325">
        <v>12912900</v>
      </c>
      <c r="G695" s="326"/>
      <c r="H695" s="83"/>
      <c r="I695" s="83"/>
      <c r="J695" s="327"/>
      <c r="K695" s="83"/>
      <c r="L695" s="83"/>
      <c r="M695" s="83"/>
      <c r="N695" s="328"/>
      <c r="O695" s="83"/>
      <c r="P695" s="83"/>
      <c r="Q695" s="83"/>
      <c r="R695" s="83"/>
      <c r="S695" s="83"/>
      <c r="T695" s="83"/>
      <c r="U695" s="83"/>
      <c r="V695" s="83"/>
      <c r="W695" s="83"/>
      <c r="X695" s="83"/>
      <c r="Y695" s="83"/>
      <c r="Z695" s="83"/>
      <c r="AA695" s="83"/>
      <c r="AB695" s="83"/>
      <c r="AC695" s="83"/>
      <c r="AD695" s="83"/>
      <c r="AE695" s="83"/>
      <c r="AF695" s="83"/>
      <c r="AG695" s="83"/>
      <c r="AH695" s="83"/>
    </row>
    <row r="696" spans="1:34" ht="69.75" customHeight="1" x14ac:dyDescent="0.25">
      <c r="A696" s="829"/>
      <c r="B696" s="710"/>
      <c r="C696" s="710"/>
      <c r="D696" s="329" t="s">
        <v>924</v>
      </c>
      <c r="E696" s="325">
        <v>672748000</v>
      </c>
      <c r="F696" s="325">
        <v>68435501</v>
      </c>
      <c r="G696" s="326"/>
      <c r="H696" s="83"/>
      <c r="I696" s="83"/>
      <c r="J696" s="327"/>
      <c r="K696" s="83"/>
      <c r="L696" s="83"/>
      <c r="M696" s="83"/>
      <c r="N696" s="328"/>
      <c r="O696" s="83"/>
      <c r="P696" s="83"/>
      <c r="Q696" s="83"/>
      <c r="R696" s="83"/>
      <c r="S696" s="83"/>
      <c r="T696" s="83"/>
      <c r="U696" s="83"/>
      <c r="V696" s="83"/>
      <c r="W696" s="83"/>
      <c r="X696" s="83"/>
      <c r="Y696" s="83"/>
      <c r="Z696" s="83"/>
      <c r="AA696" s="83"/>
      <c r="AB696" s="83"/>
      <c r="AC696" s="83"/>
      <c r="AD696" s="83"/>
      <c r="AE696" s="83"/>
      <c r="AF696" s="83"/>
      <c r="AG696" s="83"/>
      <c r="AH696" s="83"/>
    </row>
    <row r="697" spans="1:34" ht="69.75" customHeight="1" x14ac:dyDescent="0.25">
      <c r="A697" s="829"/>
      <c r="B697" s="710"/>
      <c r="C697" s="710"/>
      <c r="D697" s="329" t="s">
        <v>925</v>
      </c>
      <c r="E697" s="325">
        <v>309585000</v>
      </c>
      <c r="F697" s="325">
        <v>31224233</v>
      </c>
      <c r="G697" s="326"/>
      <c r="H697" s="83"/>
      <c r="I697" s="83"/>
      <c r="J697" s="327"/>
      <c r="K697" s="83"/>
      <c r="L697" s="83"/>
      <c r="M697" s="83"/>
      <c r="N697" s="328"/>
      <c r="O697" s="83"/>
      <c r="P697" s="83"/>
      <c r="Q697" s="83"/>
      <c r="R697" s="83"/>
      <c r="S697" s="83"/>
      <c r="T697" s="83"/>
      <c r="U697" s="83"/>
      <c r="V697" s="83"/>
      <c r="W697" s="83"/>
      <c r="X697" s="83"/>
      <c r="Y697" s="83"/>
      <c r="Z697" s="83"/>
      <c r="AA697" s="83"/>
      <c r="AB697" s="83"/>
      <c r="AC697" s="83"/>
      <c r="AD697" s="83"/>
      <c r="AE697" s="83"/>
      <c r="AF697" s="83"/>
      <c r="AG697" s="83"/>
      <c r="AH697" s="83"/>
    </row>
    <row r="698" spans="1:34" ht="69.75" customHeight="1" x14ac:dyDescent="0.25">
      <c r="A698" s="829"/>
      <c r="B698" s="731"/>
      <c r="C698" s="731"/>
      <c r="D698" s="329" t="s">
        <v>674</v>
      </c>
      <c r="E698" s="330">
        <v>436082000</v>
      </c>
      <c r="F698" s="325">
        <v>43949134</v>
      </c>
      <c r="G698" s="332"/>
      <c r="H698" s="83"/>
      <c r="I698" s="83"/>
      <c r="J698" s="327"/>
      <c r="K698" s="83"/>
      <c r="L698" s="83"/>
      <c r="M698" s="83"/>
      <c r="N698" s="328"/>
      <c r="O698" s="83"/>
      <c r="P698" s="83"/>
      <c r="Q698" s="83"/>
      <c r="R698" s="83"/>
      <c r="S698" s="83"/>
      <c r="T698" s="83"/>
      <c r="U698" s="83"/>
      <c r="V698" s="83"/>
      <c r="W698" s="83"/>
      <c r="X698" s="83"/>
      <c r="Y698" s="83"/>
      <c r="Z698" s="83"/>
      <c r="AA698" s="83"/>
      <c r="AB698" s="83"/>
      <c r="AC698" s="83"/>
      <c r="AD698" s="83"/>
      <c r="AE698" s="83"/>
      <c r="AF698" s="83"/>
      <c r="AG698" s="83"/>
      <c r="AH698" s="83"/>
    </row>
    <row r="699" spans="1:34" ht="69.75" customHeight="1" x14ac:dyDescent="0.25">
      <c r="A699" s="829"/>
      <c r="B699" s="30" t="s">
        <v>747</v>
      </c>
      <c r="C699" s="30" t="s">
        <v>748</v>
      </c>
      <c r="D699" s="329" t="s">
        <v>926</v>
      </c>
      <c r="E699" s="325">
        <v>289724000</v>
      </c>
      <c r="F699" s="325">
        <v>31614966</v>
      </c>
      <c r="G699" s="326"/>
      <c r="H699" s="83"/>
      <c r="I699" s="83"/>
      <c r="J699" s="327"/>
      <c r="K699" s="83"/>
      <c r="L699" s="83"/>
      <c r="M699" s="83"/>
      <c r="N699" s="328"/>
      <c r="O699" s="83"/>
      <c r="P699" s="83"/>
      <c r="Q699" s="83"/>
      <c r="R699" s="83"/>
      <c r="S699" s="83"/>
      <c r="T699" s="83"/>
      <c r="U699" s="83"/>
      <c r="V699" s="83"/>
      <c r="W699" s="83"/>
      <c r="X699" s="83"/>
      <c r="Y699" s="83"/>
      <c r="Z699" s="83"/>
      <c r="AA699" s="83"/>
      <c r="AB699" s="83"/>
      <c r="AC699" s="83"/>
      <c r="AD699" s="83"/>
      <c r="AE699" s="83"/>
      <c r="AF699" s="83"/>
      <c r="AG699" s="83"/>
      <c r="AH699" s="83"/>
    </row>
    <row r="700" spans="1:34" ht="69.75" customHeight="1" x14ac:dyDescent="0.25">
      <c r="A700" s="823"/>
      <c r="B700" s="30" t="s">
        <v>751</v>
      </c>
      <c r="C700" s="30" t="s">
        <v>752</v>
      </c>
      <c r="D700" s="329" t="s">
        <v>370</v>
      </c>
      <c r="E700" s="325">
        <v>783556000</v>
      </c>
      <c r="F700" s="325">
        <v>38922800</v>
      </c>
      <c r="G700" s="326"/>
      <c r="H700" s="83"/>
      <c r="I700" s="83"/>
      <c r="J700" s="327"/>
      <c r="K700" s="83"/>
      <c r="L700" s="83"/>
      <c r="M700" s="83"/>
      <c r="N700" s="328"/>
      <c r="O700" s="83"/>
      <c r="P700" s="83"/>
      <c r="Q700" s="83"/>
      <c r="R700" s="83"/>
      <c r="S700" s="83"/>
      <c r="T700" s="83"/>
      <c r="U700" s="83"/>
      <c r="V700" s="83"/>
      <c r="W700" s="83"/>
      <c r="X700" s="83"/>
      <c r="Y700" s="83"/>
      <c r="Z700" s="83"/>
      <c r="AA700" s="83"/>
      <c r="AB700" s="83"/>
      <c r="AC700" s="83"/>
      <c r="AD700" s="83"/>
      <c r="AE700" s="83"/>
      <c r="AF700" s="83"/>
      <c r="AG700" s="83"/>
      <c r="AH700" s="83"/>
    </row>
    <row r="701" spans="1:34" ht="69.75" customHeight="1" x14ac:dyDescent="0.25">
      <c r="A701" s="874" t="s">
        <v>718</v>
      </c>
      <c r="B701" s="878" t="s">
        <v>739</v>
      </c>
      <c r="C701" s="878" t="s">
        <v>740</v>
      </c>
      <c r="D701" s="324" t="s">
        <v>339</v>
      </c>
      <c r="E701" s="325">
        <v>970441800</v>
      </c>
      <c r="F701" s="325">
        <v>129872433</v>
      </c>
      <c r="G701" s="326"/>
      <c r="H701" s="83"/>
      <c r="I701" s="83"/>
      <c r="J701" s="327"/>
      <c r="K701" s="83"/>
      <c r="L701" s="83"/>
      <c r="M701" s="83"/>
      <c r="N701" s="328"/>
      <c r="O701" s="83"/>
      <c r="P701" s="83"/>
      <c r="Q701" s="83"/>
      <c r="R701" s="83"/>
      <c r="S701" s="83"/>
      <c r="T701" s="83"/>
      <c r="U701" s="83"/>
      <c r="V701" s="83"/>
      <c r="W701" s="83"/>
      <c r="X701" s="83"/>
      <c r="Y701" s="83"/>
      <c r="Z701" s="83"/>
      <c r="AA701" s="83"/>
      <c r="AB701" s="83"/>
      <c r="AC701" s="83"/>
      <c r="AD701" s="83"/>
      <c r="AE701" s="83"/>
      <c r="AF701" s="83"/>
      <c r="AG701" s="83"/>
      <c r="AH701" s="83"/>
    </row>
    <row r="702" spans="1:34" ht="69.75" customHeight="1" x14ac:dyDescent="0.25">
      <c r="A702" s="829"/>
      <c r="B702" s="710"/>
      <c r="C702" s="710"/>
      <c r="D702" s="324" t="s">
        <v>349</v>
      </c>
      <c r="E702" s="325">
        <v>132270000</v>
      </c>
      <c r="F702" s="325">
        <v>29687267</v>
      </c>
      <c r="G702" s="326"/>
      <c r="H702" s="83"/>
      <c r="I702" s="83"/>
      <c r="J702" s="327"/>
      <c r="K702" s="83"/>
      <c r="L702" s="83"/>
      <c r="M702" s="83"/>
      <c r="N702" s="328"/>
      <c r="O702" s="83"/>
      <c r="P702" s="83"/>
      <c r="Q702" s="83"/>
      <c r="R702" s="83"/>
      <c r="S702" s="83"/>
      <c r="T702" s="83"/>
      <c r="U702" s="83"/>
      <c r="V702" s="83"/>
      <c r="W702" s="83"/>
      <c r="X702" s="83"/>
      <c r="Y702" s="83"/>
      <c r="Z702" s="83"/>
      <c r="AA702" s="83"/>
      <c r="AB702" s="83"/>
      <c r="AC702" s="83"/>
      <c r="AD702" s="83"/>
      <c r="AE702" s="83"/>
      <c r="AF702" s="83"/>
      <c r="AG702" s="83"/>
      <c r="AH702" s="83"/>
    </row>
    <row r="703" spans="1:34" ht="69.75" customHeight="1" x14ac:dyDescent="0.25">
      <c r="A703" s="829"/>
      <c r="B703" s="731"/>
      <c r="C703" s="731"/>
      <c r="D703" s="324" t="s">
        <v>351</v>
      </c>
      <c r="E703" s="325">
        <v>30935200</v>
      </c>
      <c r="F703" s="325">
        <v>6722333</v>
      </c>
      <c r="G703" s="326"/>
      <c r="H703" s="83"/>
      <c r="I703" s="83"/>
      <c r="J703" s="327"/>
      <c r="K703" s="83"/>
      <c r="L703" s="83"/>
      <c r="M703" s="83"/>
      <c r="N703" s="328"/>
      <c r="O703" s="83"/>
      <c r="P703" s="83"/>
      <c r="Q703" s="83"/>
      <c r="R703" s="83"/>
      <c r="S703" s="83"/>
      <c r="T703" s="83"/>
      <c r="U703" s="83"/>
      <c r="V703" s="83"/>
      <c r="W703" s="83"/>
      <c r="X703" s="83"/>
      <c r="Y703" s="83"/>
      <c r="Z703" s="83"/>
      <c r="AA703" s="83"/>
      <c r="AB703" s="83"/>
      <c r="AC703" s="83"/>
      <c r="AD703" s="83"/>
      <c r="AE703" s="83"/>
      <c r="AF703" s="83"/>
      <c r="AG703" s="83"/>
      <c r="AH703" s="83"/>
    </row>
    <row r="704" spans="1:34" ht="69.75" customHeight="1" x14ac:dyDescent="0.25">
      <c r="A704" s="829"/>
      <c r="B704" s="749" t="s">
        <v>743</v>
      </c>
      <c r="C704" s="749" t="s">
        <v>744</v>
      </c>
      <c r="D704" s="329" t="s">
        <v>354</v>
      </c>
      <c r="E704" s="325">
        <v>70434000</v>
      </c>
      <c r="F704" s="325">
        <v>20738900</v>
      </c>
      <c r="G704" s="326"/>
      <c r="H704" s="83"/>
      <c r="I704" s="83"/>
      <c r="J704" s="327"/>
      <c r="K704" s="83"/>
      <c r="L704" s="83"/>
      <c r="M704" s="83"/>
      <c r="N704" s="328"/>
      <c r="O704" s="83"/>
      <c r="P704" s="83"/>
      <c r="Q704" s="83"/>
      <c r="R704" s="83"/>
      <c r="S704" s="83"/>
      <c r="T704" s="83"/>
      <c r="U704" s="83"/>
      <c r="V704" s="83"/>
      <c r="W704" s="83"/>
      <c r="X704" s="83"/>
      <c r="Y704" s="83"/>
      <c r="Z704" s="83"/>
      <c r="AA704" s="83"/>
      <c r="AB704" s="83"/>
      <c r="AC704" s="83"/>
      <c r="AD704" s="83"/>
      <c r="AE704" s="83"/>
      <c r="AF704" s="83"/>
      <c r="AG704" s="83"/>
      <c r="AH704" s="83"/>
    </row>
    <row r="705" spans="1:34" ht="69.75" customHeight="1" x14ac:dyDescent="0.25">
      <c r="A705" s="829"/>
      <c r="B705" s="710"/>
      <c r="C705" s="710"/>
      <c r="D705" s="329" t="s">
        <v>924</v>
      </c>
      <c r="E705" s="325">
        <v>672748000</v>
      </c>
      <c r="F705" s="325">
        <v>127101501</v>
      </c>
      <c r="G705" s="326"/>
      <c r="H705" s="83"/>
      <c r="I705" s="83"/>
      <c r="J705" s="327"/>
      <c r="K705" s="83"/>
      <c r="L705" s="83"/>
      <c r="M705" s="83"/>
      <c r="N705" s="328"/>
      <c r="O705" s="83"/>
      <c r="P705" s="83"/>
      <c r="Q705" s="83"/>
      <c r="R705" s="83"/>
      <c r="S705" s="83"/>
      <c r="T705" s="83"/>
      <c r="U705" s="83"/>
      <c r="V705" s="83"/>
      <c r="W705" s="83"/>
      <c r="X705" s="83"/>
      <c r="Y705" s="83"/>
      <c r="Z705" s="83"/>
      <c r="AA705" s="83"/>
      <c r="AB705" s="83"/>
      <c r="AC705" s="83"/>
      <c r="AD705" s="83"/>
      <c r="AE705" s="83"/>
      <c r="AF705" s="83"/>
      <c r="AG705" s="83"/>
      <c r="AH705" s="83"/>
    </row>
    <row r="706" spans="1:34" ht="69.75" customHeight="1" x14ac:dyDescent="0.25">
      <c r="A706" s="829"/>
      <c r="B706" s="710"/>
      <c r="C706" s="710"/>
      <c r="D706" s="329" t="s">
        <v>925</v>
      </c>
      <c r="E706" s="325">
        <v>309585000</v>
      </c>
      <c r="F706" s="325">
        <v>62826233</v>
      </c>
      <c r="G706" s="326"/>
      <c r="H706" s="83"/>
      <c r="I706" s="83"/>
      <c r="J706" s="327"/>
      <c r="K706" s="83"/>
      <c r="L706" s="83"/>
      <c r="M706" s="83"/>
      <c r="N706" s="328"/>
      <c r="O706" s="83"/>
      <c r="P706" s="83"/>
      <c r="Q706" s="83"/>
      <c r="R706" s="83"/>
      <c r="S706" s="83"/>
      <c r="T706" s="83"/>
      <c r="U706" s="83"/>
      <c r="V706" s="83"/>
      <c r="W706" s="83"/>
      <c r="X706" s="83"/>
      <c r="Y706" s="83"/>
      <c r="Z706" s="83"/>
      <c r="AA706" s="83"/>
      <c r="AB706" s="83"/>
      <c r="AC706" s="83"/>
      <c r="AD706" s="83"/>
      <c r="AE706" s="83"/>
      <c r="AF706" s="83"/>
      <c r="AG706" s="83"/>
      <c r="AH706" s="83"/>
    </row>
    <row r="707" spans="1:34" ht="69.75" customHeight="1" x14ac:dyDescent="0.25">
      <c r="A707" s="829"/>
      <c r="B707" s="731"/>
      <c r="C707" s="731"/>
      <c r="D707" s="329" t="s">
        <v>674</v>
      </c>
      <c r="E707" s="330">
        <v>436082000</v>
      </c>
      <c r="F707" s="325">
        <v>88439134</v>
      </c>
      <c r="G707" s="332"/>
      <c r="H707" s="83"/>
      <c r="I707" s="83"/>
      <c r="J707" s="327"/>
      <c r="K707" s="83"/>
      <c r="L707" s="83"/>
      <c r="M707" s="83"/>
      <c r="N707" s="328"/>
      <c r="O707" s="83"/>
      <c r="P707" s="83"/>
      <c r="Q707" s="83"/>
      <c r="R707" s="83"/>
      <c r="S707" s="83"/>
      <c r="T707" s="83"/>
      <c r="U707" s="83"/>
      <c r="V707" s="83"/>
      <c r="W707" s="83"/>
      <c r="X707" s="83"/>
      <c r="Y707" s="83"/>
      <c r="Z707" s="83"/>
      <c r="AA707" s="83"/>
      <c r="AB707" s="83"/>
      <c r="AC707" s="83"/>
      <c r="AD707" s="83"/>
      <c r="AE707" s="83"/>
      <c r="AF707" s="83"/>
      <c r="AG707" s="83"/>
      <c r="AH707" s="83"/>
    </row>
    <row r="708" spans="1:34" ht="69.75" customHeight="1" x14ac:dyDescent="0.25">
      <c r="A708" s="829"/>
      <c r="B708" s="30" t="s">
        <v>747</v>
      </c>
      <c r="C708" s="30" t="s">
        <v>748</v>
      </c>
      <c r="D708" s="329" t="s">
        <v>926</v>
      </c>
      <c r="E708" s="325">
        <v>289724000</v>
      </c>
      <c r="F708" s="325">
        <v>59017966</v>
      </c>
      <c r="G708" s="326"/>
      <c r="H708" s="83"/>
      <c r="I708" s="83"/>
      <c r="J708" s="327"/>
      <c r="K708" s="83"/>
      <c r="L708" s="83"/>
      <c r="M708" s="83"/>
      <c r="N708" s="328"/>
      <c r="O708" s="83"/>
      <c r="P708" s="83"/>
      <c r="Q708" s="83"/>
      <c r="R708" s="83"/>
      <c r="S708" s="83"/>
      <c r="T708" s="83"/>
      <c r="U708" s="83"/>
      <c r="V708" s="83"/>
      <c r="W708" s="83"/>
      <c r="X708" s="83"/>
      <c r="Y708" s="83"/>
      <c r="Z708" s="83"/>
      <c r="AA708" s="83"/>
      <c r="AB708" s="83"/>
      <c r="AC708" s="83"/>
      <c r="AD708" s="83"/>
      <c r="AE708" s="83"/>
      <c r="AF708" s="83"/>
      <c r="AG708" s="83"/>
      <c r="AH708" s="83"/>
    </row>
    <row r="709" spans="1:34" ht="69.75" customHeight="1" x14ac:dyDescent="0.25">
      <c r="A709" s="823"/>
      <c r="B709" s="30" t="s">
        <v>751</v>
      </c>
      <c r="C709" s="30" t="s">
        <v>752</v>
      </c>
      <c r="D709" s="329" t="s">
        <v>370</v>
      </c>
      <c r="E709" s="325">
        <v>783556000</v>
      </c>
      <c r="F709" s="325">
        <v>78019800</v>
      </c>
      <c r="G709" s="326"/>
      <c r="H709" s="83"/>
      <c r="I709" s="83"/>
      <c r="J709" s="327"/>
      <c r="K709" s="83"/>
      <c r="L709" s="83"/>
      <c r="M709" s="83"/>
      <c r="N709" s="328"/>
      <c r="O709" s="83"/>
      <c r="P709" s="83"/>
      <c r="Q709" s="83"/>
      <c r="R709" s="83"/>
      <c r="S709" s="83"/>
      <c r="T709" s="83"/>
      <c r="U709" s="83"/>
      <c r="V709" s="83"/>
      <c r="W709" s="83"/>
      <c r="X709" s="83"/>
      <c r="Y709" s="83"/>
      <c r="Z709" s="83"/>
      <c r="AA709" s="83"/>
      <c r="AB709" s="83"/>
      <c r="AC709" s="83"/>
      <c r="AD709" s="83"/>
      <c r="AE709" s="83"/>
      <c r="AF709" s="83"/>
      <c r="AG709" s="83"/>
      <c r="AH709" s="83"/>
    </row>
    <row r="710" spans="1:34" ht="69.75" customHeight="1" x14ac:dyDescent="0.25">
      <c r="A710" s="874" t="s">
        <v>719</v>
      </c>
      <c r="B710" s="878" t="s">
        <v>739</v>
      </c>
      <c r="C710" s="878" t="s">
        <v>740</v>
      </c>
      <c r="D710" s="324" t="s">
        <v>339</v>
      </c>
      <c r="E710" s="325">
        <v>970441800</v>
      </c>
      <c r="F710" s="325">
        <v>235610433</v>
      </c>
      <c r="G710" s="326"/>
      <c r="H710" s="83"/>
      <c r="I710" s="83"/>
      <c r="J710" s="327"/>
      <c r="K710" s="83"/>
      <c r="L710" s="83"/>
      <c r="M710" s="83"/>
      <c r="N710" s="328"/>
      <c r="O710" s="83"/>
      <c r="P710" s="83"/>
      <c r="Q710" s="83"/>
      <c r="R710" s="83"/>
      <c r="S710" s="83"/>
      <c r="T710" s="83"/>
      <c r="U710" s="83"/>
      <c r="V710" s="83"/>
      <c r="W710" s="83"/>
      <c r="X710" s="83"/>
      <c r="Y710" s="83"/>
      <c r="Z710" s="83"/>
      <c r="AA710" s="83"/>
      <c r="AB710" s="83"/>
      <c r="AC710" s="83"/>
      <c r="AD710" s="83"/>
      <c r="AE710" s="83"/>
      <c r="AF710" s="83"/>
      <c r="AG710" s="83"/>
      <c r="AH710" s="83"/>
    </row>
    <row r="711" spans="1:34" ht="69.75" customHeight="1" x14ac:dyDescent="0.25">
      <c r="A711" s="829"/>
      <c r="B711" s="710"/>
      <c r="C711" s="710"/>
      <c r="D711" s="324" t="s">
        <v>349</v>
      </c>
      <c r="E711" s="325">
        <v>132270000</v>
      </c>
      <c r="F711" s="325">
        <v>42914267</v>
      </c>
      <c r="G711" s="326"/>
      <c r="H711" s="83"/>
      <c r="I711" s="83"/>
      <c r="J711" s="327"/>
      <c r="K711" s="83"/>
      <c r="L711" s="83"/>
      <c r="M711" s="83"/>
      <c r="N711" s="328"/>
      <c r="O711" s="83"/>
      <c r="P711" s="83"/>
      <c r="Q711" s="83"/>
      <c r="R711" s="83"/>
      <c r="S711" s="83"/>
      <c r="T711" s="83"/>
      <c r="U711" s="83"/>
      <c r="V711" s="83"/>
      <c r="W711" s="83"/>
      <c r="X711" s="83"/>
      <c r="Y711" s="83"/>
      <c r="Z711" s="83"/>
      <c r="AA711" s="83"/>
      <c r="AB711" s="83"/>
      <c r="AC711" s="83"/>
      <c r="AD711" s="83"/>
      <c r="AE711" s="83"/>
      <c r="AF711" s="83"/>
      <c r="AG711" s="83"/>
      <c r="AH711" s="83"/>
    </row>
    <row r="712" spans="1:34" ht="69.75" customHeight="1" x14ac:dyDescent="0.25">
      <c r="A712" s="829"/>
      <c r="B712" s="731"/>
      <c r="C712" s="731"/>
      <c r="D712" s="324" t="s">
        <v>351</v>
      </c>
      <c r="E712" s="325">
        <v>30935200</v>
      </c>
      <c r="F712" s="325">
        <v>9732333</v>
      </c>
      <c r="G712" s="326"/>
      <c r="H712" s="83"/>
      <c r="I712" s="83"/>
      <c r="J712" s="327"/>
      <c r="K712" s="83"/>
      <c r="L712" s="83"/>
      <c r="M712" s="83"/>
      <c r="N712" s="328"/>
      <c r="O712" s="83"/>
      <c r="P712" s="83"/>
      <c r="Q712" s="83"/>
      <c r="R712" s="83"/>
      <c r="S712" s="83"/>
      <c r="T712" s="83"/>
      <c r="U712" s="83"/>
      <c r="V712" s="83"/>
      <c r="W712" s="83"/>
      <c r="X712" s="83"/>
      <c r="Y712" s="83"/>
      <c r="Z712" s="83"/>
      <c r="AA712" s="83"/>
      <c r="AB712" s="83"/>
      <c r="AC712" s="83"/>
      <c r="AD712" s="83"/>
      <c r="AE712" s="83"/>
      <c r="AF712" s="83"/>
      <c r="AG712" s="83"/>
      <c r="AH712" s="83"/>
    </row>
    <row r="713" spans="1:34" ht="69.75" customHeight="1" x14ac:dyDescent="0.25">
      <c r="A713" s="829"/>
      <c r="B713" s="749" t="s">
        <v>743</v>
      </c>
      <c r="C713" s="749" t="s">
        <v>744</v>
      </c>
      <c r="D713" s="329" t="s">
        <v>354</v>
      </c>
      <c r="E713" s="325">
        <v>70434000</v>
      </c>
      <c r="F713" s="325">
        <v>28564900</v>
      </c>
      <c r="G713" s="326"/>
      <c r="H713" s="83"/>
      <c r="I713" s="83"/>
      <c r="J713" s="327"/>
      <c r="K713" s="83"/>
      <c r="L713" s="83"/>
      <c r="M713" s="83"/>
      <c r="N713" s="328"/>
      <c r="O713" s="83"/>
      <c r="P713" s="83"/>
      <c r="Q713" s="83"/>
      <c r="R713" s="83"/>
      <c r="S713" s="83"/>
      <c r="T713" s="83"/>
      <c r="U713" s="83"/>
      <c r="V713" s="83"/>
      <c r="W713" s="83"/>
      <c r="X713" s="83"/>
      <c r="Y713" s="83"/>
      <c r="Z713" s="83"/>
      <c r="AA713" s="83"/>
      <c r="AB713" s="83"/>
      <c r="AC713" s="83"/>
      <c r="AD713" s="83"/>
      <c r="AE713" s="83"/>
      <c r="AF713" s="83"/>
      <c r="AG713" s="83"/>
      <c r="AH713" s="83"/>
    </row>
    <row r="714" spans="1:34" ht="69.75" customHeight="1" x14ac:dyDescent="0.25">
      <c r="A714" s="829"/>
      <c r="B714" s="710"/>
      <c r="C714" s="710"/>
      <c r="D714" s="329" t="s">
        <v>924</v>
      </c>
      <c r="E714" s="325">
        <v>672748000</v>
      </c>
      <c r="F714" s="325">
        <v>185767501</v>
      </c>
      <c r="G714" s="326"/>
      <c r="H714" s="83"/>
      <c r="I714" s="83"/>
      <c r="J714" s="327"/>
      <c r="K714" s="83"/>
      <c r="L714" s="83"/>
      <c r="M714" s="83"/>
      <c r="N714" s="328"/>
      <c r="O714" s="83"/>
      <c r="P714" s="83"/>
      <c r="Q714" s="83"/>
      <c r="R714" s="83"/>
      <c r="S714" s="83"/>
      <c r="T714" s="83"/>
      <c r="U714" s="83"/>
      <c r="V714" s="83"/>
      <c r="W714" s="83"/>
      <c r="X714" s="83"/>
      <c r="Y714" s="83"/>
      <c r="Z714" s="83"/>
      <c r="AA714" s="83"/>
      <c r="AB714" s="83"/>
      <c r="AC714" s="83"/>
      <c r="AD714" s="83"/>
      <c r="AE714" s="83"/>
      <c r="AF714" s="83"/>
      <c r="AG714" s="83"/>
      <c r="AH714" s="83"/>
    </row>
    <row r="715" spans="1:34" ht="69.75" customHeight="1" x14ac:dyDescent="0.25">
      <c r="A715" s="829"/>
      <c r="B715" s="710"/>
      <c r="C715" s="710"/>
      <c r="D715" s="329" t="s">
        <v>925</v>
      </c>
      <c r="E715" s="325">
        <v>309585000</v>
      </c>
      <c r="F715" s="325">
        <v>94428233</v>
      </c>
      <c r="G715" s="326"/>
      <c r="H715" s="83"/>
      <c r="I715" s="83"/>
      <c r="J715" s="327"/>
      <c r="K715" s="83"/>
      <c r="L715" s="83"/>
      <c r="M715" s="83"/>
      <c r="N715" s="328"/>
      <c r="O715" s="83"/>
      <c r="P715" s="83"/>
      <c r="Q715" s="83"/>
      <c r="R715" s="83"/>
      <c r="S715" s="83"/>
      <c r="T715" s="83"/>
      <c r="U715" s="83"/>
      <c r="V715" s="83"/>
      <c r="W715" s="83"/>
      <c r="X715" s="83"/>
      <c r="Y715" s="83"/>
      <c r="Z715" s="83"/>
      <c r="AA715" s="83"/>
      <c r="AB715" s="83"/>
      <c r="AC715" s="83"/>
      <c r="AD715" s="83"/>
      <c r="AE715" s="83"/>
      <c r="AF715" s="83"/>
      <c r="AG715" s="83"/>
      <c r="AH715" s="83"/>
    </row>
    <row r="716" spans="1:34" ht="69.75" customHeight="1" x14ac:dyDescent="0.25">
      <c r="A716" s="829"/>
      <c r="B716" s="731"/>
      <c r="C716" s="731"/>
      <c r="D716" s="329" t="s">
        <v>674</v>
      </c>
      <c r="E716" s="330">
        <v>436082000</v>
      </c>
      <c r="F716" s="325">
        <v>132929134</v>
      </c>
      <c r="G716" s="332"/>
      <c r="H716" s="83"/>
      <c r="I716" s="83"/>
      <c r="J716" s="327"/>
      <c r="K716" s="83"/>
      <c r="L716" s="83"/>
      <c r="M716" s="83"/>
      <c r="N716" s="328"/>
      <c r="O716" s="83"/>
      <c r="P716" s="83"/>
      <c r="Q716" s="83"/>
      <c r="R716" s="83"/>
      <c r="S716" s="83"/>
      <c r="T716" s="83"/>
      <c r="U716" s="83"/>
      <c r="V716" s="83"/>
      <c r="W716" s="83"/>
      <c r="X716" s="83"/>
      <c r="Y716" s="83"/>
      <c r="Z716" s="83"/>
      <c r="AA716" s="83"/>
      <c r="AB716" s="83"/>
      <c r="AC716" s="83"/>
      <c r="AD716" s="83"/>
      <c r="AE716" s="83"/>
      <c r="AF716" s="83"/>
      <c r="AG716" s="83"/>
      <c r="AH716" s="83"/>
    </row>
    <row r="717" spans="1:34" ht="69.75" customHeight="1" x14ac:dyDescent="0.25">
      <c r="A717" s="829"/>
      <c r="B717" s="30" t="s">
        <v>747</v>
      </c>
      <c r="C717" s="30" t="s">
        <v>748</v>
      </c>
      <c r="D717" s="329" t="s">
        <v>926</v>
      </c>
      <c r="E717" s="325">
        <v>289724000</v>
      </c>
      <c r="F717" s="325">
        <v>93434966</v>
      </c>
      <c r="G717" s="326"/>
      <c r="H717" s="83"/>
      <c r="I717" s="83"/>
      <c r="J717" s="327"/>
      <c r="K717" s="83"/>
      <c r="L717" s="83"/>
      <c r="M717" s="83"/>
      <c r="N717" s="328"/>
      <c r="O717" s="83"/>
      <c r="P717" s="83"/>
      <c r="Q717" s="83"/>
      <c r="R717" s="83"/>
      <c r="S717" s="83"/>
      <c r="T717" s="83"/>
      <c r="U717" s="83"/>
      <c r="V717" s="83"/>
      <c r="W717" s="83"/>
      <c r="X717" s="83"/>
      <c r="Y717" s="83"/>
      <c r="Z717" s="83"/>
      <c r="AA717" s="83"/>
      <c r="AB717" s="83"/>
      <c r="AC717" s="83"/>
      <c r="AD717" s="83"/>
      <c r="AE717" s="83"/>
      <c r="AF717" s="83"/>
      <c r="AG717" s="83"/>
      <c r="AH717" s="83"/>
    </row>
    <row r="718" spans="1:34" ht="69.75" customHeight="1" x14ac:dyDescent="0.25">
      <c r="A718" s="823"/>
      <c r="B718" s="30" t="s">
        <v>751</v>
      </c>
      <c r="C718" s="30" t="s">
        <v>752</v>
      </c>
      <c r="D718" s="329" t="s">
        <v>370</v>
      </c>
      <c r="E718" s="325">
        <v>783556000</v>
      </c>
      <c r="F718" s="325">
        <v>124220800</v>
      </c>
      <c r="G718" s="326"/>
      <c r="H718" s="83"/>
      <c r="I718" s="83"/>
      <c r="J718" s="327"/>
      <c r="K718" s="83"/>
      <c r="L718" s="83"/>
      <c r="M718" s="83"/>
      <c r="N718" s="328"/>
      <c r="O718" s="83"/>
      <c r="P718" s="83"/>
      <c r="Q718" s="83"/>
      <c r="R718" s="83"/>
      <c r="S718" s="83"/>
      <c r="T718" s="83"/>
      <c r="U718" s="83"/>
      <c r="V718" s="83"/>
      <c r="W718" s="83"/>
      <c r="X718" s="83"/>
      <c r="Y718" s="83"/>
      <c r="Z718" s="83"/>
      <c r="AA718" s="83"/>
      <c r="AB718" s="83"/>
      <c r="AC718" s="83"/>
      <c r="AD718" s="83"/>
      <c r="AE718" s="83"/>
      <c r="AF718" s="83"/>
      <c r="AG718" s="83"/>
      <c r="AH718" s="83"/>
    </row>
    <row r="719" spans="1:34" ht="69.75" customHeight="1" x14ac:dyDescent="0.25">
      <c r="A719" s="874" t="s">
        <v>720</v>
      </c>
      <c r="B719" s="878" t="s">
        <v>739</v>
      </c>
      <c r="C719" s="878" t="s">
        <v>740</v>
      </c>
      <c r="D719" s="324" t="s">
        <v>339</v>
      </c>
      <c r="E719" s="325">
        <v>970441800</v>
      </c>
      <c r="F719" s="325">
        <v>316572428</v>
      </c>
      <c r="G719" s="326"/>
      <c r="H719" s="83"/>
      <c r="I719" s="83"/>
      <c r="J719" s="327"/>
      <c r="K719" s="83"/>
      <c r="L719" s="83"/>
      <c r="M719" s="83"/>
      <c r="N719" s="328"/>
      <c r="O719" s="83"/>
      <c r="P719" s="83"/>
      <c r="Q719" s="83"/>
      <c r="R719" s="83"/>
      <c r="S719" s="83"/>
      <c r="T719" s="83"/>
      <c r="U719" s="83"/>
      <c r="V719" s="83"/>
      <c r="W719" s="83"/>
      <c r="X719" s="83"/>
      <c r="Y719" s="83"/>
      <c r="Z719" s="83"/>
      <c r="AA719" s="83"/>
      <c r="AB719" s="83"/>
      <c r="AC719" s="83"/>
      <c r="AD719" s="83"/>
      <c r="AE719" s="83"/>
      <c r="AF719" s="83"/>
      <c r="AG719" s="83"/>
      <c r="AH719" s="83"/>
    </row>
    <row r="720" spans="1:34" ht="69.75" customHeight="1" x14ac:dyDescent="0.25">
      <c r="A720" s="829"/>
      <c r="B720" s="710"/>
      <c r="C720" s="710"/>
      <c r="D720" s="324" t="s">
        <v>349</v>
      </c>
      <c r="E720" s="325">
        <v>132270000</v>
      </c>
      <c r="F720" s="325">
        <v>56141267</v>
      </c>
      <c r="G720" s="326"/>
      <c r="H720" s="83"/>
      <c r="I720" s="83"/>
      <c r="J720" s="327"/>
      <c r="K720" s="83"/>
      <c r="L720" s="83"/>
      <c r="M720" s="83"/>
      <c r="N720" s="328"/>
      <c r="O720" s="83"/>
      <c r="P720" s="83"/>
      <c r="Q720" s="83"/>
      <c r="R720" s="83"/>
      <c r="S720" s="83"/>
      <c r="T720" s="83"/>
      <c r="U720" s="83"/>
      <c r="V720" s="83"/>
      <c r="W720" s="83"/>
      <c r="X720" s="83"/>
      <c r="Y720" s="83"/>
      <c r="Z720" s="83"/>
      <c r="AA720" s="83"/>
      <c r="AB720" s="83"/>
      <c r="AC720" s="83"/>
      <c r="AD720" s="83"/>
      <c r="AE720" s="83"/>
      <c r="AF720" s="83"/>
      <c r="AG720" s="83"/>
      <c r="AH720" s="83"/>
    </row>
    <row r="721" spans="1:34" ht="69.75" customHeight="1" x14ac:dyDescent="0.25">
      <c r="A721" s="829"/>
      <c r="B721" s="731"/>
      <c r="C721" s="731"/>
      <c r="D721" s="324" t="s">
        <v>351</v>
      </c>
      <c r="E721" s="325">
        <v>30935200</v>
      </c>
      <c r="F721" s="325">
        <v>12742333</v>
      </c>
      <c r="G721" s="326"/>
      <c r="H721" s="83"/>
      <c r="I721" s="83"/>
      <c r="J721" s="327"/>
      <c r="K721" s="83"/>
      <c r="L721" s="83"/>
      <c r="M721" s="83"/>
      <c r="N721" s="328"/>
      <c r="O721" s="83"/>
      <c r="P721" s="83"/>
      <c r="Q721" s="83"/>
      <c r="R721" s="83"/>
      <c r="S721" s="83"/>
      <c r="T721" s="83"/>
      <c r="U721" s="83"/>
      <c r="V721" s="83"/>
      <c r="W721" s="83"/>
      <c r="X721" s="83"/>
      <c r="Y721" s="83"/>
      <c r="Z721" s="83"/>
      <c r="AA721" s="83"/>
      <c r="AB721" s="83"/>
      <c r="AC721" s="83"/>
      <c r="AD721" s="83"/>
      <c r="AE721" s="83"/>
      <c r="AF721" s="83"/>
      <c r="AG721" s="83"/>
      <c r="AH721" s="83"/>
    </row>
    <row r="722" spans="1:34" ht="69.75" customHeight="1" x14ac:dyDescent="0.25">
      <c r="A722" s="829"/>
      <c r="B722" s="749" t="s">
        <v>743</v>
      </c>
      <c r="C722" s="749" t="s">
        <v>744</v>
      </c>
      <c r="D722" s="329" t="s">
        <v>354</v>
      </c>
      <c r="E722" s="325">
        <v>70434000</v>
      </c>
      <c r="F722" s="325">
        <v>36390900</v>
      </c>
      <c r="G722" s="326"/>
      <c r="H722" s="83"/>
      <c r="I722" s="83"/>
      <c r="J722" s="327"/>
      <c r="K722" s="83"/>
      <c r="L722" s="83"/>
      <c r="M722" s="83"/>
      <c r="N722" s="328"/>
      <c r="O722" s="83"/>
      <c r="P722" s="83"/>
      <c r="Q722" s="83"/>
      <c r="R722" s="83"/>
      <c r="S722" s="83"/>
      <c r="T722" s="83"/>
      <c r="U722" s="83"/>
      <c r="V722" s="83"/>
      <c r="W722" s="83"/>
      <c r="X722" s="83"/>
      <c r="Y722" s="83"/>
      <c r="Z722" s="83"/>
      <c r="AA722" s="83"/>
      <c r="AB722" s="83"/>
      <c r="AC722" s="83"/>
      <c r="AD722" s="83"/>
      <c r="AE722" s="83"/>
      <c r="AF722" s="83"/>
      <c r="AG722" s="83"/>
      <c r="AH722" s="83"/>
    </row>
    <row r="723" spans="1:34" ht="69.75" customHeight="1" x14ac:dyDescent="0.25">
      <c r="A723" s="829"/>
      <c r="B723" s="710"/>
      <c r="C723" s="710"/>
      <c r="D723" s="329" t="s">
        <v>924</v>
      </c>
      <c r="E723" s="325">
        <v>672748000</v>
      </c>
      <c r="F723" s="325">
        <v>244433501</v>
      </c>
      <c r="G723" s="326"/>
      <c r="H723" s="83"/>
      <c r="I723" s="83"/>
      <c r="J723" s="327"/>
      <c r="K723" s="83"/>
      <c r="L723" s="83"/>
      <c r="M723" s="83"/>
      <c r="N723" s="328"/>
      <c r="O723" s="83"/>
      <c r="P723" s="83"/>
      <c r="Q723" s="83"/>
      <c r="R723" s="83"/>
      <c r="S723" s="83"/>
      <c r="T723" s="83"/>
      <c r="U723" s="83"/>
      <c r="V723" s="83"/>
      <c r="W723" s="83"/>
      <c r="X723" s="83"/>
      <c r="Y723" s="83"/>
      <c r="Z723" s="83"/>
      <c r="AA723" s="83"/>
      <c r="AB723" s="83"/>
      <c r="AC723" s="83"/>
      <c r="AD723" s="83"/>
      <c r="AE723" s="83"/>
      <c r="AF723" s="83"/>
      <c r="AG723" s="83"/>
      <c r="AH723" s="83"/>
    </row>
    <row r="724" spans="1:34" ht="69.75" customHeight="1" x14ac:dyDescent="0.25">
      <c r="A724" s="829"/>
      <c r="B724" s="710"/>
      <c r="C724" s="710"/>
      <c r="D724" s="329" t="s">
        <v>925</v>
      </c>
      <c r="E724" s="325">
        <v>309585000</v>
      </c>
      <c r="F724" s="333">
        <v>126030233</v>
      </c>
      <c r="G724" s="326"/>
      <c r="H724" s="83"/>
      <c r="I724" s="83"/>
      <c r="J724" s="327"/>
      <c r="K724" s="83"/>
      <c r="L724" s="83"/>
      <c r="M724" s="83"/>
      <c r="N724" s="328"/>
      <c r="O724" s="83"/>
      <c r="P724" s="83"/>
      <c r="Q724" s="83"/>
      <c r="R724" s="83"/>
      <c r="S724" s="83"/>
      <c r="T724" s="83"/>
      <c r="U724" s="83"/>
      <c r="V724" s="83"/>
      <c r="W724" s="83"/>
      <c r="X724" s="83"/>
      <c r="Y724" s="83"/>
      <c r="Z724" s="83"/>
      <c r="AA724" s="83"/>
      <c r="AB724" s="83"/>
      <c r="AC724" s="83"/>
      <c r="AD724" s="83"/>
      <c r="AE724" s="83"/>
      <c r="AF724" s="83"/>
      <c r="AG724" s="83"/>
      <c r="AH724" s="83"/>
    </row>
    <row r="725" spans="1:34" ht="69.75" customHeight="1" x14ac:dyDescent="0.25">
      <c r="A725" s="829"/>
      <c r="B725" s="731"/>
      <c r="C725" s="731"/>
      <c r="D725" s="329" t="s">
        <v>674</v>
      </c>
      <c r="E725" s="330">
        <v>436082000</v>
      </c>
      <c r="F725" s="333">
        <v>177419134</v>
      </c>
      <c r="G725" s="332"/>
      <c r="H725" s="83"/>
      <c r="I725" s="83"/>
      <c r="J725" s="327"/>
      <c r="K725" s="83"/>
      <c r="L725" s="83"/>
      <c r="M725" s="83"/>
      <c r="N725" s="328"/>
      <c r="O725" s="83"/>
      <c r="P725" s="83"/>
      <c r="Q725" s="83"/>
      <c r="R725" s="83"/>
      <c r="S725" s="83"/>
      <c r="T725" s="83"/>
      <c r="U725" s="83"/>
      <c r="V725" s="83"/>
      <c r="W725" s="83"/>
      <c r="X725" s="83"/>
      <c r="Y725" s="83"/>
      <c r="Z725" s="83"/>
      <c r="AA725" s="83"/>
      <c r="AB725" s="83"/>
      <c r="AC725" s="83"/>
      <c r="AD725" s="83"/>
      <c r="AE725" s="83"/>
      <c r="AF725" s="83"/>
      <c r="AG725" s="83"/>
      <c r="AH725" s="83"/>
    </row>
    <row r="726" spans="1:34" ht="69.75" customHeight="1" x14ac:dyDescent="0.25">
      <c r="A726" s="829"/>
      <c r="B726" s="30" t="s">
        <v>747</v>
      </c>
      <c r="C726" s="30" t="s">
        <v>748</v>
      </c>
      <c r="D726" s="329" t="s">
        <v>926</v>
      </c>
      <c r="E726" s="325">
        <v>289724000</v>
      </c>
      <c r="F726" s="333">
        <v>124344966</v>
      </c>
      <c r="G726" s="326"/>
      <c r="H726" s="83"/>
      <c r="I726" s="83"/>
      <c r="J726" s="327"/>
      <c r="K726" s="83"/>
      <c r="L726" s="83"/>
      <c r="M726" s="83"/>
      <c r="N726" s="328"/>
      <c r="O726" s="83"/>
      <c r="P726" s="83"/>
      <c r="Q726" s="83"/>
      <c r="R726" s="83"/>
      <c r="S726" s="83"/>
      <c r="T726" s="83"/>
      <c r="U726" s="83"/>
      <c r="V726" s="83"/>
      <c r="W726" s="83"/>
      <c r="X726" s="83"/>
      <c r="Y726" s="83"/>
      <c r="Z726" s="83"/>
      <c r="AA726" s="83"/>
      <c r="AB726" s="83"/>
      <c r="AC726" s="83"/>
      <c r="AD726" s="83"/>
      <c r="AE726" s="83"/>
      <c r="AF726" s="83"/>
      <c r="AG726" s="83"/>
      <c r="AH726" s="83"/>
    </row>
    <row r="727" spans="1:34" ht="69.75" customHeight="1" x14ac:dyDescent="0.25">
      <c r="A727" s="823"/>
      <c r="B727" s="30" t="s">
        <v>751</v>
      </c>
      <c r="C727" s="30" t="s">
        <v>752</v>
      </c>
      <c r="D727" s="329" t="s">
        <v>370</v>
      </c>
      <c r="E727" s="325">
        <v>783556000</v>
      </c>
      <c r="F727" s="333">
        <v>167398805</v>
      </c>
      <c r="G727" s="326"/>
      <c r="H727" s="83"/>
      <c r="I727" s="83"/>
      <c r="J727" s="327"/>
      <c r="K727" s="83"/>
      <c r="L727" s="83"/>
      <c r="M727" s="83"/>
      <c r="N727" s="328"/>
      <c r="O727" s="83"/>
      <c r="P727" s="83"/>
      <c r="Q727" s="83"/>
      <c r="R727" s="83"/>
      <c r="S727" s="83"/>
      <c r="T727" s="83"/>
      <c r="U727" s="83"/>
      <c r="V727" s="83"/>
      <c r="W727" s="83"/>
      <c r="X727" s="83"/>
      <c r="Y727" s="83"/>
      <c r="Z727" s="83"/>
      <c r="AA727" s="83"/>
      <c r="AB727" s="83"/>
      <c r="AC727" s="83"/>
      <c r="AD727" s="83"/>
      <c r="AE727" s="83"/>
      <c r="AF727" s="83"/>
      <c r="AG727" s="83"/>
      <c r="AH727" s="83"/>
    </row>
    <row r="728" spans="1:34" ht="69.75" customHeight="1" x14ac:dyDescent="0.25">
      <c r="A728" s="874" t="s">
        <v>709</v>
      </c>
      <c r="B728" s="878" t="s">
        <v>739</v>
      </c>
      <c r="C728" s="878" t="s">
        <v>740</v>
      </c>
      <c r="D728" s="324" t="s">
        <v>339</v>
      </c>
      <c r="E728" s="325">
        <v>1017092400</v>
      </c>
      <c r="F728" s="333">
        <v>533814963.89194524</v>
      </c>
      <c r="G728" s="326"/>
      <c r="H728" s="83"/>
      <c r="I728" s="83"/>
      <c r="J728" s="327"/>
      <c r="K728" s="83"/>
      <c r="L728" s="83"/>
      <c r="M728" s="83"/>
      <c r="N728" s="328"/>
      <c r="O728" s="83"/>
      <c r="P728" s="83"/>
      <c r="Q728" s="83"/>
      <c r="R728" s="83"/>
      <c r="S728" s="83"/>
      <c r="T728" s="83"/>
      <c r="U728" s="83"/>
      <c r="V728" s="83"/>
      <c r="W728" s="83"/>
      <c r="X728" s="83"/>
      <c r="Y728" s="83"/>
      <c r="Z728" s="83"/>
      <c r="AA728" s="83"/>
      <c r="AB728" s="83"/>
      <c r="AC728" s="83"/>
      <c r="AD728" s="83"/>
      <c r="AE728" s="83"/>
      <c r="AF728" s="83"/>
      <c r="AG728" s="83"/>
      <c r="AH728" s="83"/>
    </row>
    <row r="729" spans="1:34" ht="69.75" customHeight="1" x14ac:dyDescent="0.25">
      <c r="A729" s="829"/>
      <c r="B729" s="710"/>
      <c r="C729" s="710"/>
      <c r="D729" s="324" t="s">
        <v>349</v>
      </c>
      <c r="E729" s="325">
        <v>132270000</v>
      </c>
      <c r="F729" s="333">
        <v>95822267</v>
      </c>
      <c r="G729" s="326"/>
      <c r="H729" s="83"/>
      <c r="I729" s="83"/>
      <c r="J729" s="327"/>
      <c r="K729" s="83"/>
      <c r="L729" s="83"/>
      <c r="M729" s="83"/>
      <c r="N729" s="328"/>
      <c r="O729" s="83"/>
      <c r="P729" s="83"/>
      <c r="Q729" s="83"/>
      <c r="R729" s="83"/>
      <c r="S729" s="83"/>
      <c r="T729" s="83"/>
      <c r="U729" s="83"/>
      <c r="V729" s="83"/>
      <c r="W729" s="83"/>
      <c r="X729" s="83"/>
      <c r="Y729" s="83"/>
      <c r="Z729" s="83"/>
      <c r="AA729" s="83"/>
      <c r="AB729" s="83"/>
      <c r="AC729" s="83"/>
      <c r="AD729" s="83"/>
      <c r="AE729" s="83"/>
      <c r="AF729" s="83"/>
      <c r="AG729" s="83"/>
      <c r="AH729" s="83"/>
    </row>
    <row r="730" spans="1:34" ht="69.75" customHeight="1" x14ac:dyDescent="0.25">
      <c r="A730" s="829"/>
      <c r="B730" s="731"/>
      <c r="C730" s="731"/>
      <c r="D730" s="324" t="s">
        <v>351</v>
      </c>
      <c r="E730" s="325">
        <v>30517600</v>
      </c>
      <c r="F730" s="333">
        <v>21772333</v>
      </c>
      <c r="G730" s="326"/>
      <c r="H730" s="83"/>
      <c r="I730" s="83"/>
      <c r="J730" s="327"/>
      <c r="K730" s="83"/>
      <c r="L730" s="83"/>
      <c r="M730" s="83"/>
      <c r="N730" s="328"/>
      <c r="O730" s="83"/>
      <c r="P730" s="83"/>
      <c r="Q730" s="83"/>
      <c r="R730" s="83"/>
      <c r="S730" s="83"/>
      <c r="T730" s="83"/>
      <c r="U730" s="83"/>
      <c r="V730" s="83"/>
      <c r="W730" s="83"/>
      <c r="X730" s="83"/>
      <c r="Y730" s="83"/>
      <c r="Z730" s="83"/>
      <c r="AA730" s="83"/>
      <c r="AB730" s="83"/>
      <c r="AC730" s="83"/>
      <c r="AD730" s="83"/>
      <c r="AE730" s="83"/>
      <c r="AF730" s="83"/>
      <c r="AG730" s="83"/>
      <c r="AH730" s="83"/>
    </row>
    <row r="731" spans="1:34" ht="69.75" customHeight="1" x14ac:dyDescent="0.25">
      <c r="A731" s="829"/>
      <c r="B731" s="749" t="s">
        <v>743</v>
      </c>
      <c r="C731" s="749" t="s">
        <v>744</v>
      </c>
      <c r="D731" s="329" t="s">
        <v>354</v>
      </c>
      <c r="E731" s="325">
        <v>86086000</v>
      </c>
      <c r="F731" s="333">
        <v>59868900</v>
      </c>
      <c r="G731" s="326"/>
      <c r="H731" s="83"/>
      <c r="I731" s="83"/>
      <c r="J731" s="327"/>
      <c r="K731" s="83"/>
      <c r="L731" s="83"/>
      <c r="M731" s="83"/>
      <c r="N731" s="328"/>
      <c r="O731" s="83"/>
      <c r="P731" s="83"/>
      <c r="Q731" s="83"/>
      <c r="R731" s="83"/>
      <c r="S731" s="83"/>
      <c r="T731" s="83"/>
      <c r="U731" s="83"/>
      <c r="V731" s="83"/>
      <c r="W731" s="83"/>
      <c r="X731" s="83"/>
      <c r="Y731" s="83"/>
      <c r="Z731" s="83"/>
      <c r="AA731" s="83"/>
      <c r="AB731" s="83"/>
      <c r="AC731" s="83"/>
      <c r="AD731" s="83"/>
      <c r="AE731" s="83"/>
      <c r="AF731" s="83"/>
      <c r="AG731" s="83"/>
      <c r="AH731" s="83"/>
    </row>
    <row r="732" spans="1:34" ht="69.75" customHeight="1" x14ac:dyDescent="0.25">
      <c r="A732" s="829"/>
      <c r="B732" s="710"/>
      <c r="C732" s="710"/>
      <c r="D732" s="329" t="s">
        <v>924</v>
      </c>
      <c r="E732" s="325">
        <v>779475438</v>
      </c>
      <c r="F732" s="333">
        <v>452508217.87474829</v>
      </c>
      <c r="G732" s="326"/>
      <c r="H732" s="83"/>
      <c r="I732" s="83"/>
      <c r="J732" s="327"/>
      <c r="K732" s="83"/>
      <c r="L732" s="83"/>
      <c r="M732" s="83"/>
      <c r="N732" s="328"/>
      <c r="O732" s="83"/>
      <c r="P732" s="83"/>
      <c r="Q732" s="83"/>
      <c r="R732" s="83"/>
      <c r="S732" s="83"/>
      <c r="T732" s="83"/>
      <c r="U732" s="83"/>
      <c r="V732" s="83"/>
      <c r="W732" s="83"/>
      <c r="X732" s="83"/>
      <c r="Y732" s="83"/>
      <c r="Z732" s="83"/>
      <c r="AA732" s="83"/>
      <c r="AB732" s="83"/>
      <c r="AC732" s="83"/>
      <c r="AD732" s="83"/>
      <c r="AE732" s="83"/>
      <c r="AF732" s="83"/>
      <c r="AG732" s="83"/>
      <c r="AH732" s="83"/>
    </row>
    <row r="733" spans="1:34" ht="69.75" customHeight="1" x14ac:dyDescent="0.25">
      <c r="A733" s="829"/>
      <c r="B733" s="710"/>
      <c r="C733" s="710"/>
      <c r="D733" s="329" t="s">
        <v>925</v>
      </c>
      <c r="E733" s="325">
        <v>309028200</v>
      </c>
      <c r="F733" s="333">
        <v>221370466.12525171</v>
      </c>
      <c r="G733" s="326"/>
      <c r="H733" s="83"/>
      <c r="I733" s="83"/>
      <c r="J733" s="327"/>
      <c r="K733" s="83"/>
      <c r="L733" s="83"/>
      <c r="M733" s="83"/>
      <c r="N733" s="328"/>
      <c r="O733" s="83"/>
      <c r="P733" s="83"/>
      <c r="Q733" s="83"/>
      <c r="R733" s="83"/>
      <c r="S733" s="83"/>
      <c r="T733" s="83"/>
      <c r="U733" s="83"/>
      <c r="V733" s="83"/>
      <c r="W733" s="83"/>
      <c r="X733" s="83"/>
      <c r="Y733" s="83"/>
      <c r="Z733" s="83"/>
      <c r="AA733" s="83"/>
      <c r="AB733" s="83"/>
      <c r="AC733" s="83"/>
      <c r="AD733" s="83"/>
      <c r="AE733" s="83"/>
      <c r="AF733" s="83"/>
      <c r="AG733" s="83"/>
      <c r="AH733" s="83"/>
    </row>
    <row r="734" spans="1:34" ht="69.75" customHeight="1" x14ac:dyDescent="0.25">
      <c r="A734" s="829"/>
      <c r="B734" s="731"/>
      <c r="C734" s="731"/>
      <c r="D734" s="329" t="s">
        <v>674</v>
      </c>
      <c r="E734" s="330">
        <v>729282124</v>
      </c>
      <c r="F734" s="333">
        <v>307214967</v>
      </c>
      <c r="G734" s="332"/>
      <c r="H734" s="83"/>
      <c r="I734" s="83"/>
      <c r="J734" s="327"/>
      <c r="K734" s="83"/>
      <c r="L734" s="83"/>
      <c r="M734" s="83"/>
      <c r="N734" s="328"/>
      <c r="O734" s="83"/>
      <c r="P734" s="83"/>
      <c r="Q734" s="83"/>
      <c r="R734" s="83"/>
      <c r="S734" s="83"/>
      <c r="T734" s="83"/>
      <c r="U734" s="83"/>
      <c r="V734" s="83"/>
      <c r="W734" s="83"/>
      <c r="X734" s="83"/>
      <c r="Y734" s="83"/>
      <c r="Z734" s="83"/>
      <c r="AA734" s="83"/>
      <c r="AB734" s="83"/>
      <c r="AC734" s="83"/>
      <c r="AD734" s="83"/>
      <c r="AE734" s="83"/>
      <c r="AF734" s="83"/>
      <c r="AG734" s="83"/>
      <c r="AH734" s="83"/>
    </row>
    <row r="735" spans="1:34" ht="69.75" customHeight="1" x14ac:dyDescent="0.25">
      <c r="A735" s="829"/>
      <c r="B735" s="30" t="s">
        <v>747</v>
      </c>
      <c r="C735" s="30" t="s">
        <v>748</v>
      </c>
      <c r="D735" s="329" t="s">
        <v>926</v>
      </c>
      <c r="E735" s="325">
        <v>289724000</v>
      </c>
      <c r="F735" s="333">
        <v>217074966</v>
      </c>
      <c r="G735" s="326"/>
      <c r="H735" s="83"/>
      <c r="I735" s="83"/>
      <c r="J735" s="327"/>
      <c r="K735" s="83"/>
      <c r="L735" s="83"/>
      <c r="M735" s="83"/>
      <c r="N735" s="328"/>
      <c r="O735" s="83"/>
      <c r="P735" s="83"/>
      <c r="Q735" s="83"/>
      <c r="R735" s="83"/>
      <c r="S735" s="83"/>
      <c r="T735" s="83"/>
      <c r="U735" s="83"/>
      <c r="V735" s="83"/>
      <c r="W735" s="83"/>
      <c r="X735" s="83"/>
      <c r="Y735" s="83"/>
      <c r="Z735" s="83"/>
      <c r="AA735" s="83"/>
      <c r="AB735" s="83"/>
      <c r="AC735" s="83"/>
      <c r="AD735" s="83"/>
      <c r="AE735" s="83"/>
      <c r="AF735" s="83"/>
      <c r="AG735" s="83"/>
      <c r="AH735" s="83"/>
    </row>
    <row r="736" spans="1:34" ht="69.75" customHeight="1" x14ac:dyDescent="0.25">
      <c r="A736" s="823"/>
      <c r="B736" s="30" t="s">
        <v>751</v>
      </c>
      <c r="C736" s="30" t="s">
        <v>752</v>
      </c>
      <c r="D736" s="329" t="s">
        <v>370</v>
      </c>
      <c r="E736" s="325">
        <v>783556000</v>
      </c>
      <c r="F736" s="333">
        <v>333091918.10805476</v>
      </c>
      <c r="G736" s="326"/>
      <c r="H736" s="83"/>
      <c r="I736" s="83"/>
      <c r="J736" s="327"/>
      <c r="K736" s="83"/>
      <c r="L736" s="83"/>
      <c r="M736" s="83"/>
      <c r="N736" s="328"/>
      <c r="O736" s="83"/>
      <c r="P736" s="83"/>
      <c r="Q736" s="83"/>
      <c r="R736" s="83"/>
      <c r="S736" s="83"/>
      <c r="T736" s="83"/>
      <c r="U736" s="83"/>
      <c r="V736" s="83"/>
      <c r="W736" s="83"/>
      <c r="X736" s="83"/>
      <c r="Y736" s="83"/>
      <c r="Z736" s="83"/>
      <c r="AA736" s="83"/>
      <c r="AB736" s="83"/>
      <c r="AC736" s="83"/>
      <c r="AD736" s="83"/>
      <c r="AE736" s="83"/>
      <c r="AF736" s="83"/>
      <c r="AG736" s="83"/>
      <c r="AH736" s="83"/>
    </row>
    <row r="737" spans="1:34" ht="69.75" customHeight="1" x14ac:dyDescent="0.25">
      <c r="A737" s="874" t="s">
        <v>710</v>
      </c>
      <c r="B737" s="878" t="s">
        <v>739</v>
      </c>
      <c r="C737" s="878" t="s">
        <v>740</v>
      </c>
      <c r="D737" s="324" t="s">
        <v>339</v>
      </c>
      <c r="E737" s="334">
        <v>1038843096</v>
      </c>
      <c r="F737" s="335">
        <v>608367378</v>
      </c>
      <c r="G737" s="326"/>
      <c r="H737" s="83"/>
      <c r="I737" s="83"/>
      <c r="J737" s="327"/>
      <c r="K737" s="83"/>
      <c r="L737" s="83"/>
      <c r="M737" s="83"/>
      <c r="N737" s="328"/>
      <c r="O737" s="83"/>
      <c r="P737" s="83"/>
      <c r="Q737" s="83"/>
      <c r="R737" s="83"/>
      <c r="S737" s="83"/>
      <c r="T737" s="83"/>
      <c r="U737" s="83"/>
      <c r="V737" s="83"/>
      <c r="W737" s="83"/>
      <c r="X737" s="83"/>
      <c r="Y737" s="83"/>
      <c r="Z737" s="83"/>
      <c r="AA737" s="83"/>
      <c r="AB737" s="83"/>
      <c r="AC737" s="83"/>
      <c r="AD737" s="83"/>
      <c r="AE737" s="83"/>
      <c r="AF737" s="83"/>
      <c r="AG737" s="83"/>
      <c r="AH737" s="83"/>
    </row>
    <row r="738" spans="1:34" ht="69.75" customHeight="1" x14ac:dyDescent="0.25">
      <c r="A738" s="829"/>
      <c r="B738" s="710"/>
      <c r="C738" s="710"/>
      <c r="D738" s="324" t="s">
        <v>349</v>
      </c>
      <c r="E738" s="334">
        <v>141088000</v>
      </c>
      <c r="F738" s="335">
        <v>104640267</v>
      </c>
      <c r="G738" s="326"/>
      <c r="H738" s="83"/>
      <c r="I738" s="83"/>
      <c r="J738" s="327"/>
      <c r="K738" s="83"/>
      <c r="L738" s="83"/>
      <c r="M738" s="83"/>
      <c r="N738" s="328"/>
      <c r="O738" s="83"/>
      <c r="P738" s="83"/>
      <c r="Q738" s="83"/>
      <c r="R738" s="83"/>
      <c r="S738" s="83"/>
      <c r="T738" s="83"/>
      <c r="U738" s="83"/>
      <c r="V738" s="83"/>
      <c r="W738" s="83"/>
      <c r="X738" s="83"/>
      <c r="Y738" s="83"/>
      <c r="Z738" s="83"/>
      <c r="AA738" s="83"/>
      <c r="AB738" s="83"/>
      <c r="AC738" s="83"/>
      <c r="AD738" s="83"/>
      <c r="AE738" s="83"/>
      <c r="AF738" s="83"/>
      <c r="AG738" s="83"/>
      <c r="AH738" s="83"/>
    </row>
    <row r="739" spans="1:34" ht="69.75" customHeight="1" x14ac:dyDescent="0.25">
      <c r="A739" s="829"/>
      <c r="B739" s="731"/>
      <c r="C739" s="731"/>
      <c r="D739" s="324" t="s">
        <v>351</v>
      </c>
      <c r="E739" s="334">
        <v>33527600</v>
      </c>
      <c r="F739" s="335">
        <v>24852633</v>
      </c>
      <c r="G739" s="326"/>
      <c r="H739" s="83"/>
      <c r="I739" s="83"/>
      <c r="J739" s="327"/>
      <c r="K739" s="83"/>
      <c r="L739" s="83"/>
      <c r="M739" s="83"/>
      <c r="N739" s="328"/>
      <c r="O739" s="83"/>
      <c r="P739" s="83"/>
      <c r="Q739" s="83"/>
      <c r="R739" s="83"/>
      <c r="S739" s="83"/>
      <c r="T739" s="83"/>
      <c r="U739" s="83"/>
      <c r="V739" s="83"/>
      <c r="W739" s="83"/>
      <c r="X739" s="83"/>
      <c r="Y739" s="83"/>
      <c r="Z739" s="83"/>
      <c r="AA739" s="83"/>
      <c r="AB739" s="83"/>
      <c r="AC739" s="83"/>
      <c r="AD739" s="83"/>
      <c r="AE739" s="83"/>
      <c r="AF739" s="83"/>
      <c r="AG739" s="83"/>
      <c r="AH739" s="83"/>
    </row>
    <row r="740" spans="1:34" ht="69.75" customHeight="1" x14ac:dyDescent="0.25">
      <c r="A740" s="829"/>
      <c r="B740" s="749" t="s">
        <v>743</v>
      </c>
      <c r="C740" s="749" t="s">
        <v>744</v>
      </c>
      <c r="D740" s="329" t="s">
        <v>354</v>
      </c>
      <c r="E740" s="334">
        <v>86086000</v>
      </c>
      <c r="F740" s="335">
        <v>65086233</v>
      </c>
      <c r="G740" s="326"/>
      <c r="H740" s="83"/>
      <c r="I740" s="83"/>
      <c r="J740" s="327"/>
      <c r="K740" s="83"/>
      <c r="L740" s="83"/>
      <c r="M740" s="83"/>
      <c r="N740" s="328"/>
      <c r="O740" s="83"/>
      <c r="P740" s="83"/>
      <c r="Q740" s="83"/>
      <c r="R740" s="83"/>
      <c r="S740" s="83"/>
      <c r="T740" s="83"/>
      <c r="U740" s="83"/>
      <c r="V740" s="83"/>
      <c r="W740" s="83"/>
      <c r="X740" s="83"/>
      <c r="Y740" s="83"/>
      <c r="Z740" s="83"/>
      <c r="AA740" s="83"/>
      <c r="AB740" s="83"/>
      <c r="AC740" s="83"/>
      <c r="AD740" s="83"/>
      <c r="AE740" s="83"/>
      <c r="AF740" s="83"/>
      <c r="AG740" s="83"/>
      <c r="AH740" s="83"/>
    </row>
    <row r="741" spans="1:34" ht="69.75" customHeight="1" x14ac:dyDescent="0.25">
      <c r="A741" s="829"/>
      <c r="B741" s="710"/>
      <c r="C741" s="710"/>
      <c r="D741" s="329" t="s">
        <v>924</v>
      </c>
      <c r="E741" s="334">
        <v>789292834</v>
      </c>
      <c r="F741" s="335">
        <v>553476513</v>
      </c>
      <c r="G741" s="326"/>
      <c r="H741" s="83"/>
      <c r="I741" s="83"/>
      <c r="J741" s="327"/>
      <c r="K741" s="83"/>
      <c r="L741" s="83"/>
      <c r="M741" s="83"/>
      <c r="N741" s="328"/>
      <c r="O741" s="83"/>
      <c r="P741" s="83"/>
      <c r="Q741" s="83"/>
      <c r="R741" s="83"/>
      <c r="S741" s="83"/>
      <c r="T741" s="83"/>
      <c r="U741" s="83"/>
      <c r="V741" s="83"/>
      <c r="W741" s="83"/>
      <c r="X741" s="83"/>
      <c r="Y741" s="83"/>
      <c r="Z741" s="83"/>
      <c r="AA741" s="83"/>
      <c r="AB741" s="83"/>
      <c r="AC741" s="83"/>
      <c r="AD741" s="83"/>
      <c r="AE741" s="83"/>
      <c r="AF741" s="83"/>
      <c r="AG741" s="83"/>
      <c r="AH741" s="83"/>
    </row>
    <row r="742" spans="1:34" ht="69.75" customHeight="1" x14ac:dyDescent="0.25">
      <c r="A742" s="829"/>
      <c r="B742" s="710"/>
      <c r="C742" s="710"/>
      <c r="D742" s="329" t="s">
        <v>925</v>
      </c>
      <c r="E742" s="334">
        <v>335963368</v>
      </c>
      <c r="F742" s="335">
        <v>249612518</v>
      </c>
      <c r="G742" s="326"/>
      <c r="H742" s="83"/>
      <c r="I742" s="83"/>
      <c r="J742" s="327"/>
      <c r="K742" s="83"/>
      <c r="L742" s="83"/>
      <c r="M742" s="83"/>
      <c r="N742" s="328"/>
      <c r="O742" s="83"/>
      <c r="P742" s="83"/>
      <c r="Q742" s="83"/>
      <c r="R742" s="83"/>
      <c r="S742" s="83"/>
      <c r="T742" s="83"/>
      <c r="U742" s="83"/>
      <c r="V742" s="83"/>
      <c r="W742" s="83"/>
      <c r="X742" s="83"/>
      <c r="Y742" s="83"/>
      <c r="Z742" s="83"/>
      <c r="AA742" s="83"/>
      <c r="AB742" s="83"/>
      <c r="AC742" s="83"/>
      <c r="AD742" s="83"/>
      <c r="AE742" s="83"/>
      <c r="AF742" s="83"/>
      <c r="AG742" s="83"/>
      <c r="AH742" s="83"/>
    </row>
    <row r="743" spans="1:34" ht="69.75" customHeight="1" x14ac:dyDescent="0.25">
      <c r="A743" s="829"/>
      <c r="B743" s="731"/>
      <c r="C743" s="731"/>
      <c r="D743" s="329" t="s">
        <v>674</v>
      </c>
      <c r="E743" s="336">
        <v>729276096</v>
      </c>
      <c r="F743" s="335">
        <v>345941534</v>
      </c>
      <c r="G743" s="332"/>
      <c r="H743" s="83"/>
      <c r="I743" s="83"/>
      <c r="J743" s="327"/>
      <c r="K743" s="83"/>
      <c r="L743" s="83"/>
      <c r="M743" s="83"/>
      <c r="N743" s="328"/>
      <c r="O743" s="83"/>
      <c r="P743" s="83"/>
      <c r="Q743" s="83"/>
      <c r="R743" s="83"/>
      <c r="S743" s="83"/>
      <c r="T743" s="83"/>
      <c r="U743" s="83"/>
      <c r="V743" s="83"/>
      <c r="W743" s="83"/>
      <c r="X743" s="83"/>
      <c r="Y743" s="83"/>
      <c r="Z743" s="83"/>
      <c r="AA743" s="83"/>
      <c r="AB743" s="83"/>
      <c r="AC743" s="83"/>
      <c r="AD743" s="83"/>
      <c r="AE743" s="83"/>
      <c r="AF743" s="83"/>
      <c r="AG743" s="83"/>
      <c r="AH743" s="83"/>
    </row>
    <row r="744" spans="1:34" ht="69.75" customHeight="1" x14ac:dyDescent="0.25">
      <c r="A744" s="829"/>
      <c r="B744" s="30" t="s">
        <v>747</v>
      </c>
      <c r="C744" s="30" t="s">
        <v>748</v>
      </c>
      <c r="D744" s="329" t="s">
        <v>926</v>
      </c>
      <c r="E744" s="334">
        <v>322224768</v>
      </c>
      <c r="F744" s="335">
        <v>239662966</v>
      </c>
      <c r="G744" s="326"/>
      <c r="H744" s="83"/>
      <c r="I744" s="83"/>
      <c r="J744" s="327"/>
      <c r="K744" s="83"/>
      <c r="L744" s="83"/>
      <c r="M744" s="83"/>
      <c r="N744" s="328"/>
      <c r="O744" s="83"/>
      <c r="P744" s="83"/>
      <c r="Q744" s="83"/>
      <c r="R744" s="83"/>
      <c r="S744" s="83"/>
      <c r="T744" s="83"/>
      <c r="U744" s="83"/>
      <c r="V744" s="83"/>
      <c r="W744" s="83"/>
      <c r="X744" s="83"/>
      <c r="Y744" s="83"/>
      <c r="Z744" s="83"/>
      <c r="AA744" s="83"/>
      <c r="AB744" s="83"/>
      <c r="AC744" s="83"/>
      <c r="AD744" s="83"/>
      <c r="AE744" s="83"/>
      <c r="AF744" s="83"/>
      <c r="AG744" s="83"/>
      <c r="AH744" s="83"/>
    </row>
    <row r="745" spans="1:34" ht="69.75" customHeight="1" x14ac:dyDescent="0.25">
      <c r="A745" s="823"/>
      <c r="B745" s="30" t="s">
        <v>751</v>
      </c>
      <c r="C745" s="30" t="s">
        <v>752</v>
      </c>
      <c r="D745" s="329" t="s">
        <v>370</v>
      </c>
      <c r="E745" s="334">
        <v>775730000</v>
      </c>
      <c r="F745" s="335">
        <v>372193921</v>
      </c>
      <c r="G745" s="326"/>
      <c r="H745" s="83"/>
      <c r="I745" s="83"/>
      <c r="J745" s="327"/>
      <c r="K745" s="83"/>
      <c r="L745" s="83"/>
      <c r="M745" s="83"/>
      <c r="N745" s="328"/>
      <c r="O745" s="83"/>
      <c r="P745" s="83"/>
      <c r="Q745" s="83"/>
      <c r="R745" s="83"/>
      <c r="S745" s="83"/>
      <c r="T745" s="83"/>
      <c r="U745" s="83"/>
      <c r="V745" s="83"/>
      <c r="W745" s="83"/>
      <c r="X745" s="83"/>
      <c r="Y745" s="83"/>
      <c r="Z745" s="83"/>
      <c r="AA745" s="83"/>
      <c r="AB745" s="83"/>
      <c r="AC745" s="83"/>
      <c r="AD745" s="83"/>
      <c r="AE745" s="83"/>
      <c r="AF745" s="83"/>
      <c r="AG745" s="83"/>
      <c r="AH745" s="83"/>
    </row>
    <row r="746" spans="1:34" ht="69.75" customHeight="1" x14ac:dyDescent="0.25">
      <c r="A746" s="874" t="s">
        <v>712</v>
      </c>
      <c r="B746" s="878" t="s">
        <v>739</v>
      </c>
      <c r="C746" s="878" t="s">
        <v>740</v>
      </c>
      <c r="D746" s="324" t="s">
        <v>339</v>
      </c>
      <c r="E746" s="334">
        <v>1038843096</v>
      </c>
      <c r="F746" s="335">
        <v>684597719</v>
      </c>
      <c r="G746" s="326"/>
      <c r="H746" s="83"/>
      <c r="I746" s="83"/>
      <c r="J746" s="327"/>
      <c r="K746" s="83"/>
      <c r="L746" s="83"/>
      <c r="M746" s="83"/>
      <c r="N746" s="328"/>
      <c r="O746" s="83"/>
      <c r="P746" s="83"/>
      <c r="Q746" s="83"/>
      <c r="R746" s="83"/>
      <c r="S746" s="83"/>
      <c r="T746" s="83"/>
      <c r="U746" s="83"/>
      <c r="V746" s="83"/>
      <c r="W746" s="83"/>
      <c r="X746" s="83"/>
      <c r="Y746" s="83"/>
      <c r="Z746" s="83"/>
      <c r="AA746" s="83"/>
      <c r="AB746" s="83"/>
      <c r="AC746" s="83"/>
      <c r="AD746" s="83"/>
      <c r="AE746" s="83"/>
      <c r="AF746" s="83"/>
      <c r="AG746" s="83"/>
      <c r="AH746" s="83"/>
    </row>
    <row r="747" spans="1:34" ht="69.75" customHeight="1" x14ac:dyDescent="0.25">
      <c r="A747" s="829"/>
      <c r="B747" s="710"/>
      <c r="C747" s="710"/>
      <c r="D747" s="324" t="s">
        <v>349</v>
      </c>
      <c r="E747" s="334">
        <v>141088000</v>
      </c>
      <c r="F747" s="335">
        <v>117867267</v>
      </c>
      <c r="G747" s="326"/>
      <c r="H747" s="83"/>
      <c r="I747" s="83"/>
      <c r="J747" s="327"/>
      <c r="K747" s="83"/>
      <c r="L747" s="83"/>
      <c r="M747" s="83"/>
      <c r="N747" s="328"/>
      <c r="O747" s="83"/>
      <c r="P747" s="83"/>
      <c r="Q747" s="83"/>
      <c r="R747" s="83"/>
      <c r="S747" s="83"/>
      <c r="T747" s="83"/>
      <c r="U747" s="83"/>
      <c r="V747" s="83"/>
      <c r="W747" s="83"/>
      <c r="X747" s="83"/>
      <c r="Y747" s="83"/>
      <c r="Z747" s="83"/>
      <c r="AA747" s="83"/>
      <c r="AB747" s="83"/>
      <c r="AC747" s="83"/>
      <c r="AD747" s="83"/>
      <c r="AE747" s="83"/>
      <c r="AF747" s="83"/>
      <c r="AG747" s="83"/>
      <c r="AH747" s="83"/>
    </row>
    <row r="748" spans="1:34" ht="69.75" customHeight="1" x14ac:dyDescent="0.25">
      <c r="A748" s="829"/>
      <c r="B748" s="731"/>
      <c r="C748" s="731"/>
      <c r="D748" s="324" t="s">
        <v>351</v>
      </c>
      <c r="E748" s="334">
        <v>33527600</v>
      </c>
      <c r="F748" s="335">
        <v>27932483</v>
      </c>
      <c r="G748" s="326"/>
      <c r="H748" s="83"/>
      <c r="I748" s="83"/>
      <c r="J748" s="327"/>
      <c r="K748" s="83"/>
      <c r="L748" s="83"/>
      <c r="M748" s="83"/>
      <c r="N748" s="328"/>
      <c r="O748" s="83"/>
      <c r="P748" s="83"/>
      <c r="Q748" s="83"/>
      <c r="R748" s="83"/>
      <c r="S748" s="83"/>
      <c r="T748" s="83"/>
      <c r="U748" s="83"/>
      <c r="V748" s="83"/>
      <c r="W748" s="83"/>
      <c r="X748" s="83"/>
      <c r="Y748" s="83"/>
      <c r="Z748" s="83"/>
      <c r="AA748" s="83"/>
      <c r="AB748" s="83"/>
      <c r="AC748" s="83"/>
      <c r="AD748" s="83"/>
      <c r="AE748" s="83"/>
      <c r="AF748" s="83"/>
      <c r="AG748" s="83"/>
      <c r="AH748" s="83"/>
    </row>
    <row r="749" spans="1:34" ht="69.75" customHeight="1" x14ac:dyDescent="0.25">
      <c r="A749" s="829"/>
      <c r="B749" s="749" t="s">
        <v>743</v>
      </c>
      <c r="C749" s="749" t="s">
        <v>744</v>
      </c>
      <c r="D749" s="329" t="s">
        <v>354</v>
      </c>
      <c r="E749" s="334">
        <v>86086000</v>
      </c>
      <c r="F749" s="335">
        <v>71216600</v>
      </c>
      <c r="G749" s="326"/>
      <c r="H749" s="83"/>
      <c r="I749" s="83"/>
      <c r="J749" s="327"/>
      <c r="K749" s="83"/>
      <c r="L749" s="83"/>
      <c r="M749" s="83"/>
      <c r="N749" s="328"/>
      <c r="O749" s="83"/>
      <c r="P749" s="83"/>
      <c r="Q749" s="83"/>
      <c r="R749" s="83"/>
      <c r="S749" s="83"/>
      <c r="T749" s="83"/>
      <c r="U749" s="83"/>
      <c r="V749" s="83"/>
      <c r="W749" s="83"/>
      <c r="X749" s="83"/>
      <c r="Y749" s="83"/>
      <c r="Z749" s="83"/>
      <c r="AA749" s="83"/>
      <c r="AB749" s="83"/>
      <c r="AC749" s="83"/>
      <c r="AD749" s="83"/>
      <c r="AE749" s="83"/>
      <c r="AF749" s="83"/>
      <c r="AG749" s="83"/>
      <c r="AH749" s="83"/>
    </row>
    <row r="750" spans="1:34" ht="69.75" customHeight="1" x14ac:dyDescent="0.25">
      <c r="A750" s="829"/>
      <c r="B750" s="710"/>
      <c r="C750" s="710"/>
      <c r="D750" s="329" t="s">
        <v>924</v>
      </c>
      <c r="E750" s="334">
        <v>789292834</v>
      </c>
      <c r="F750" s="335">
        <v>636049513</v>
      </c>
      <c r="G750" s="326"/>
      <c r="H750" s="83"/>
      <c r="I750" s="83"/>
      <c r="J750" s="327"/>
      <c r="K750" s="83"/>
      <c r="L750" s="83"/>
      <c r="M750" s="83"/>
      <c r="N750" s="328"/>
      <c r="O750" s="83"/>
      <c r="P750" s="83"/>
      <c r="Q750" s="83"/>
      <c r="R750" s="83"/>
      <c r="S750" s="83"/>
      <c r="T750" s="83"/>
      <c r="U750" s="83"/>
      <c r="V750" s="83"/>
      <c r="W750" s="83"/>
      <c r="X750" s="83"/>
      <c r="Y750" s="83"/>
      <c r="Z750" s="83"/>
      <c r="AA750" s="83"/>
      <c r="AB750" s="83"/>
      <c r="AC750" s="83"/>
      <c r="AD750" s="83"/>
      <c r="AE750" s="83"/>
      <c r="AF750" s="83"/>
      <c r="AG750" s="83"/>
      <c r="AH750" s="83"/>
    </row>
    <row r="751" spans="1:34" ht="69.75" customHeight="1" x14ac:dyDescent="0.25">
      <c r="A751" s="829"/>
      <c r="B751" s="710"/>
      <c r="C751" s="710"/>
      <c r="D751" s="329" t="s">
        <v>925</v>
      </c>
      <c r="E751" s="334">
        <v>335963368</v>
      </c>
      <c r="F751" s="335">
        <v>277123018</v>
      </c>
      <c r="G751" s="326"/>
      <c r="H751" s="83"/>
      <c r="I751" s="83"/>
      <c r="J751" s="327"/>
      <c r="K751" s="83"/>
      <c r="L751" s="83"/>
      <c r="M751" s="83"/>
      <c r="N751" s="328"/>
      <c r="O751" s="83"/>
      <c r="P751" s="83"/>
      <c r="Q751" s="83"/>
      <c r="R751" s="83"/>
      <c r="S751" s="83"/>
      <c r="T751" s="83"/>
      <c r="U751" s="83"/>
      <c r="V751" s="83"/>
      <c r="W751" s="83"/>
      <c r="X751" s="83"/>
      <c r="Y751" s="83"/>
      <c r="Z751" s="83"/>
      <c r="AA751" s="83"/>
      <c r="AB751" s="83"/>
      <c r="AC751" s="83"/>
      <c r="AD751" s="83"/>
      <c r="AE751" s="83"/>
      <c r="AF751" s="83"/>
      <c r="AG751" s="83"/>
      <c r="AH751" s="83"/>
    </row>
    <row r="752" spans="1:34" ht="69.75" customHeight="1" x14ac:dyDescent="0.25">
      <c r="A752" s="829"/>
      <c r="B752" s="731"/>
      <c r="C752" s="731"/>
      <c r="D752" s="329" t="s">
        <v>674</v>
      </c>
      <c r="E752" s="336">
        <v>729276096</v>
      </c>
      <c r="F752" s="335">
        <v>393648367</v>
      </c>
      <c r="G752" s="332"/>
      <c r="H752" s="83"/>
      <c r="I752" s="83"/>
      <c r="J752" s="327"/>
      <c r="K752" s="83"/>
      <c r="L752" s="83"/>
      <c r="M752" s="83"/>
      <c r="N752" s="328"/>
      <c r="O752" s="83"/>
      <c r="P752" s="83"/>
      <c r="Q752" s="83"/>
      <c r="R752" s="83"/>
      <c r="S752" s="83"/>
      <c r="T752" s="83"/>
      <c r="U752" s="83"/>
      <c r="V752" s="83"/>
      <c r="W752" s="83"/>
      <c r="X752" s="83"/>
      <c r="Y752" s="83"/>
      <c r="Z752" s="83"/>
      <c r="AA752" s="83"/>
      <c r="AB752" s="83"/>
      <c r="AC752" s="83"/>
      <c r="AD752" s="83"/>
      <c r="AE752" s="83"/>
      <c r="AF752" s="83"/>
      <c r="AG752" s="83"/>
      <c r="AH752" s="83"/>
    </row>
    <row r="753" spans="1:34" ht="69.75" customHeight="1" x14ac:dyDescent="0.25">
      <c r="A753" s="829"/>
      <c r="B753" s="30" t="s">
        <v>747</v>
      </c>
      <c r="C753" s="30" t="s">
        <v>748</v>
      </c>
      <c r="D753" s="329" t="s">
        <v>926</v>
      </c>
      <c r="E753" s="334">
        <v>322224768</v>
      </c>
      <c r="F753" s="335">
        <v>268335400</v>
      </c>
      <c r="G753" s="326"/>
      <c r="H753" s="83"/>
      <c r="I753" s="83"/>
      <c r="J753" s="327"/>
      <c r="K753" s="83"/>
      <c r="L753" s="83"/>
      <c r="M753" s="83"/>
      <c r="N753" s="328"/>
      <c r="O753" s="83"/>
      <c r="P753" s="83"/>
      <c r="Q753" s="83"/>
      <c r="R753" s="83"/>
      <c r="S753" s="83"/>
      <c r="T753" s="83"/>
      <c r="U753" s="83"/>
      <c r="V753" s="83"/>
      <c r="W753" s="83"/>
      <c r="X753" s="83"/>
      <c r="Y753" s="83"/>
      <c r="Z753" s="83"/>
      <c r="AA753" s="83"/>
      <c r="AB753" s="83"/>
      <c r="AC753" s="83"/>
      <c r="AD753" s="83"/>
      <c r="AE753" s="83"/>
      <c r="AF753" s="83"/>
      <c r="AG753" s="83"/>
      <c r="AH753" s="83"/>
    </row>
    <row r="754" spans="1:34" ht="69.75" customHeight="1" x14ac:dyDescent="0.25">
      <c r="A754" s="823"/>
      <c r="B754" s="30" t="s">
        <v>751</v>
      </c>
      <c r="C754" s="30" t="s">
        <v>752</v>
      </c>
      <c r="D754" s="329" t="s">
        <v>370</v>
      </c>
      <c r="E754" s="334">
        <v>775730000</v>
      </c>
      <c r="F754" s="335">
        <v>428558828</v>
      </c>
      <c r="G754" s="326"/>
      <c r="H754" s="83"/>
      <c r="I754" s="83"/>
      <c r="J754" s="327"/>
      <c r="K754" s="83"/>
      <c r="L754" s="83"/>
      <c r="M754" s="83"/>
      <c r="N754" s="328"/>
      <c r="O754" s="83"/>
      <c r="P754" s="83"/>
      <c r="Q754" s="83"/>
      <c r="R754" s="83"/>
      <c r="S754" s="83"/>
      <c r="T754" s="83"/>
      <c r="U754" s="83"/>
      <c r="V754" s="83"/>
      <c r="W754" s="83"/>
      <c r="X754" s="83"/>
      <c r="Y754" s="83"/>
      <c r="Z754" s="83"/>
      <c r="AA754" s="83"/>
      <c r="AB754" s="83"/>
      <c r="AC754" s="83"/>
      <c r="AD754" s="83"/>
      <c r="AE754" s="83"/>
      <c r="AF754" s="83"/>
      <c r="AG754" s="83"/>
      <c r="AH754" s="83"/>
    </row>
    <row r="755" spans="1:34" ht="69.75" customHeight="1" x14ac:dyDescent="0.25">
      <c r="A755" s="874" t="s">
        <v>716</v>
      </c>
      <c r="B755" s="878" t="s">
        <v>739</v>
      </c>
      <c r="C755" s="878" t="s">
        <v>740</v>
      </c>
      <c r="D755" s="324" t="s">
        <v>339</v>
      </c>
      <c r="E755" s="334">
        <v>825557000</v>
      </c>
      <c r="F755" s="335">
        <v>0</v>
      </c>
      <c r="G755" s="326"/>
      <c r="H755" s="83"/>
      <c r="I755" s="83"/>
      <c r="J755" s="327"/>
      <c r="K755" s="83"/>
      <c r="L755" s="83"/>
      <c r="M755" s="83"/>
      <c r="N755" s="328"/>
      <c r="O755" s="83"/>
      <c r="P755" s="83"/>
      <c r="Q755" s="83"/>
      <c r="R755" s="83"/>
      <c r="S755" s="83"/>
      <c r="T755" s="83"/>
      <c r="U755" s="83"/>
      <c r="V755" s="83"/>
      <c r="W755" s="83"/>
      <c r="X755" s="83"/>
      <c r="Y755" s="83"/>
      <c r="Z755" s="83"/>
      <c r="AA755" s="83"/>
      <c r="AB755" s="83"/>
      <c r="AC755" s="83"/>
      <c r="AD755" s="83"/>
      <c r="AE755" s="83"/>
      <c r="AF755" s="83"/>
      <c r="AG755" s="83"/>
      <c r="AH755" s="83"/>
    </row>
    <row r="756" spans="1:34" ht="69.75" customHeight="1" x14ac:dyDescent="0.25">
      <c r="A756" s="829"/>
      <c r="B756" s="710"/>
      <c r="C756" s="710"/>
      <c r="D756" s="324" t="s">
        <v>349</v>
      </c>
      <c r="E756" s="334">
        <v>180497000</v>
      </c>
      <c r="F756" s="335">
        <v>0</v>
      </c>
      <c r="G756" s="326"/>
      <c r="H756" s="83"/>
      <c r="I756" s="83"/>
      <c r="J756" s="327"/>
      <c r="K756" s="83"/>
      <c r="L756" s="83"/>
      <c r="M756" s="83"/>
      <c r="N756" s="328"/>
      <c r="O756" s="83"/>
      <c r="P756" s="83"/>
      <c r="Q756" s="83"/>
      <c r="R756" s="83"/>
      <c r="S756" s="83"/>
      <c r="T756" s="83"/>
      <c r="U756" s="83"/>
      <c r="V756" s="83"/>
      <c r="W756" s="83"/>
      <c r="X756" s="83"/>
      <c r="Y756" s="83"/>
      <c r="Z756" s="83"/>
      <c r="AA756" s="83"/>
      <c r="AB756" s="83"/>
      <c r="AC756" s="83"/>
      <c r="AD756" s="83"/>
      <c r="AE756" s="83"/>
      <c r="AF756" s="83"/>
      <c r="AG756" s="83"/>
      <c r="AH756" s="83"/>
    </row>
    <row r="757" spans="1:34" ht="69.75" customHeight="1" x14ac:dyDescent="0.25">
      <c r="A757" s="829"/>
      <c r="B757" s="731"/>
      <c r="C757" s="731"/>
      <c r="D757" s="324" t="s">
        <v>351</v>
      </c>
      <c r="E757" s="334">
        <v>33110000</v>
      </c>
      <c r="F757" s="335">
        <v>0</v>
      </c>
      <c r="G757" s="326"/>
      <c r="H757" s="83"/>
      <c r="I757" s="83"/>
      <c r="J757" s="327"/>
      <c r="K757" s="83"/>
      <c r="L757" s="83"/>
      <c r="M757" s="83"/>
      <c r="N757" s="328"/>
      <c r="O757" s="83"/>
      <c r="P757" s="83"/>
      <c r="Q757" s="83"/>
      <c r="R757" s="83"/>
      <c r="S757" s="83"/>
      <c r="T757" s="83"/>
      <c r="U757" s="83"/>
      <c r="V757" s="83"/>
      <c r="W757" s="83"/>
      <c r="X757" s="83"/>
      <c r="Y757" s="83"/>
      <c r="Z757" s="83"/>
      <c r="AA757" s="83"/>
      <c r="AB757" s="83"/>
      <c r="AC757" s="83"/>
      <c r="AD757" s="83"/>
      <c r="AE757" s="83"/>
      <c r="AF757" s="83"/>
      <c r="AG757" s="83"/>
      <c r="AH757" s="83"/>
    </row>
    <row r="758" spans="1:34" ht="69.75" customHeight="1" x14ac:dyDescent="0.25">
      <c r="A758" s="829"/>
      <c r="B758" s="749" t="s">
        <v>743</v>
      </c>
      <c r="C758" s="749" t="s">
        <v>744</v>
      </c>
      <c r="D758" s="329" t="s">
        <v>354</v>
      </c>
      <c r="E758" s="334">
        <v>86086000</v>
      </c>
      <c r="F758" s="335">
        <v>0</v>
      </c>
      <c r="G758" s="326"/>
      <c r="H758" s="83"/>
      <c r="I758" s="83"/>
      <c r="J758" s="327"/>
      <c r="K758" s="83"/>
      <c r="L758" s="83"/>
      <c r="M758" s="83"/>
      <c r="N758" s="328"/>
      <c r="O758" s="83"/>
      <c r="P758" s="83"/>
      <c r="Q758" s="83"/>
      <c r="R758" s="83"/>
      <c r="S758" s="83"/>
      <c r="T758" s="83"/>
      <c r="U758" s="83"/>
      <c r="V758" s="83"/>
      <c r="W758" s="83"/>
      <c r="X758" s="83"/>
      <c r="Y758" s="83"/>
      <c r="Z758" s="83"/>
      <c r="AA758" s="83"/>
      <c r="AB758" s="83"/>
      <c r="AC758" s="83"/>
      <c r="AD758" s="83"/>
      <c r="AE758" s="83"/>
      <c r="AF758" s="83"/>
      <c r="AG758" s="83"/>
      <c r="AH758" s="83"/>
    </row>
    <row r="759" spans="1:34" ht="69.75" customHeight="1" x14ac:dyDescent="0.25">
      <c r="A759" s="829"/>
      <c r="B759" s="710"/>
      <c r="C759" s="710"/>
      <c r="D759" s="329" t="s">
        <v>924</v>
      </c>
      <c r="E759" s="334">
        <v>930550000</v>
      </c>
      <c r="F759" s="335">
        <v>0</v>
      </c>
      <c r="G759" s="326"/>
      <c r="H759" s="83"/>
      <c r="I759" s="83"/>
      <c r="J759" s="327"/>
      <c r="K759" s="83"/>
      <c r="L759" s="83"/>
      <c r="M759" s="83"/>
      <c r="N759" s="328"/>
      <c r="O759" s="83"/>
      <c r="P759" s="83"/>
      <c r="Q759" s="83"/>
      <c r="R759" s="83"/>
      <c r="S759" s="83"/>
      <c r="T759" s="83"/>
      <c r="U759" s="83"/>
      <c r="V759" s="83"/>
      <c r="W759" s="83"/>
      <c r="X759" s="83"/>
      <c r="Y759" s="83"/>
      <c r="Z759" s="83"/>
      <c r="AA759" s="83"/>
      <c r="AB759" s="83"/>
      <c r="AC759" s="83"/>
      <c r="AD759" s="83"/>
      <c r="AE759" s="83"/>
      <c r="AF759" s="83"/>
      <c r="AG759" s="83"/>
      <c r="AH759" s="83"/>
    </row>
    <row r="760" spans="1:34" ht="69.75" customHeight="1" x14ac:dyDescent="0.25">
      <c r="A760" s="829"/>
      <c r="B760" s="710"/>
      <c r="C760" s="710"/>
      <c r="D760" s="329" t="s">
        <v>925</v>
      </c>
      <c r="E760" s="334">
        <v>360437000</v>
      </c>
      <c r="F760" s="335">
        <v>0</v>
      </c>
      <c r="G760" s="326"/>
      <c r="H760" s="83"/>
      <c r="I760" s="83"/>
      <c r="J760" s="327"/>
      <c r="K760" s="83"/>
      <c r="L760" s="83"/>
      <c r="M760" s="83"/>
      <c r="N760" s="328"/>
      <c r="O760" s="83"/>
      <c r="P760" s="83"/>
      <c r="Q760" s="83"/>
      <c r="R760" s="83"/>
      <c r="S760" s="83"/>
      <c r="T760" s="83"/>
      <c r="U760" s="83"/>
      <c r="V760" s="83"/>
      <c r="W760" s="83"/>
      <c r="X760" s="83"/>
      <c r="Y760" s="83"/>
      <c r="Z760" s="83"/>
      <c r="AA760" s="83"/>
      <c r="AB760" s="83"/>
      <c r="AC760" s="83"/>
      <c r="AD760" s="83"/>
      <c r="AE760" s="83"/>
      <c r="AF760" s="83"/>
      <c r="AG760" s="83"/>
      <c r="AH760" s="83"/>
    </row>
    <row r="761" spans="1:34" ht="69.75" customHeight="1" x14ac:dyDescent="0.25">
      <c r="A761" s="829"/>
      <c r="B761" s="731"/>
      <c r="C761" s="731"/>
      <c r="D761" s="329" t="s">
        <v>674</v>
      </c>
      <c r="E761" s="336">
        <v>1275635000</v>
      </c>
      <c r="F761" s="335">
        <v>0</v>
      </c>
      <c r="G761" s="332"/>
      <c r="H761" s="83"/>
      <c r="I761" s="83"/>
      <c r="J761" s="327"/>
      <c r="K761" s="83"/>
      <c r="L761" s="83"/>
      <c r="M761" s="83"/>
      <c r="N761" s="328"/>
      <c r="O761" s="83"/>
      <c r="P761" s="83"/>
      <c r="Q761" s="83"/>
      <c r="R761" s="83"/>
      <c r="S761" s="83"/>
      <c r="T761" s="83"/>
      <c r="U761" s="83"/>
      <c r="V761" s="83"/>
      <c r="W761" s="83"/>
      <c r="X761" s="83"/>
      <c r="Y761" s="83"/>
      <c r="Z761" s="83"/>
      <c r="AA761" s="83"/>
      <c r="AB761" s="83"/>
      <c r="AC761" s="83"/>
      <c r="AD761" s="83"/>
      <c r="AE761" s="83"/>
      <c r="AF761" s="83"/>
      <c r="AG761" s="83"/>
      <c r="AH761" s="83"/>
    </row>
    <row r="762" spans="1:34" ht="69.75" customHeight="1" x14ac:dyDescent="0.25">
      <c r="A762" s="829"/>
      <c r="B762" s="30" t="s">
        <v>747</v>
      </c>
      <c r="C762" s="30" t="s">
        <v>748</v>
      </c>
      <c r="D762" s="329" t="s">
        <v>926</v>
      </c>
      <c r="E762" s="334">
        <v>370000000</v>
      </c>
      <c r="F762" s="335">
        <v>0</v>
      </c>
      <c r="G762" s="326"/>
      <c r="H762" s="83"/>
      <c r="I762" s="83"/>
      <c r="J762" s="327"/>
      <c r="K762" s="83"/>
      <c r="L762" s="83"/>
      <c r="M762" s="83"/>
      <c r="N762" s="328"/>
      <c r="O762" s="83"/>
      <c r="P762" s="83"/>
      <c r="Q762" s="83"/>
      <c r="R762" s="83"/>
      <c r="S762" s="83"/>
      <c r="T762" s="83"/>
      <c r="U762" s="83"/>
      <c r="V762" s="83"/>
      <c r="W762" s="83"/>
      <c r="X762" s="83"/>
      <c r="Y762" s="83"/>
      <c r="Z762" s="83"/>
      <c r="AA762" s="83"/>
      <c r="AB762" s="83"/>
      <c r="AC762" s="83"/>
      <c r="AD762" s="83"/>
      <c r="AE762" s="83"/>
      <c r="AF762" s="83"/>
      <c r="AG762" s="83"/>
      <c r="AH762" s="83"/>
    </row>
    <row r="763" spans="1:34" ht="69.75" customHeight="1" x14ac:dyDescent="0.25">
      <c r="A763" s="823"/>
      <c r="B763" s="30" t="s">
        <v>751</v>
      </c>
      <c r="C763" s="30" t="s">
        <v>752</v>
      </c>
      <c r="D763" s="329" t="s">
        <v>370</v>
      </c>
      <c r="E763" s="334">
        <v>783421000</v>
      </c>
      <c r="F763" s="335">
        <v>0</v>
      </c>
      <c r="G763" s="326"/>
      <c r="H763" s="83"/>
      <c r="I763" s="83"/>
      <c r="J763" s="327"/>
      <c r="K763" s="83"/>
      <c r="L763" s="83"/>
      <c r="M763" s="83"/>
      <c r="N763" s="328"/>
      <c r="O763" s="83"/>
      <c r="P763" s="83"/>
      <c r="Q763" s="83"/>
      <c r="R763" s="83"/>
      <c r="S763" s="83"/>
      <c r="T763" s="83"/>
      <c r="U763" s="83"/>
      <c r="V763" s="83"/>
      <c r="W763" s="83"/>
      <c r="X763" s="83"/>
      <c r="Y763" s="83"/>
      <c r="Z763" s="83"/>
      <c r="AA763" s="83"/>
      <c r="AB763" s="83"/>
      <c r="AC763" s="83"/>
      <c r="AD763" s="83"/>
      <c r="AE763" s="83"/>
      <c r="AF763" s="83"/>
      <c r="AG763" s="83"/>
      <c r="AH763" s="83"/>
    </row>
    <row r="764" spans="1:34" ht="69.75" customHeight="1" x14ac:dyDescent="0.25">
      <c r="A764" s="874" t="s">
        <v>717</v>
      </c>
      <c r="B764" s="878" t="s">
        <v>739</v>
      </c>
      <c r="C764" s="878" t="s">
        <v>740</v>
      </c>
      <c r="D764" s="324" t="s">
        <v>339</v>
      </c>
      <c r="E764" s="334">
        <v>825557000</v>
      </c>
      <c r="F764" s="335">
        <v>28632200</v>
      </c>
      <c r="G764" s="326"/>
      <c r="H764" s="83"/>
      <c r="I764" s="83"/>
      <c r="J764" s="327"/>
      <c r="K764" s="83"/>
      <c r="L764" s="83"/>
      <c r="M764" s="83"/>
      <c r="N764" s="328"/>
      <c r="O764" s="83"/>
      <c r="P764" s="83"/>
      <c r="Q764" s="83"/>
      <c r="R764" s="83"/>
      <c r="S764" s="83"/>
      <c r="T764" s="83"/>
      <c r="U764" s="83"/>
      <c r="V764" s="83"/>
      <c r="W764" s="83"/>
      <c r="X764" s="83"/>
      <c r="Y764" s="83"/>
      <c r="Z764" s="83"/>
      <c r="AA764" s="83"/>
      <c r="AB764" s="83"/>
      <c r="AC764" s="83"/>
      <c r="AD764" s="83"/>
      <c r="AE764" s="83"/>
      <c r="AF764" s="83"/>
      <c r="AG764" s="83"/>
      <c r="AH764" s="83"/>
    </row>
    <row r="765" spans="1:34" ht="69.75" customHeight="1" x14ac:dyDescent="0.25">
      <c r="A765" s="829"/>
      <c r="B765" s="710"/>
      <c r="C765" s="710"/>
      <c r="D765" s="324" t="s">
        <v>349</v>
      </c>
      <c r="E765" s="334">
        <v>180497000</v>
      </c>
      <c r="F765" s="335">
        <v>0</v>
      </c>
      <c r="G765" s="326"/>
      <c r="H765" s="83"/>
      <c r="I765" s="83"/>
      <c r="J765" s="327"/>
      <c r="K765" s="83"/>
      <c r="L765" s="83"/>
      <c r="M765" s="83"/>
      <c r="N765" s="328"/>
      <c r="O765" s="83"/>
      <c r="P765" s="83"/>
      <c r="Q765" s="83"/>
      <c r="R765" s="83"/>
      <c r="S765" s="83"/>
      <c r="T765" s="83"/>
      <c r="U765" s="83"/>
      <c r="V765" s="83"/>
      <c r="W765" s="83"/>
      <c r="X765" s="83"/>
      <c r="Y765" s="83"/>
      <c r="Z765" s="83"/>
      <c r="AA765" s="83"/>
      <c r="AB765" s="83"/>
      <c r="AC765" s="83"/>
      <c r="AD765" s="83"/>
      <c r="AE765" s="83"/>
      <c r="AF765" s="83"/>
      <c r="AG765" s="83"/>
      <c r="AH765" s="83"/>
    </row>
    <row r="766" spans="1:34" ht="69.75" customHeight="1" x14ac:dyDescent="0.25">
      <c r="A766" s="829"/>
      <c r="B766" s="731"/>
      <c r="C766" s="731"/>
      <c r="D766" s="324" t="s">
        <v>351</v>
      </c>
      <c r="E766" s="334">
        <v>33110000</v>
      </c>
      <c r="F766" s="335">
        <v>2809333</v>
      </c>
      <c r="G766" s="326"/>
      <c r="H766" s="83"/>
      <c r="I766" s="83"/>
      <c r="J766" s="327"/>
      <c r="K766" s="83"/>
      <c r="L766" s="83"/>
      <c r="M766" s="83"/>
      <c r="N766" s="328"/>
      <c r="O766" s="83"/>
      <c r="P766" s="83"/>
      <c r="Q766" s="83"/>
      <c r="R766" s="83"/>
      <c r="S766" s="83"/>
      <c r="T766" s="83"/>
      <c r="U766" s="83"/>
      <c r="V766" s="83"/>
      <c r="W766" s="83"/>
      <c r="X766" s="83"/>
      <c r="Y766" s="83"/>
      <c r="Z766" s="83"/>
      <c r="AA766" s="83"/>
      <c r="AB766" s="83"/>
      <c r="AC766" s="83"/>
      <c r="AD766" s="83"/>
      <c r="AE766" s="83"/>
      <c r="AF766" s="83"/>
      <c r="AG766" s="83"/>
      <c r="AH766" s="83"/>
    </row>
    <row r="767" spans="1:34" ht="69.75" customHeight="1" x14ac:dyDescent="0.25">
      <c r="A767" s="829"/>
      <c r="B767" s="749" t="s">
        <v>743</v>
      </c>
      <c r="C767" s="749" t="s">
        <v>744</v>
      </c>
      <c r="D767" s="329" t="s">
        <v>354</v>
      </c>
      <c r="E767" s="334">
        <v>86086000</v>
      </c>
      <c r="F767" s="335">
        <v>5086900</v>
      </c>
      <c r="G767" s="326"/>
      <c r="H767" s="83"/>
      <c r="I767" s="83"/>
      <c r="J767" s="327"/>
      <c r="K767" s="83"/>
      <c r="L767" s="83"/>
      <c r="M767" s="83"/>
      <c r="N767" s="328"/>
      <c r="O767" s="83"/>
      <c r="P767" s="83"/>
      <c r="Q767" s="83"/>
      <c r="R767" s="83"/>
      <c r="S767" s="83"/>
      <c r="T767" s="83"/>
      <c r="U767" s="83"/>
      <c r="V767" s="83"/>
      <c r="W767" s="83"/>
      <c r="X767" s="83"/>
      <c r="Y767" s="83"/>
      <c r="Z767" s="83"/>
      <c r="AA767" s="83"/>
      <c r="AB767" s="83"/>
      <c r="AC767" s="83"/>
      <c r="AD767" s="83"/>
      <c r="AE767" s="83"/>
      <c r="AF767" s="83"/>
      <c r="AG767" s="83"/>
      <c r="AH767" s="83"/>
    </row>
    <row r="768" spans="1:34" ht="69.75" customHeight="1" x14ac:dyDescent="0.25">
      <c r="A768" s="829"/>
      <c r="B768" s="710"/>
      <c r="C768" s="710"/>
      <c r="D768" s="329" t="s">
        <v>924</v>
      </c>
      <c r="E768" s="334">
        <v>930550000</v>
      </c>
      <c r="F768" s="335">
        <v>27365765</v>
      </c>
      <c r="G768" s="326"/>
      <c r="H768" s="83"/>
      <c r="I768" s="83"/>
      <c r="J768" s="327"/>
      <c r="K768" s="83"/>
      <c r="L768" s="83"/>
      <c r="M768" s="83"/>
      <c r="N768" s="328"/>
      <c r="O768" s="83"/>
      <c r="P768" s="83"/>
      <c r="Q768" s="83"/>
      <c r="R768" s="83"/>
      <c r="S768" s="83"/>
      <c r="T768" s="83"/>
      <c r="U768" s="83"/>
      <c r="V768" s="83"/>
      <c r="W768" s="83"/>
      <c r="X768" s="83"/>
      <c r="Y768" s="83"/>
      <c r="Z768" s="83"/>
      <c r="AA768" s="83"/>
      <c r="AB768" s="83"/>
      <c r="AC768" s="83"/>
      <c r="AD768" s="83"/>
      <c r="AE768" s="83"/>
      <c r="AF768" s="83"/>
      <c r="AG768" s="83"/>
      <c r="AH768" s="83"/>
    </row>
    <row r="769" spans="1:34" ht="69.75" customHeight="1" x14ac:dyDescent="0.25">
      <c r="A769" s="829"/>
      <c r="B769" s="710"/>
      <c r="C769" s="710"/>
      <c r="D769" s="329" t="s">
        <v>925</v>
      </c>
      <c r="E769" s="334">
        <v>360437000</v>
      </c>
      <c r="F769" s="335">
        <v>7574200</v>
      </c>
      <c r="G769" s="326"/>
      <c r="H769" s="83"/>
      <c r="I769" s="83"/>
      <c r="J769" s="327"/>
      <c r="K769" s="83"/>
      <c r="L769" s="83"/>
      <c r="M769" s="83"/>
      <c r="N769" s="328"/>
      <c r="O769" s="83"/>
      <c r="P769" s="83"/>
      <c r="Q769" s="83"/>
      <c r="R769" s="83"/>
      <c r="S769" s="83"/>
      <c r="T769" s="83"/>
      <c r="U769" s="83"/>
      <c r="V769" s="83"/>
      <c r="W769" s="83"/>
      <c r="X769" s="83"/>
      <c r="Y769" s="83"/>
      <c r="Z769" s="83"/>
      <c r="AA769" s="83"/>
      <c r="AB769" s="83"/>
      <c r="AC769" s="83"/>
      <c r="AD769" s="83"/>
      <c r="AE769" s="83"/>
      <c r="AF769" s="83"/>
      <c r="AG769" s="83"/>
      <c r="AH769" s="83"/>
    </row>
    <row r="770" spans="1:34" ht="69.75" customHeight="1" x14ac:dyDescent="0.25">
      <c r="A770" s="829"/>
      <c r="B770" s="731"/>
      <c r="C770" s="731"/>
      <c r="D770" s="329" t="s">
        <v>674</v>
      </c>
      <c r="E770" s="336">
        <v>1275635000</v>
      </c>
      <c r="F770" s="335">
        <v>16130234</v>
      </c>
      <c r="G770" s="332"/>
      <c r="H770" s="83"/>
      <c r="I770" s="83"/>
      <c r="J770" s="327"/>
      <c r="K770" s="83"/>
      <c r="L770" s="83"/>
      <c r="M770" s="83"/>
      <c r="N770" s="328"/>
      <c r="O770" s="83"/>
      <c r="P770" s="83"/>
      <c r="Q770" s="83"/>
      <c r="R770" s="83"/>
      <c r="S770" s="83"/>
      <c r="T770" s="83"/>
      <c r="U770" s="83"/>
      <c r="V770" s="83"/>
      <c r="W770" s="83"/>
      <c r="X770" s="83"/>
      <c r="Y770" s="83"/>
      <c r="Z770" s="83"/>
      <c r="AA770" s="83"/>
      <c r="AB770" s="83"/>
      <c r="AC770" s="83"/>
      <c r="AD770" s="83"/>
      <c r="AE770" s="83"/>
      <c r="AF770" s="83"/>
      <c r="AG770" s="83"/>
      <c r="AH770" s="83"/>
    </row>
    <row r="771" spans="1:34" ht="69.75" customHeight="1" x14ac:dyDescent="0.25">
      <c r="A771" s="829"/>
      <c r="B771" s="30" t="s">
        <v>747</v>
      </c>
      <c r="C771" s="30" t="s">
        <v>748</v>
      </c>
      <c r="D771" s="329" t="s">
        <v>926</v>
      </c>
      <c r="E771" s="334">
        <v>370000000</v>
      </c>
      <c r="F771" s="335">
        <v>11707467</v>
      </c>
      <c r="G771" s="326"/>
      <c r="H771" s="83"/>
      <c r="I771" s="83"/>
      <c r="J771" s="327"/>
      <c r="K771" s="83"/>
      <c r="L771" s="83"/>
      <c r="M771" s="83"/>
      <c r="N771" s="328"/>
      <c r="O771" s="83"/>
      <c r="P771" s="83"/>
      <c r="Q771" s="83"/>
      <c r="R771" s="83"/>
      <c r="S771" s="83"/>
      <c r="T771" s="83"/>
      <c r="U771" s="83"/>
      <c r="V771" s="83"/>
      <c r="W771" s="83"/>
      <c r="X771" s="83"/>
      <c r="Y771" s="83"/>
      <c r="Z771" s="83"/>
      <c r="AA771" s="83"/>
      <c r="AB771" s="83"/>
      <c r="AC771" s="83"/>
      <c r="AD771" s="83"/>
      <c r="AE771" s="83"/>
      <c r="AF771" s="83"/>
      <c r="AG771" s="83"/>
      <c r="AH771" s="83"/>
    </row>
    <row r="772" spans="1:34" ht="69.75" customHeight="1" x14ac:dyDescent="0.25">
      <c r="A772" s="823"/>
      <c r="B772" s="30" t="s">
        <v>751</v>
      </c>
      <c r="C772" s="30" t="s">
        <v>752</v>
      </c>
      <c r="D772" s="329" t="s">
        <v>370</v>
      </c>
      <c r="E772" s="334">
        <v>783421000</v>
      </c>
      <c r="F772" s="335">
        <v>5684626</v>
      </c>
      <c r="G772" s="326"/>
      <c r="H772" s="83"/>
      <c r="I772" s="83"/>
      <c r="J772" s="327"/>
      <c r="K772" s="83"/>
      <c r="L772" s="83"/>
      <c r="M772" s="83"/>
      <c r="N772" s="328"/>
      <c r="O772" s="83"/>
      <c r="P772" s="83"/>
      <c r="Q772" s="83"/>
      <c r="R772" s="83"/>
      <c r="S772" s="83"/>
      <c r="T772" s="83"/>
      <c r="U772" s="83"/>
      <c r="V772" s="83"/>
      <c r="W772" s="83"/>
      <c r="X772" s="83"/>
      <c r="Y772" s="83"/>
      <c r="Z772" s="83"/>
      <c r="AA772" s="83"/>
      <c r="AB772" s="83"/>
      <c r="AC772" s="83"/>
      <c r="AD772" s="83"/>
      <c r="AE772" s="83"/>
      <c r="AF772" s="83"/>
      <c r="AG772" s="83"/>
      <c r="AH772" s="83"/>
    </row>
    <row r="773" spans="1:34" ht="69.75" customHeight="1" x14ac:dyDescent="0.25">
      <c r="A773" s="874" t="s">
        <v>718</v>
      </c>
      <c r="B773" s="878" t="s">
        <v>739</v>
      </c>
      <c r="C773" s="878" t="s">
        <v>740</v>
      </c>
      <c r="D773" s="324" t="s">
        <v>339</v>
      </c>
      <c r="E773" s="334">
        <v>825557000</v>
      </c>
      <c r="F773" s="335">
        <v>78914567</v>
      </c>
      <c r="G773" s="326"/>
      <c r="H773" s="83"/>
      <c r="I773" s="83"/>
      <c r="J773" s="327"/>
      <c r="K773" s="83"/>
      <c r="L773" s="83"/>
      <c r="M773" s="83"/>
      <c r="N773" s="328"/>
      <c r="O773" s="83"/>
      <c r="P773" s="83"/>
      <c r="Q773" s="83"/>
      <c r="R773" s="83"/>
      <c r="S773" s="83"/>
      <c r="T773" s="83"/>
      <c r="U773" s="83"/>
      <c r="V773" s="83"/>
      <c r="W773" s="83"/>
      <c r="X773" s="83"/>
      <c r="Y773" s="83"/>
      <c r="Z773" s="83"/>
      <c r="AA773" s="83"/>
      <c r="AB773" s="83"/>
      <c r="AC773" s="83"/>
      <c r="AD773" s="83"/>
      <c r="AE773" s="83"/>
      <c r="AF773" s="83"/>
      <c r="AG773" s="83"/>
      <c r="AH773" s="83"/>
    </row>
    <row r="774" spans="1:34" ht="69.75" customHeight="1" x14ac:dyDescent="0.25">
      <c r="A774" s="829"/>
      <c r="B774" s="710"/>
      <c r="C774" s="710"/>
      <c r="D774" s="324" t="s">
        <v>349</v>
      </c>
      <c r="E774" s="334">
        <v>180497000</v>
      </c>
      <c r="F774" s="335">
        <v>7936200</v>
      </c>
      <c r="G774" s="326"/>
      <c r="H774" s="83"/>
      <c r="I774" s="83"/>
      <c r="J774" s="327"/>
      <c r="K774" s="83"/>
      <c r="L774" s="83"/>
      <c r="M774" s="83"/>
      <c r="N774" s="328"/>
      <c r="O774" s="83"/>
      <c r="P774" s="83"/>
      <c r="Q774" s="83"/>
      <c r="R774" s="83"/>
      <c r="S774" s="83"/>
      <c r="T774" s="83"/>
      <c r="U774" s="83"/>
      <c r="V774" s="83"/>
      <c r="W774" s="83"/>
      <c r="X774" s="83"/>
      <c r="Y774" s="83"/>
      <c r="Z774" s="83"/>
      <c r="AA774" s="83"/>
      <c r="AB774" s="83"/>
      <c r="AC774" s="83"/>
      <c r="AD774" s="83"/>
      <c r="AE774" s="83"/>
      <c r="AF774" s="83"/>
      <c r="AG774" s="83"/>
      <c r="AH774" s="83"/>
    </row>
    <row r="775" spans="1:34" ht="69.75" customHeight="1" x14ac:dyDescent="0.25">
      <c r="A775" s="829"/>
      <c r="B775" s="731"/>
      <c r="C775" s="731"/>
      <c r="D775" s="324" t="s">
        <v>351</v>
      </c>
      <c r="E775" s="334">
        <v>33110000</v>
      </c>
      <c r="F775" s="335">
        <v>5819333</v>
      </c>
      <c r="G775" s="326"/>
      <c r="H775" s="83"/>
      <c r="I775" s="83"/>
      <c r="J775" s="327"/>
      <c r="K775" s="83"/>
      <c r="L775" s="83"/>
      <c r="M775" s="83"/>
      <c r="N775" s="328"/>
      <c r="O775" s="83"/>
      <c r="P775" s="83"/>
      <c r="Q775" s="83"/>
      <c r="R775" s="83"/>
      <c r="S775" s="83"/>
      <c r="T775" s="83"/>
      <c r="U775" s="83"/>
      <c r="V775" s="83"/>
      <c r="W775" s="83"/>
      <c r="X775" s="83"/>
      <c r="Y775" s="83"/>
      <c r="Z775" s="83"/>
      <c r="AA775" s="83"/>
      <c r="AB775" s="83"/>
      <c r="AC775" s="83"/>
      <c r="AD775" s="83"/>
      <c r="AE775" s="83"/>
      <c r="AF775" s="83"/>
      <c r="AG775" s="83"/>
      <c r="AH775" s="83"/>
    </row>
    <row r="776" spans="1:34" ht="69.75" customHeight="1" x14ac:dyDescent="0.25">
      <c r="A776" s="829"/>
      <c r="B776" s="749" t="s">
        <v>743</v>
      </c>
      <c r="C776" s="749" t="s">
        <v>744</v>
      </c>
      <c r="D776" s="329" t="s">
        <v>354</v>
      </c>
      <c r="E776" s="334">
        <v>86086000</v>
      </c>
      <c r="F776" s="335">
        <v>12521600</v>
      </c>
      <c r="G776" s="326"/>
      <c r="H776" s="83"/>
      <c r="I776" s="83"/>
      <c r="J776" s="327"/>
      <c r="K776" s="83"/>
      <c r="L776" s="83"/>
      <c r="M776" s="83"/>
      <c r="N776" s="328"/>
      <c r="O776" s="83"/>
      <c r="P776" s="83"/>
      <c r="Q776" s="83"/>
      <c r="R776" s="83"/>
      <c r="S776" s="83"/>
      <c r="T776" s="83"/>
      <c r="U776" s="83"/>
      <c r="V776" s="83"/>
      <c r="W776" s="83"/>
      <c r="X776" s="83"/>
      <c r="Y776" s="83"/>
      <c r="Z776" s="83"/>
      <c r="AA776" s="83"/>
      <c r="AB776" s="83"/>
      <c r="AC776" s="83"/>
      <c r="AD776" s="83"/>
      <c r="AE776" s="83"/>
      <c r="AF776" s="83"/>
      <c r="AG776" s="83"/>
      <c r="AH776" s="83"/>
    </row>
    <row r="777" spans="1:34" ht="69.75" customHeight="1" x14ac:dyDescent="0.25">
      <c r="A777" s="829"/>
      <c r="B777" s="710"/>
      <c r="C777" s="710"/>
      <c r="D777" s="329" t="s">
        <v>924</v>
      </c>
      <c r="E777" s="334">
        <v>930550000</v>
      </c>
      <c r="F777" s="335">
        <v>81450966</v>
      </c>
      <c r="G777" s="326"/>
      <c r="H777" s="83"/>
      <c r="I777" s="83"/>
      <c r="J777" s="327"/>
      <c r="K777" s="83"/>
      <c r="L777" s="83"/>
      <c r="M777" s="83"/>
      <c r="N777" s="328"/>
      <c r="O777" s="83"/>
      <c r="P777" s="83"/>
      <c r="Q777" s="83"/>
      <c r="R777" s="83"/>
      <c r="S777" s="83"/>
      <c r="T777" s="83"/>
      <c r="U777" s="83"/>
      <c r="V777" s="83"/>
      <c r="W777" s="83"/>
      <c r="X777" s="83"/>
      <c r="Y777" s="83"/>
      <c r="Z777" s="83"/>
      <c r="AA777" s="83"/>
      <c r="AB777" s="83"/>
      <c r="AC777" s="83"/>
      <c r="AD777" s="83"/>
      <c r="AE777" s="83"/>
      <c r="AF777" s="83"/>
      <c r="AG777" s="83"/>
      <c r="AH777" s="83"/>
    </row>
    <row r="778" spans="1:34" ht="69.75" customHeight="1" x14ac:dyDescent="0.25">
      <c r="A778" s="829"/>
      <c r="B778" s="710"/>
      <c r="C778" s="710"/>
      <c r="D778" s="329" t="s">
        <v>925</v>
      </c>
      <c r="E778" s="334">
        <v>360437000</v>
      </c>
      <c r="F778" s="335">
        <v>36018233</v>
      </c>
      <c r="G778" s="326"/>
      <c r="H778" s="83"/>
      <c r="I778" s="83"/>
      <c r="J778" s="327"/>
      <c r="K778" s="83"/>
      <c r="L778" s="83"/>
      <c r="M778" s="83"/>
      <c r="N778" s="328"/>
      <c r="O778" s="83"/>
      <c r="P778" s="83"/>
      <c r="Q778" s="83"/>
      <c r="R778" s="83"/>
      <c r="S778" s="83"/>
      <c r="T778" s="83"/>
      <c r="U778" s="83"/>
      <c r="V778" s="83"/>
      <c r="W778" s="83"/>
      <c r="X778" s="83"/>
      <c r="Y778" s="83"/>
      <c r="Z778" s="83"/>
      <c r="AA778" s="83"/>
      <c r="AB778" s="83"/>
      <c r="AC778" s="83"/>
      <c r="AD778" s="83"/>
      <c r="AE778" s="83"/>
      <c r="AF778" s="83"/>
      <c r="AG778" s="83"/>
      <c r="AH778" s="83"/>
    </row>
    <row r="779" spans="1:34" ht="69.75" customHeight="1" x14ac:dyDescent="0.25">
      <c r="A779" s="829"/>
      <c r="B779" s="731"/>
      <c r="C779" s="731"/>
      <c r="D779" s="329" t="s">
        <v>674</v>
      </c>
      <c r="E779" s="336">
        <v>1275635000</v>
      </c>
      <c r="F779" s="335">
        <v>51932101</v>
      </c>
      <c r="G779" s="332"/>
      <c r="H779" s="83"/>
      <c r="I779" s="83"/>
      <c r="J779" s="327"/>
      <c r="K779" s="83"/>
      <c r="L779" s="83"/>
      <c r="M779" s="83"/>
      <c r="N779" s="328"/>
      <c r="O779" s="83"/>
      <c r="P779" s="83"/>
      <c r="Q779" s="83"/>
      <c r="R779" s="83"/>
      <c r="S779" s="83"/>
      <c r="T779" s="83"/>
      <c r="U779" s="83"/>
      <c r="V779" s="83"/>
      <c r="W779" s="83"/>
      <c r="X779" s="83"/>
      <c r="Y779" s="83"/>
      <c r="Z779" s="83"/>
      <c r="AA779" s="83"/>
      <c r="AB779" s="83"/>
      <c r="AC779" s="83"/>
      <c r="AD779" s="83"/>
      <c r="AE779" s="83"/>
      <c r="AF779" s="83"/>
      <c r="AG779" s="83"/>
      <c r="AH779" s="83"/>
    </row>
    <row r="780" spans="1:34" ht="69.75" customHeight="1" x14ac:dyDescent="0.25">
      <c r="A780" s="829"/>
      <c r="B780" s="30" t="s">
        <v>747</v>
      </c>
      <c r="C780" s="30" t="s">
        <v>748</v>
      </c>
      <c r="D780" s="329" t="s">
        <v>926</v>
      </c>
      <c r="E780" s="334">
        <v>370000000</v>
      </c>
      <c r="F780" s="335">
        <v>42960134</v>
      </c>
      <c r="G780" s="326"/>
      <c r="H780" s="83"/>
      <c r="I780" s="83"/>
      <c r="J780" s="327"/>
      <c r="K780" s="83"/>
      <c r="L780" s="83"/>
      <c r="M780" s="83"/>
      <c r="N780" s="328"/>
      <c r="O780" s="83"/>
      <c r="P780" s="83"/>
      <c r="Q780" s="83"/>
      <c r="R780" s="83"/>
      <c r="S780" s="83"/>
      <c r="T780" s="83"/>
      <c r="U780" s="83"/>
      <c r="V780" s="83"/>
      <c r="W780" s="83"/>
      <c r="X780" s="83"/>
      <c r="Y780" s="83"/>
      <c r="Z780" s="83"/>
      <c r="AA780" s="83"/>
      <c r="AB780" s="83"/>
      <c r="AC780" s="83"/>
      <c r="AD780" s="83"/>
      <c r="AE780" s="83"/>
      <c r="AF780" s="83"/>
      <c r="AG780" s="83"/>
      <c r="AH780" s="83"/>
    </row>
    <row r="781" spans="1:34" ht="69.75" customHeight="1" x14ac:dyDescent="0.25">
      <c r="A781" s="823"/>
      <c r="B781" s="30" t="s">
        <v>751</v>
      </c>
      <c r="C781" s="30" t="s">
        <v>752</v>
      </c>
      <c r="D781" s="329" t="s">
        <v>370</v>
      </c>
      <c r="E781" s="334">
        <v>783421000</v>
      </c>
      <c r="F781" s="334">
        <v>55533102</v>
      </c>
      <c r="G781" s="326"/>
      <c r="H781" s="83"/>
      <c r="I781" s="83"/>
      <c r="J781" s="327"/>
      <c r="K781" s="83"/>
      <c r="L781" s="83"/>
      <c r="M781" s="83"/>
      <c r="N781" s="328"/>
      <c r="O781" s="83"/>
      <c r="P781" s="83"/>
      <c r="Q781" s="83"/>
      <c r="R781" s="83"/>
      <c r="S781" s="83"/>
      <c r="T781" s="83"/>
      <c r="U781" s="83"/>
      <c r="V781" s="83"/>
      <c r="W781" s="83"/>
      <c r="X781" s="83"/>
      <c r="Y781" s="83"/>
      <c r="Z781" s="83"/>
      <c r="AA781" s="83"/>
      <c r="AB781" s="83"/>
      <c r="AC781" s="83"/>
      <c r="AD781" s="83"/>
      <c r="AE781" s="83"/>
      <c r="AF781" s="83"/>
      <c r="AG781" s="83"/>
      <c r="AH781" s="83"/>
    </row>
    <row r="782" spans="1:34" ht="69.75" customHeight="1" x14ac:dyDescent="0.25">
      <c r="A782" s="874" t="s">
        <v>719</v>
      </c>
      <c r="B782" s="878" t="s">
        <v>739</v>
      </c>
      <c r="C782" s="878" t="s">
        <v>740</v>
      </c>
      <c r="D782" s="324" t="s">
        <v>339</v>
      </c>
      <c r="E782" s="334">
        <v>825557000</v>
      </c>
      <c r="F782" s="334">
        <v>131258567</v>
      </c>
      <c r="G782" s="326"/>
      <c r="H782" s="83"/>
      <c r="I782" s="83"/>
      <c r="J782" s="327"/>
      <c r="K782" s="83"/>
      <c r="L782" s="83"/>
      <c r="M782" s="83"/>
      <c r="N782" s="328"/>
      <c r="O782" s="83"/>
      <c r="P782" s="83"/>
      <c r="Q782" s="83"/>
      <c r="R782" s="83"/>
      <c r="S782" s="83"/>
      <c r="T782" s="83"/>
      <c r="U782" s="83"/>
      <c r="V782" s="83"/>
      <c r="W782" s="83"/>
      <c r="X782" s="83"/>
      <c r="Y782" s="83"/>
      <c r="Z782" s="83"/>
      <c r="AA782" s="83"/>
      <c r="AB782" s="83"/>
      <c r="AC782" s="83"/>
      <c r="AD782" s="83"/>
      <c r="AE782" s="83"/>
      <c r="AF782" s="83"/>
      <c r="AG782" s="83"/>
      <c r="AH782" s="83"/>
    </row>
    <row r="783" spans="1:34" ht="69.75" customHeight="1" x14ac:dyDescent="0.25">
      <c r="A783" s="829"/>
      <c r="B783" s="710"/>
      <c r="C783" s="710"/>
      <c r="D783" s="324" t="s">
        <v>349</v>
      </c>
      <c r="E783" s="334">
        <v>180497000</v>
      </c>
      <c r="F783" s="334">
        <v>23808600</v>
      </c>
      <c r="G783" s="326"/>
      <c r="H783" s="83"/>
      <c r="I783" s="83"/>
      <c r="J783" s="327"/>
      <c r="K783" s="83"/>
      <c r="L783" s="83"/>
      <c r="M783" s="83"/>
      <c r="N783" s="328"/>
      <c r="O783" s="83"/>
      <c r="P783" s="83"/>
      <c r="Q783" s="83"/>
      <c r="R783" s="83"/>
      <c r="S783" s="83"/>
      <c r="T783" s="83"/>
      <c r="U783" s="83"/>
      <c r="V783" s="83"/>
      <c r="W783" s="83"/>
      <c r="X783" s="83"/>
      <c r="Y783" s="83"/>
      <c r="Z783" s="83"/>
      <c r="AA783" s="83"/>
      <c r="AB783" s="83"/>
      <c r="AC783" s="83"/>
      <c r="AD783" s="83"/>
      <c r="AE783" s="83"/>
      <c r="AF783" s="83"/>
      <c r="AG783" s="83"/>
      <c r="AH783" s="83"/>
    </row>
    <row r="784" spans="1:34" ht="69.75" customHeight="1" x14ac:dyDescent="0.25">
      <c r="A784" s="829"/>
      <c r="B784" s="731"/>
      <c r="C784" s="731"/>
      <c r="D784" s="324" t="s">
        <v>351</v>
      </c>
      <c r="E784" s="334">
        <v>33110000</v>
      </c>
      <c r="F784" s="334">
        <v>8829333</v>
      </c>
      <c r="G784" s="326"/>
      <c r="H784" s="83"/>
      <c r="I784" s="83"/>
      <c r="J784" s="327"/>
      <c r="K784" s="83"/>
      <c r="L784" s="83"/>
      <c r="M784" s="83"/>
      <c r="N784" s="328"/>
      <c r="O784" s="83"/>
      <c r="P784" s="83"/>
      <c r="Q784" s="83"/>
      <c r="R784" s="83"/>
      <c r="S784" s="83"/>
      <c r="T784" s="83"/>
      <c r="U784" s="83"/>
      <c r="V784" s="83"/>
      <c r="W784" s="83"/>
      <c r="X784" s="83"/>
      <c r="Y784" s="83"/>
      <c r="Z784" s="83"/>
      <c r="AA784" s="83"/>
      <c r="AB784" s="83"/>
      <c r="AC784" s="83"/>
      <c r="AD784" s="83"/>
      <c r="AE784" s="83"/>
      <c r="AF784" s="83"/>
      <c r="AG784" s="83"/>
      <c r="AH784" s="83"/>
    </row>
    <row r="785" spans="1:34" ht="69.75" customHeight="1" x14ac:dyDescent="0.25">
      <c r="A785" s="829"/>
      <c r="B785" s="749" t="s">
        <v>743</v>
      </c>
      <c r="C785" s="749" t="s">
        <v>744</v>
      </c>
      <c r="D785" s="329" t="s">
        <v>354</v>
      </c>
      <c r="E785" s="334">
        <v>86086000</v>
      </c>
      <c r="F785" s="334">
        <v>20347600</v>
      </c>
      <c r="G785" s="326"/>
      <c r="H785" s="83"/>
      <c r="I785" s="83"/>
      <c r="J785" s="327"/>
      <c r="K785" s="83"/>
      <c r="L785" s="83"/>
      <c r="M785" s="83"/>
      <c r="N785" s="328"/>
      <c r="O785" s="83"/>
      <c r="P785" s="83"/>
      <c r="Q785" s="83"/>
      <c r="R785" s="83"/>
      <c r="S785" s="83"/>
      <c r="T785" s="83"/>
      <c r="U785" s="83"/>
      <c r="V785" s="83"/>
      <c r="W785" s="83"/>
      <c r="X785" s="83"/>
      <c r="Y785" s="83"/>
      <c r="Z785" s="83"/>
      <c r="AA785" s="83"/>
      <c r="AB785" s="83"/>
      <c r="AC785" s="83"/>
      <c r="AD785" s="83"/>
      <c r="AE785" s="83"/>
      <c r="AF785" s="83"/>
      <c r="AG785" s="83"/>
      <c r="AH785" s="83"/>
    </row>
    <row r="786" spans="1:34" ht="69.75" customHeight="1" x14ac:dyDescent="0.25">
      <c r="A786" s="829"/>
      <c r="B786" s="710"/>
      <c r="C786" s="710"/>
      <c r="D786" s="329" t="s">
        <v>924</v>
      </c>
      <c r="E786" s="334">
        <v>930550000</v>
      </c>
      <c r="F786" s="334">
        <v>143126966</v>
      </c>
      <c r="G786" s="326"/>
      <c r="H786" s="83"/>
      <c r="I786" s="83"/>
      <c r="J786" s="327"/>
      <c r="K786" s="83"/>
      <c r="L786" s="83"/>
      <c r="M786" s="83"/>
      <c r="N786" s="328"/>
      <c r="O786" s="83"/>
      <c r="P786" s="83"/>
      <c r="Q786" s="83"/>
      <c r="R786" s="83"/>
      <c r="S786" s="83"/>
      <c r="T786" s="83"/>
      <c r="U786" s="83"/>
      <c r="V786" s="83"/>
      <c r="W786" s="83"/>
      <c r="X786" s="83"/>
      <c r="Y786" s="83"/>
      <c r="Z786" s="83"/>
      <c r="AA786" s="83"/>
      <c r="AB786" s="83"/>
      <c r="AC786" s="83"/>
      <c r="AD786" s="83"/>
      <c r="AE786" s="83"/>
      <c r="AF786" s="83"/>
      <c r="AG786" s="83"/>
      <c r="AH786" s="83"/>
    </row>
    <row r="787" spans="1:34" ht="69.75" customHeight="1" x14ac:dyDescent="0.25">
      <c r="A787" s="829"/>
      <c r="B787" s="710"/>
      <c r="C787" s="710"/>
      <c r="D787" s="329" t="s">
        <v>925</v>
      </c>
      <c r="E787" s="334">
        <v>360437000</v>
      </c>
      <c r="F787" s="334">
        <v>64609233</v>
      </c>
      <c r="G787" s="326"/>
      <c r="H787" s="83"/>
      <c r="I787" s="83"/>
      <c r="J787" s="327"/>
      <c r="K787" s="83"/>
      <c r="L787" s="83"/>
      <c r="M787" s="83"/>
      <c r="N787" s="328"/>
      <c r="O787" s="83"/>
      <c r="P787" s="83"/>
      <c r="Q787" s="83"/>
      <c r="R787" s="83"/>
      <c r="S787" s="83"/>
      <c r="T787" s="83"/>
      <c r="U787" s="83"/>
      <c r="V787" s="83"/>
      <c r="W787" s="83"/>
      <c r="X787" s="83"/>
      <c r="Y787" s="83"/>
      <c r="Z787" s="83"/>
      <c r="AA787" s="83"/>
      <c r="AB787" s="83"/>
      <c r="AC787" s="83"/>
      <c r="AD787" s="83"/>
      <c r="AE787" s="83"/>
      <c r="AF787" s="83"/>
      <c r="AG787" s="83"/>
      <c r="AH787" s="83"/>
    </row>
    <row r="788" spans="1:34" ht="69.75" customHeight="1" x14ac:dyDescent="0.25">
      <c r="A788" s="829"/>
      <c r="B788" s="731"/>
      <c r="C788" s="731"/>
      <c r="D788" s="329" t="s">
        <v>674</v>
      </c>
      <c r="E788" s="336">
        <v>1275635000</v>
      </c>
      <c r="F788" s="334">
        <v>93733901</v>
      </c>
      <c r="G788" s="332"/>
      <c r="H788" s="83"/>
      <c r="I788" s="83"/>
      <c r="J788" s="327"/>
      <c r="K788" s="83"/>
      <c r="L788" s="83"/>
      <c r="M788" s="83"/>
      <c r="N788" s="328"/>
      <c r="O788" s="83"/>
      <c r="P788" s="83"/>
      <c r="Q788" s="83"/>
      <c r="R788" s="83"/>
      <c r="S788" s="83"/>
      <c r="T788" s="83"/>
      <c r="U788" s="83"/>
      <c r="V788" s="83"/>
      <c r="W788" s="83"/>
      <c r="X788" s="83"/>
      <c r="Y788" s="83"/>
      <c r="Z788" s="83"/>
      <c r="AA788" s="83"/>
      <c r="AB788" s="83"/>
      <c r="AC788" s="83"/>
      <c r="AD788" s="83"/>
      <c r="AE788" s="83"/>
      <c r="AF788" s="83"/>
      <c r="AG788" s="83"/>
      <c r="AH788" s="83"/>
    </row>
    <row r="789" spans="1:34" ht="69.75" customHeight="1" x14ac:dyDescent="0.25">
      <c r="A789" s="829"/>
      <c r="B789" s="30" t="s">
        <v>747</v>
      </c>
      <c r="C789" s="30" t="s">
        <v>748</v>
      </c>
      <c r="D789" s="329" t="s">
        <v>926</v>
      </c>
      <c r="E789" s="334">
        <v>370000000</v>
      </c>
      <c r="F789" s="334">
        <v>76171134</v>
      </c>
      <c r="G789" s="326"/>
      <c r="H789" s="83"/>
      <c r="I789" s="83"/>
      <c r="J789" s="327"/>
      <c r="K789" s="83"/>
      <c r="L789" s="83"/>
      <c r="M789" s="83"/>
      <c r="N789" s="328"/>
      <c r="O789" s="83"/>
      <c r="P789" s="83"/>
      <c r="Q789" s="83"/>
      <c r="R789" s="83"/>
      <c r="S789" s="83"/>
      <c r="T789" s="83"/>
      <c r="U789" s="83"/>
      <c r="V789" s="83"/>
      <c r="W789" s="83"/>
      <c r="X789" s="83"/>
      <c r="Y789" s="83"/>
      <c r="Z789" s="83"/>
      <c r="AA789" s="83"/>
      <c r="AB789" s="83"/>
      <c r="AC789" s="83"/>
      <c r="AD789" s="83"/>
      <c r="AE789" s="83"/>
      <c r="AF789" s="83"/>
      <c r="AG789" s="83"/>
      <c r="AH789" s="83"/>
    </row>
    <row r="790" spans="1:34" ht="69.75" customHeight="1" x14ac:dyDescent="0.25">
      <c r="A790" s="823"/>
      <c r="B790" s="30" t="s">
        <v>751</v>
      </c>
      <c r="C790" s="30" t="s">
        <v>752</v>
      </c>
      <c r="D790" s="329" t="s">
        <v>370</v>
      </c>
      <c r="E790" s="334">
        <v>783421000</v>
      </c>
      <c r="F790" s="334">
        <v>96783912</v>
      </c>
      <c r="G790" s="326"/>
      <c r="H790" s="83"/>
      <c r="I790" s="83"/>
      <c r="J790" s="327"/>
      <c r="K790" s="83"/>
      <c r="L790" s="83"/>
      <c r="M790" s="83"/>
      <c r="N790" s="328"/>
      <c r="O790" s="83"/>
      <c r="P790" s="83"/>
      <c r="Q790" s="83"/>
      <c r="R790" s="83"/>
      <c r="S790" s="83"/>
      <c r="T790" s="83"/>
      <c r="U790" s="83"/>
      <c r="V790" s="83"/>
      <c r="W790" s="83"/>
      <c r="X790" s="83"/>
      <c r="Y790" s="83"/>
      <c r="Z790" s="83"/>
      <c r="AA790" s="83"/>
      <c r="AB790" s="83"/>
      <c r="AC790" s="83"/>
      <c r="AD790" s="83"/>
      <c r="AE790" s="83"/>
      <c r="AF790" s="83"/>
      <c r="AG790" s="83"/>
      <c r="AH790" s="83"/>
    </row>
    <row r="791" spans="1:34" ht="69.75" customHeight="1" x14ac:dyDescent="0.25">
      <c r="A791" s="874" t="s">
        <v>720</v>
      </c>
      <c r="B791" s="878" t="s">
        <v>739</v>
      </c>
      <c r="C791" s="878" t="s">
        <v>740</v>
      </c>
      <c r="D791" s="324" t="s">
        <v>339</v>
      </c>
      <c r="E791" s="334">
        <v>825557000</v>
      </c>
      <c r="F791" s="334">
        <v>255374459.30402738</v>
      </c>
      <c r="G791" s="326"/>
      <c r="H791" s="83"/>
      <c r="I791" s="83"/>
      <c r="J791" s="327"/>
      <c r="K791" s="83"/>
      <c r="L791" s="83"/>
      <c r="M791" s="83"/>
      <c r="N791" s="328"/>
      <c r="O791" s="83"/>
      <c r="P791" s="83"/>
      <c r="Q791" s="83"/>
      <c r="R791" s="83"/>
      <c r="S791" s="83"/>
      <c r="T791" s="83"/>
      <c r="U791" s="83"/>
      <c r="V791" s="83"/>
      <c r="W791" s="83"/>
      <c r="X791" s="83"/>
      <c r="Y791" s="83"/>
      <c r="Z791" s="83"/>
      <c r="AA791" s="83"/>
      <c r="AB791" s="83"/>
      <c r="AC791" s="83"/>
      <c r="AD791" s="83"/>
      <c r="AE791" s="83"/>
      <c r="AF791" s="83"/>
      <c r="AG791" s="83"/>
      <c r="AH791" s="83"/>
    </row>
    <row r="792" spans="1:34" ht="69.75" customHeight="1" x14ac:dyDescent="0.25">
      <c r="A792" s="829"/>
      <c r="B792" s="710"/>
      <c r="C792" s="710"/>
      <c r="D792" s="324" t="s">
        <v>349</v>
      </c>
      <c r="E792" s="334">
        <v>180497000</v>
      </c>
      <c r="F792" s="334">
        <v>37035600</v>
      </c>
      <c r="G792" s="326"/>
      <c r="H792" s="83"/>
      <c r="I792" s="83"/>
      <c r="J792" s="327"/>
      <c r="K792" s="83"/>
      <c r="L792" s="83"/>
      <c r="M792" s="83"/>
      <c r="N792" s="328"/>
      <c r="O792" s="83"/>
      <c r="P792" s="83"/>
      <c r="Q792" s="83"/>
      <c r="R792" s="83"/>
      <c r="S792" s="83"/>
      <c r="T792" s="83"/>
      <c r="U792" s="83"/>
      <c r="V792" s="83"/>
      <c r="W792" s="83"/>
      <c r="X792" s="83"/>
      <c r="Y792" s="83"/>
      <c r="Z792" s="83"/>
      <c r="AA792" s="83"/>
      <c r="AB792" s="83"/>
      <c r="AC792" s="83"/>
      <c r="AD792" s="83"/>
      <c r="AE792" s="83"/>
      <c r="AF792" s="83"/>
      <c r="AG792" s="83"/>
      <c r="AH792" s="83"/>
    </row>
    <row r="793" spans="1:34" ht="69.75" customHeight="1" x14ac:dyDescent="0.25">
      <c r="A793" s="829"/>
      <c r="B793" s="731"/>
      <c r="C793" s="731"/>
      <c r="D793" s="324" t="s">
        <v>351</v>
      </c>
      <c r="E793" s="334">
        <v>33110000</v>
      </c>
      <c r="F793" s="334">
        <v>11839333</v>
      </c>
      <c r="G793" s="326"/>
      <c r="H793" s="83"/>
      <c r="I793" s="83"/>
      <c r="J793" s="327"/>
      <c r="K793" s="83"/>
      <c r="L793" s="83"/>
      <c r="M793" s="83"/>
      <c r="N793" s="328"/>
      <c r="O793" s="83"/>
      <c r="P793" s="83"/>
      <c r="Q793" s="83"/>
      <c r="R793" s="83"/>
      <c r="S793" s="83"/>
      <c r="T793" s="83"/>
      <c r="U793" s="83"/>
      <c r="V793" s="83"/>
      <c r="W793" s="83"/>
      <c r="X793" s="83"/>
      <c r="Y793" s="83"/>
      <c r="Z793" s="83"/>
      <c r="AA793" s="83"/>
      <c r="AB793" s="83"/>
      <c r="AC793" s="83"/>
      <c r="AD793" s="83"/>
      <c r="AE793" s="83"/>
      <c r="AF793" s="83"/>
      <c r="AG793" s="83"/>
      <c r="AH793" s="83"/>
    </row>
    <row r="794" spans="1:34" ht="69.75" customHeight="1" x14ac:dyDescent="0.25">
      <c r="A794" s="829"/>
      <c r="B794" s="749" t="s">
        <v>743</v>
      </c>
      <c r="C794" s="749" t="s">
        <v>744</v>
      </c>
      <c r="D794" s="329" t="s">
        <v>354</v>
      </c>
      <c r="E794" s="334">
        <v>86086000</v>
      </c>
      <c r="F794" s="334">
        <v>28173600</v>
      </c>
      <c r="G794" s="326"/>
      <c r="H794" s="83"/>
      <c r="I794" s="83"/>
      <c r="J794" s="327"/>
      <c r="K794" s="83"/>
      <c r="L794" s="83"/>
      <c r="M794" s="83"/>
      <c r="N794" s="328"/>
      <c r="O794" s="83"/>
      <c r="P794" s="83"/>
      <c r="Q794" s="83"/>
      <c r="R794" s="83"/>
      <c r="S794" s="83"/>
      <c r="T794" s="83"/>
      <c r="U794" s="83"/>
      <c r="V794" s="83"/>
      <c r="W794" s="83"/>
      <c r="X794" s="83"/>
      <c r="Y794" s="83"/>
      <c r="Z794" s="83"/>
      <c r="AA794" s="83"/>
      <c r="AB794" s="83"/>
      <c r="AC794" s="83"/>
      <c r="AD794" s="83"/>
      <c r="AE794" s="83"/>
      <c r="AF794" s="83"/>
      <c r="AG794" s="83"/>
      <c r="AH794" s="83"/>
    </row>
    <row r="795" spans="1:34" ht="69.75" customHeight="1" x14ac:dyDescent="0.25">
      <c r="A795" s="829"/>
      <c r="B795" s="710"/>
      <c r="C795" s="710"/>
      <c r="D795" s="329" t="s">
        <v>924</v>
      </c>
      <c r="E795" s="334">
        <v>930550000</v>
      </c>
      <c r="F795" s="334">
        <v>197383966</v>
      </c>
      <c r="G795" s="326"/>
      <c r="H795" s="83"/>
      <c r="I795" s="83"/>
      <c r="J795" s="327"/>
      <c r="K795" s="83"/>
      <c r="L795" s="83"/>
      <c r="M795" s="83"/>
      <c r="N795" s="328"/>
      <c r="O795" s="83"/>
      <c r="P795" s="83"/>
      <c r="Q795" s="83"/>
      <c r="R795" s="83"/>
      <c r="S795" s="83"/>
      <c r="T795" s="83"/>
      <c r="U795" s="83"/>
      <c r="V795" s="83"/>
      <c r="W795" s="83"/>
      <c r="X795" s="83"/>
      <c r="Y795" s="83"/>
      <c r="Z795" s="83"/>
      <c r="AA795" s="83"/>
      <c r="AB795" s="83"/>
      <c r="AC795" s="83"/>
      <c r="AD795" s="83"/>
      <c r="AE795" s="83"/>
      <c r="AF795" s="83"/>
      <c r="AG795" s="83"/>
      <c r="AH795" s="83"/>
    </row>
    <row r="796" spans="1:34" ht="69.75" customHeight="1" x14ac:dyDescent="0.25">
      <c r="A796" s="829"/>
      <c r="B796" s="710"/>
      <c r="C796" s="710"/>
      <c r="D796" s="329" t="s">
        <v>925</v>
      </c>
      <c r="E796" s="334">
        <v>360437000</v>
      </c>
      <c r="F796" s="334">
        <v>93200233</v>
      </c>
      <c r="G796" s="326"/>
      <c r="H796" s="83"/>
      <c r="I796" s="83"/>
      <c r="J796" s="327"/>
      <c r="K796" s="83"/>
      <c r="L796" s="83"/>
      <c r="M796" s="83"/>
      <c r="N796" s="328"/>
      <c r="O796" s="83"/>
      <c r="P796" s="83"/>
      <c r="Q796" s="83"/>
      <c r="R796" s="83"/>
      <c r="S796" s="83"/>
      <c r="T796" s="83"/>
      <c r="U796" s="83"/>
      <c r="V796" s="83"/>
      <c r="W796" s="83"/>
      <c r="X796" s="83"/>
      <c r="Y796" s="83"/>
      <c r="Z796" s="83"/>
      <c r="AA796" s="83"/>
      <c r="AB796" s="83"/>
      <c r="AC796" s="83"/>
      <c r="AD796" s="83"/>
      <c r="AE796" s="83"/>
      <c r="AF796" s="83"/>
      <c r="AG796" s="83"/>
      <c r="AH796" s="83"/>
    </row>
    <row r="797" spans="1:34" ht="69.75" customHeight="1" x14ac:dyDescent="0.25">
      <c r="A797" s="829"/>
      <c r="B797" s="731"/>
      <c r="C797" s="731"/>
      <c r="D797" s="329" t="s">
        <v>674</v>
      </c>
      <c r="E797" s="336">
        <v>1275635000</v>
      </c>
      <c r="F797" s="334">
        <v>137100901</v>
      </c>
      <c r="G797" s="332"/>
      <c r="H797" s="83"/>
      <c r="I797" s="83"/>
      <c r="J797" s="327"/>
      <c r="K797" s="83"/>
      <c r="L797" s="83"/>
      <c r="M797" s="83"/>
      <c r="N797" s="328"/>
      <c r="O797" s="83"/>
      <c r="P797" s="83"/>
      <c r="Q797" s="83"/>
      <c r="R797" s="83"/>
      <c r="S797" s="83"/>
      <c r="T797" s="83"/>
      <c r="U797" s="83"/>
      <c r="V797" s="83"/>
      <c r="W797" s="83"/>
      <c r="X797" s="83"/>
      <c r="Y797" s="83"/>
      <c r="Z797" s="83"/>
      <c r="AA797" s="83"/>
      <c r="AB797" s="83"/>
      <c r="AC797" s="83"/>
      <c r="AD797" s="83"/>
      <c r="AE797" s="83"/>
      <c r="AF797" s="83"/>
      <c r="AG797" s="83"/>
      <c r="AH797" s="83"/>
    </row>
    <row r="798" spans="1:34" ht="69.75" customHeight="1" x14ac:dyDescent="0.25">
      <c r="A798" s="829"/>
      <c r="B798" s="30" t="s">
        <v>747</v>
      </c>
      <c r="C798" s="30" t="s">
        <v>748</v>
      </c>
      <c r="D798" s="329" t="s">
        <v>926</v>
      </c>
      <c r="E798" s="334">
        <v>370000000</v>
      </c>
      <c r="F798" s="334">
        <v>109382134</v>
      </c>
      <c r="G798" s="326"/>
      <c r="H798" s="83"/>
      <c r="I798" s="83"/>
      <c r="J798" s="327"/>
      <c r="K798" s="83"/>
      <c r="L798" s="83"/>
      <c r="M798" s="83"/>
      <c r="N798" s="328"/>
      <c r="O798" s="83"/>
      <c r="P798" s="83"/>
      <c r="Q798" s="83"/>
      <c r="R798" s="83"/>
      <c r="S798" s="83"/>
      <c r="T798" s="83"/>
      <c r="U798" s="83"/>
      <c r="V798" s="83"/>
      <c r="W798" s="83"/>
      <c r="X798" s="83"/>
      <c r="Y798" s="83"/>
      <c r="Z798" s="83"/>
      <c r="AA798" s="83"/>
      <c r="AB798" s="83"/>
      <c r="AC798" s="83"/>
      <c r="AD798" s="83"/>
      <c r="AE798" s="83"/>
      <c r="AF798" s="83"/>
      <c r="AG798" s="83"/>
      <c r="AH798" s="83"/>
    </row>
    <row r="799" spans="1:34" ht="69.75" customHeight="1" x14ac:dyDescent="0.25">
      <c r="A799" s="823"/>
      <c r="B799" s="30" t="s">
        <v>751</v>
      </c>
      <c r="C799" s="30" t="s">
        <v>752</v>
      </c>
      <c r="D799" s="329" t="s">
        <v>370</v>
      </c>
      <c r="E799" s="334">
        <v>783421000</v>
      </c>
      <c r="F799" s="334">
        <v>206290673.69597262</v>
      </c>
      <c r="G799" s="326"/>
      <c r="H799" s="83"/>
      <c r="I799" s="83"/>
      <c r="J799" s="327"/>
      <c r="K799" s="83"/>
      <c r="L799" s="83"/>
      <c r="M799" s="83"/>
      <c r="N799" s="328"/>
      <c r="O799" s="83"/>
      <c r="P799" s="83"/>
      <c r="Q799" s="83"/>
      <c r="R799" s="83"/>
      <c r="S799" s="83"/>
      <c r="T799" s="83"/>
      <c r="U799" s="83"/>
      <c r="V799" s="83"/>
      <c r="W799" s="83"/>
      <c r="X799" s="83"/>
      <c r="Y799" s="83"/>
      <c r="Z799" s="83"/>
      <c r="AA799" s="83"/>
      <c r="AB799" s="83"/>
      <c r="AC799" s="83"/>
      <c r="AD799" s="83"/>
      <c r="AE799" s="83"/>
      <c r="AF799" s="83"/>
      <c r="AG799" s="83"/>
      <c r="AH799" s="83"/>
    </row>
    <row r="800" spans="1:34" ht="69.75" customHeight="1" x14ac:dyDescent="0.25">
      <c r="A800" s="893" t="s">
        <v>707</v>
      </c>
      <c r="B800" s="898" t="s">
        <v>739</v>
      </c>
      <c r="C800" s="898" t="s">
        <v>740</v>
      </c>
      <c r="D800" s="342" t="s">
        <v>339</v>
      </c>
      <c r="E800" s="335">
        <v>863387067</v>
      </c>
      <c r="F800" s="335">
        <v>333382824.32269967</v>
      </c>
      <c r="G800" s="343"/>
      <c r="H800" s="75"/>
      <c r="I800" s="75"/>
      <c r="J800" s="344"/>
      <c r="K800" s="75"/>
      <c r="L800" s="75"/>
      <c r="M800" s="75"/>
      <c r="N800" s="49"/>
      <c r="O800" s="75"/>
      <c r="P800" s="75"/>
      <c r="Q800" s="75"/>
      <c r="R800" s="75"/>
      <c r="S800" s="75"/>
      <c r="T800" s="75"/>
      <c r="U800" s="75"/>
      <c r="V800" s="75"/>
      <c r="W800" s="75"/>
      <c r="X800" s="75"/>
      <c r="Y800" s="75"/>
      <c r="Z800" s="75"/>
      <c r="AA800" s="75"/>
      <c r="AB800" s="75"/>
      <c r="AC800" s="75"/>
      <c r="AD800" s="75"/>
      <c r="AE800" s="75"/>
      <c r="AF800" s="75"/>
      <c r="AG800" s="75"/>
      <c r="AH800" s="75"/>
    </row>
    <row r="801" spans="1:34" ht="69.75" customHeight="1" x14ac:dyDescent="0.25">
      <c r="A801" s="829"/>
      <c r="B801" s="710"/>
      <c r="C801" s="710"/>
      <c r="D801" s="342" t="s">
        <v>349</v>
      </c>
      <c r="E801" s="335">
        <v>171679000</v>
      </c>
      <c r="F801" s="335">
        <v>50262600</v>
      </c>
      <c r="G801" s="343"/>
      <c r="H801" s="75"/>
      <c r="I801" s="75"/>
      <c r="J801" s="344"/>
      <c r="K801" s="75"/>
      <c r="L801" s="75"/>
      <c r="M801" s="75"/>
      <c r="N801" s="49"/>
      <c r="O801" s="75"/>
      <c r="P801" s="75"/>
      <c r="Q801" s="75"/>
      <c r="R801" s="75"/>
      <c r="S801" s="75"/>
      <c r="T801" s="75"/>
      <c r="U801" s="75"/>
      <c r="V801" s="75"/>
      <c r="W801" s="75"/>
      <c r="X801" s="75"/>
      <c r="Y801" s="75"/>
      <c r="Z801" s="75"/>
      <c r="AA801" s="75"/>
      <c r="AB801" s="75"/>
      <c r="AC801" s="75"/>
      <c r="AD801" s="75"/>
      <c r="AE801" s="75"/>
      <c r="AF801" s="75"/>
      <c r="AG801" s="75"/>
      <c r="AH801" s="75"/>
    </row>
    <row r="802" spans="1:34" ht="69.75" customHeight="1" x14ac:dyDescent="0.25">
      <c r="A802" s="829"/>
      <c r="B802" s="731"/>
      <c r="C802" s="731"/>
      <c r="D802" s="342" t="s">
        <v>351</v>
      </c>
      <c r="E802" s="335">
        <v>36120000</v>
      </c>
      <c r="F802" s="335">
        <v>14849333</v>
      </c>
      <c r="G802" s="343"/>
      <c r="H802" s="75"/>
      <c r="I802" s="75"/>
      <c r="J802" s="344"/>
      <c r="K802" s="75"/>
      <c r="L802" s="75"/>
      <c r="M802" s="75"/>
      <c r="N802" s="49"/>
      <c r="O802" s="75"/>
      <c r="P802" s="75"/>
      <c r="Q802" s="75"/>
      <c r="R802" s="75"/>
      <c r="S802" s="75"/>
      <c r="T802" s="75"/>
      <c r="U802" s="75"/>
      <c r="V802" s="75"/>
      <c r="W802" s="75"/>
      <c r="X802" s="75"/>
      <c r="Y802" s="75"/>
      <c r="Z802" s="75"/>
      <c r="AA802" s="75"/>
      <c r="AB802" s="75"/>
      <c r="AC802" s="75"/>
      <c r="AD802" s="75"/>
      <c r="AE802" s="75"/>
      <c r="AF802" s="75"/>
      <c r="AG802" s="75"/>
      <c r="AH802" s="75"/>
    </row>
    <row r="803" spans="1:34" ht="69.75" customHeight="1" x14ac:dyDescent="0.25">
      <c r="A803" s="829"/>
      <c r="B803" s="902" t="s">
        <v>743</v>
      </c>
      <c r="C803" s="902" t="s">
        <v>744</v>
      </c>
      <c r="D803" s="345" t="s">
        <v>354</v>
      </c>
      <c r="E803" s="335">
        <v>88955534</v>
      </c>
      <c r="F803" s="335">
        <v>35999600</v>
      </c>
      <c r="G803" s="343"/>
      <c r="H803" s="75"/>
      <c r="I803" s="75"/>
      <c r="J803" s="344"/>
      <c r="K803" s="75"/>
      <c r="L803" s="75"/>
      <c r="M803" s="75"/>
      <c r="N803" s="49"/>
      <c r="O803" s="75"/>
      <c r="P803" s="75"/>
      <c r="Q803" s="75"/>
      <c r="R803" s="75"/>
      <c r="S803" s="75"/>
      <c r="T803" s="75"/>
      <c r="U803" s="75"/>
      <c r="V803" s="75"/>
      <c r="W803" s="75"/>
      <c r="X803" s="75"/>
      <c r="Y803" s="75"/>
      <c r="Z803" s="75"/>
      <c r="AA803" s="75"/>
      <c r="AB803" s="75"/>
      <c r="AC803" s="75"/>
      <c r="AD803" s="75"/>
      <c r="AE803" s="75"/>
      <c r="AF803" s="75"/>
      <c r="AG803" s="75"/>
      <c r="AH803" s="75"/>
    </row>
    <row r="804" spans="1:34" ht="69.75" customHeight="1" x14ac:dyDescent="0.25">
      <c r="A804" s="829"/>
      <c r="B804" s="710"/>
      <c r="C804" s="710"/>
      <c r="D804" s="345" t="s">
        <v>924</v>
      </c>
      <c r="E804" s="335">
        <v>953560100</v>
      </c>
      <c r="F804" s="335">
        <v>260458966</v>
      </c>
      <c r="G804" s="343"/>
      <c r="H804" s="75"/>
      <c r="I804" s="75"/>
      <c r="J804" s="344"/>
      <c r="K804" s="75"/>
      <c r="L804" s="75"/>
      <c r="M804" s="75"/>
      <c r="N804" s="49"/>
      <c r="O804" s="75"/>
      <c r="P804" s="75"/>
      <c r="Q804" s="75"/>
      <c r="R804" s="75"/>
      <c r="S804" s="75"/>
      <c r="T804" s="75"/>
      <c r="U804" s="75"/>
      <c r="V804" s="75"/>
      <c r="W804" s="75"/>
      <c r="X804" s="75"/>
      <c r="Y804" s="75"/>
      <c r="Z804" s="75"/>
      <c r="AA804" s="75"/>
      <c r="AB804" s="75"/>
      <c r="AC804" s="75"/>
      <c r="AD804" s="75"/>
      <c r="AE804" s="75"/>
      <c r="AF804" s="75"/>
      <c r="AG804" s="75"/>
      <c r="AH804" s="75"/>
    </row>
    <row r="805" spans="1:34" ht="69.75" customHeight="1" x14ac:dyDescent="0.25">
      <c r="A805" s="829"/>
      <c r="B805" s="710"/>
      <c r="C805" s="710"/>
      <c r="D805" s="345" t="s">
        <v>925</v>
      </c>
      <c r="E805" s="335">
        <v>332536800</v>
      </c>
      <c r="F805" s="335">
        <v>127636233</v>
      </c>
      <c r="G805" s="343"/>
      <c r="H805" s="75"/>
      <c r="I805" s="75"/>
      <c r="J805" s="344"/>
      <c r="K805" s="75"/>
      <c r="L805" s="75"/>
      <c r="M805" s="75"/>
      <c r="N805" s="49"/>
      <c r="O805" s="75"/>
      <c r="P805" s="75"/>
      <c r="Q805" s="75"/>
      <c r="R805" s="75"/>
      <c r="S805" s="75"/>
      <c r="T805" s="75"/>
      <c r="U805" s="75"/>
      <c r="V805" s="75"/>
      <c r="W805" s="75"/>
      <c r="X805" s="75"/>
      <c r="Y805" s="75"/>
      <c r="Z805" s="75"/>
      <c r="AA805" s="75"/>
      <c r="AB805" s="75"/>
      <c r="AC805" s="75"/>
      <c r="AD805" s="75"/>
      <c r="AE805" s="75"/>
      <c r="AF805" s="75"/>
      <c r="AG805" s="75"/>
      <c r="AH805" s="75"/>
    </row>
    <row r="806" spans="1:34" ht="69.75" customHeight="1" x14ac:dyDescent="0.25">
      <c r="A806" s="829"/>
      <c r="B806" s="731"/>
      <c r="C806" s="731"/>
      <c r="D806" s="345" t="s">
        <v>674</v>
      </c>
      <c r="E806" s="346">
        <v>1245633499</v>
      </c>
      <c r="F806" s="335">
        <v>180467901</v>
      </c>
      <c r="G806" s="347"/>
      <c r="H806" s="75"/>
      <c r="I806" s="75"/>
      <c r="J806" s="344"/>
      <c r="K806" s="75"/>
      <c r="L806" s="75"/>
      <c r="M806" s="75"/>
      <c r="N806" s="49"/>
      <c r="O806" s="75"/>
      <c r="P806" s="75"/>
      <c r="Q806" s="75"/>
      <c r="R806" s="75"/>
      <c r="S806" s="75"/>
      <c r="T806" s="75"/>
      <c r="U806" s="75"/>
      <c r="V806" s="75"/>
      <c r="W806" s="75"/>
      <c r="X806" s="75"/>
      <c r="Y806" s="75"/>
      <c r="Z806" s="75"/>
      <c r="AA806" s="75"/>
      <c r="AB806" s="75"/>
      <c r="AC806" s="75"/>
      <c r="AD806" s="75"/>
      <c r="AE806" s="75"/>
      <c r="AF806" s="75"/>
      <c r="AG806" s="75"/>
      <c r="AH806" s="75"/>
    </row>
    <row r="807" spans="1:34" ht="69.75" customHeight="1" x14ac:dyDescent="0.25">
      <c r="A807" s="829"/>
      <c r="B807" s="293" t="s">
        <v>747</v>
      </c>
      <c r="C807" s="293" t="s">
        <v>748</v>
      </c>
      <c r="D807" s="345" t="s">
        <v>926</v>
      </c>
      <c r="E807" s="335">
        <v>370000000</v>
      </c>
      <c r="F807" s="335">
        <v>142593134</v>
      </c>
      <c r="G807" s="343"/>
      <c r="H807" s="75"/>
      <c r="I807" s="75"/>
      <c r="J807" s="344"/>
      <c r="K807" s="75"/>
      <c r="L807" s="75"/>
      <c r="M807" s="75"/>
      <c r="N807" s="49"/>
      <c r="O807" s="75"/>
      <c r="P807" s="75"/>
      <c r="Q807" s="75"/>
      <c r="R807" s="75"/>
      <c r="S807" s="75"/>
      <c r="T807" s="75"/>
      <c r="U807" s="75"/>
      <c r="V807" s="75"/>
      <c r="W807" s="75"/>
      <c r="X807" s="75"/>
      <c r="Y807" s="75"/>
      <c r="Z807" s="75"/>
      <c r="AA807" s="75"/>
      <c r="AB807" s="75"/>
      <c r="AC807" s="75"/>
      <c r="AD807" s="75"/>
      <c r="AE807" s="75"/>
      <c r="AF807" s="75"/>
      <c r="AG807" s="75"/>
      <c r="AH807" s="75"/>
    </row>
    <row r="808" spans="1:34" ht="69.75" customHeight="1" x14ac:dyDescent="0.25">
      <c r="A808" s="823"/>
      <c r="B808" s="293" t="s">
        <v>751</v>
      </c>
      <c r="C808" s="293" t="s">
        <v>752</v>
      </c>
      <c r="D808" s="345" t="s">
        <v>370</v>
      </c>
      <c r="E808" s="335">
        <v>783421000</v>
      </c>
      <c r="F808" s="335">
        <v>281964378.67730033</v>
      </c>
      <c r="G808" s="343"/>
      <c r="H808" s="75"/>
      <c r="I808" s="75"/>
      <c r="J808" s="344"/>
      <c r="K808" s="75"/>
      <c r="L808" s="75"/>
      <c r="M808" s="75"/>
      <c r="N808" s="49"/>
      <c r="O808" s="75"/>
      <c r="P808" s="75"/>
      <c r="Q808" s="75"/>
      <c r="R808" s="75"/>
      <c r="S808" s="75"/>
      <c r="T808" s="75"/>
      <c r="U808" s="75"/>
      <c r="V808" s="75"/>
      <c r="W808" s="75"/>
      <c r="X808" s="75"/>
      <c r="Y808" s="75"/>
      <c r="Z808" s="75"/>
      <c r="AA808" s="75"/>
      <c r="AB808" s="75"/>
      <c r="AC808" s="75"/>
      <c r="AD808" s="75"/>
      <c r="AE808" s="75"/>
      <c r="AF808" s="75"/>
      <c r="AG808" s="75"/>
      <c r="AH808" s="75"/>
    </row>
    <row r="809" spans="1:34" ht="69.75" customHeight="1" x14ac:dyDescent="0.25">
      <c r="A809" s="874" t="s">
        <v>708</v>
      </c>
      <c r="B809" s="878" t="s">
        <v>739</v>
      </c>
      <c r="C809" s="878" t="s">
        <v>740</v>
      </c>
      <c r="D809" s="324" t="s">
        <v>339</v>
      </c>
      <c r="E809" s="334">
        <v>863387067</v>
      </c>
      <c r="F809" s="334">
        <v>427631998</v>
      </c>
      <c r="G809" s="326"/>
      <c r="H809" s="83"/>
      <c r="I809" s="83"/>
      <c r="J809" s="327"/>
      <c r="K809" s="83"/>
      <c r="L809" s="83"/>
      <c r="M809" s="83"/>
      <c r="N809" s="328"/>
      <c r="O809" s="83"/>
      <c r="P809" s="83"/>
      <c r="Q809" s="83"/>
      <c r="R809" s="83"/>
      <c r="S809" s="83"/>
      <c r="T809" s="83"/>
      <c r="U809" s="83"/>
      <c r="V809" s="83"/>
      <c r="W809" s="83"/>
      <c r="X809" s="83"/>
      <c r="Y809" s="83"/>
      <c r="Z809" s="83"/>
      <c r="AA809" s="83"/>
      <c r="AB809" s="83"/>
      <c r="AC809" s="83"/>
      <c r="AD809" s="83"/>
      <c r="AE809" s="83"/>
      <c r="AF809" s="83"/>
      <c r="AG809" s="83"/>
      <c r="AH809" s="83"/>
    </row>
    <row r="810" spans="1:34" ht="69.75" customHeight="1" x14ac:dyDescent="0.25">
      <c r="A810" s="829"/>
      <c r="B810" s="710"/>
      <c r="C810" s="710"/>
      <c r="D810" s="324" t="s">
        <v>349</v>
      </c>
      <c r="E810" s="334">
        <v>171679000</v>
      </c>
      <c r="F810" s="334">
        <v>63489600</v>
      </c>
      <c r="G810" s="326"/>
      <c r="H810" s="83"/>
      <c r="I810" s="83"/>
      <c r="J810" s="327"/>
      <c r="K810" s="83"/>
      <c r="L810" s="83"/>
      <c r="M810" s="83"/>
      <c r="N810" s="328"/>
      <c r="O810" s="83"/>
      <c r="P810" s="83"/>
      <c r="Q810" s="83"/>
      <c r="R810" s="83"/>
      <c r="S810" s="83"/>
      <c r="T810" s="83"/>
      <c r="U810" s="83"/>
      <c r="V810" s="83"/>
      <c r="W810" s="83"/>
      <c r="X810" s="83"/>
      <c r="Y810" s="83"/>
      <c r="Z810" s="83"/>
      <c r="AA810" s="83"/>
      <c r="AB810" s="83"/>
      <c r="AC810" s="83"/>
      <c r="AD810" s="83"/>
      <c r="AE810" s="83"/>
      <c r="AF810" s="83"/>
      <c r="AG810" s="83"/>
      <c r="AH810" s="83"/>
    </row>
    <row r="811" spans="1:34" ht="69.75" customHeight="1" x14ac:dyDescent="0.25">
      <c r="A811" s="829"/>
      <c r="B811" s="731"/>
      <c r="C811" s="731"/>
      <c r="D811" s="324" t="s">
        <v>351</v>
      </c>
      <c r="E811" s="334">
        <v>36120000</v>
      </c>
      <c r="F811" s="334">
        <v>17859333</v>
      </c>
      <c r="G811" s="326"/>
      <c r="H811" s="83"/>
      <c r="I811" s="83"/>
      <c r="J811" s="327"/>
      <c r="K811" s="83"/>
      <c r="L811" s="83"/>
      <c r="M811" s="83"/>
      <c r="N811" s="328"/>
      <c r="O811" s="83"/>
      <c r="P811" s="83"/>
      <c r="Q811" s="83"/>
      <c r="R811" s="83"/>
      <c r="S811" s="83"/>
      <c r="T811" s="83"/>
      <c r="U811" s="83"/>
      <c r="V811" s="83"/>
      <c r="W811" s="83"/>
      <c r="X811" s="83"/>
      <c r="Y811" s="83"/>
      <c r="Z811" s="83"/>
      <c r="AA811" s="83"/>
      <c r="AB811" s="83"/>
      <c r="AC811" s="83"/>
      <c r="AD811" s="83"/>
      <c r="AE811" s="83"/>
      <c r="AF811" s="83"/>
      <c r="AG811" s="83"/>
      <c r="AH811" s="83"/>
    </row>
    <row r="812" spans="1:34" ht="69.75" customHeight="1" x14ac:dyDescent="0.25">
      <c r="A812" s="829"/>
      <c r="B812" s="749" t="s">
        <v>743</v>
      </c>
      <c r="C812" s="749" t="s">
        <v>744</v>
      </c>
      <c r="D812" s="329" t="s">
        <v>354</v>
      </c>
      <c r="E812" s="334">
        <v>88955534</v>
      </c>
      <c r="F812" s="334">
        <v>43825600</v>
      </c>
      <c r="G812" s="326"/>
      <c r="H812" s="83"/>
      <c r="I812" s="83"/>
      <c r="J812" s="327"/>
      <c r="K812" s="83"/>
      <c r="L812" s="83"/>
      <c r="M812" s="83"/>
      <c r="N812" s="328"/>
      <c r="O812" s="83"/>
      <c r="P812" s="83"/>
      <c r="Q812" s="83"/>
      <c r="R812" s="83"/>
      <c r="S812" s="83"/>
      <c r="T812" s="83"/>
      <c r="U812" s="83"/>
      <c r="V812" s="83"/>
      <c r="W812" s="83"/>
      <c r="X812" s="83"/>
      <c r="Y812" s="83"/>
      <c r="Z812" s="83"/>
      <c r="AA812" s="83"/>
      <c r="AB812" s="83"/>
      <c r="AC812" s="83"/>
      <c r="AD812" s="83"/>
      <c r="AE812" s="83"/>
      <c r="AF812" s="83"/>
      <c r="AG812" s="83"/>
      <c r="AH812" s="83"/>
    </row>
    <row r="813" spans="1:34" ht="69.75" customHeight="1" x14ac:dyDescent="0.25">
      <c r="A813" s="829"/>
      <c r="B813" s="710"/>
      <c r="C813" s="710"/>
      <c r="D813" s="329" t="s">
        <v>924</v>
      </c>
      <c r="E813" s="334">
        <v>953560100</v>
      </c>
      <c r="F813" s="334">
        <v>313165166</v>
      </c>
      <c r="G813" s="326"/>
      <c r="H813" s="83"/>
      <c r="I813" s="83"/>
      <c r="J813" s="327"/>
      <c r="K813" s="83"/>
      <c r="L813" s="83"/>
      <c r="M813" s="83"/>
      <c r="N813" s="328"/>
      <c r="O813" s="83"/>
      <c r="P813" s="83"/>
      <c r="Q813" s="83"/>
      <c r="R813" s="83"/>
      <c r="S813" s="83"/>
      <c r="T813" s="83"/>
      <c r="U813" s="83"/>
      <c r="V813" s="83"/>
      <c r="W813" s="83"/>
      <c r="X813" s="83"/>
      <c r="Y813" s="83"/>
      <c r="Z813" s="83"/>
      <c r="AA813" s="83"/>
      <c r="AB813" s="83"/>
      <c r="AC813" s="83"/>
      <c r="AD813" s="83"/>
      <c r="AE813" s="83"/>
      <c r="AF813" s="83"/>
      <c r="AG813" s="83"/>
      <c r="AH813" s="83"/>
    </row>
    <row r="814" spans="1:34" ht="69.75" customHeight="1" x14ac:dyDescent="0.25">
      <c r="A814" s="829"/>
      <c r="B814" s="710"/>
      <c r="C814" s="710"/>
      <c r="D814" s="329" t="s">
        <v>925</v>
      </c>
      <c r="E814" s="334">
        <v>332536800</v>
      </c>
      <c r="F814" s="334">
        <v>163241233</v>
      </c>
      <c r="G814" s="326"/>
      <c r="H814" s="83"/>
      <c r="I814" s="83"/>
      <c r="J814" s="327"/>
      <c r="K814" s="83"/>
      <c r="L814" s="83"/>
      <c r="M814" s="83"/>
      <c r="N814" s="328"/>
      <c r="O814" s="83"/>
      <c r="P814" s="83"/>
      <c r="Q814" s="83"/>
      <c r="R814" s="83"/>
      <c r="S814" s="83"/>
      <c r="T814" s="83"/>
      <c r="U814" s="83"/>
      <c r="V814" s="83"/>
      <c r="W814" s="83"/>
      <c r="X814" s="83"/>
      <c r="Y814" s="83"/>
      <c r="Z814" s="83"/>
      <c r="AA814" s="83"/>
      <c r="AB814" s="83"/>
      <c r="AC814" s="83"/>
      <c r="AD814" s="83"/>
      <c r="AE814" s="83"/>
      <c r="AF814" s="83"/>
      <c r="AG814" s="83"/>
      <c r="AH814" s="83"/>
    </row>
    <row r="815" spans="1:34" ht="69.75" customHeight="1" x14ac:dyDescent="0.25">
      <c r="A815" s="829"/>
      <c r="B815" s="731"/>
      <c r="C815" s="731"/>
      <c r="D815" s="329" t="s">
        <v>674</v>
      </c>
      <c r="E815" s="336">
        <v>1245633499</v>
      </c>
      <c r="F815" s="334">
        <v>223834901</v>
      </c>
      <c r="G815" s="332"/>
      <c r="H815" s="83"/>
      <c r="I815" s="83"/>
      <c r="J815" s="327"/>
      <c r="K815" s="83"/>
      <c r="L815" s="83"/>
      <c r="M815" s="83"/>
      <c r="N815" s="328"/>
      <c r="O815" s="83"/>
      <c r="P815" s="83"/>
      <c r="Q815" s="83"/>
      <c r="R815" s="83"/>
      <c r="S815" s="83"/>
      <c r="T815" s="83"/>
      <c r="U815" s="83"/>
      <c r="V815" s="83"/>
      <c r="W815" s="83"/>
      <c r="X815" s="83"/>
      <c r="Y815" s="83"/>
      <c r="Z815" s="83"/>
      <c r="AA815" s="83"/>
      <c r="AB815" s="83"/>
      <c r="AC815" s="83"/>
      <c r="AD815" s="83"/>
      <c r="AE815" s="83"/>
      <c r="AF815" s="83"/>
      <c r="AG815" s="83"/>
      <c r="AH815" s="83"/>
    </row>
    <row r="816" spans="1:34" ht="69.75" customHeight="1" x14ac:dyDescent="0.25">
      <c r="A816" s="829"/>
      <c r="B816" s="30" t="s">
        <v>747</v>
      </c>
      <c r="C816" s="30" t="s">
        <v>748</v>
      </c>
      <c r="D816" s="329" t="s">
        <v>926</v>
      </c>
      <c r="E816" s="334">
        <v>370000000</v>
      </c>
      <c r="F816" s="334">
        <v>175804134</v>
      </c>
      <c r="G816" s="326"/>
      <c r="H816" s="83"/>
      <c r="I816" s="83"/>
      <c r="J816" s="327"/>
      <c r="K816" s="83"/>
      <c r="L816" s="83"/>
      <c r="M816" s="83"/>
      <c r="N816" s="328"/>
      <c r="O816" s="83"/>
      <c r="P816" s="83"/>
      <c r="Q816" s="83"/>
      <c r="R816" s="83"/>
      <c r="S816" s="83"/>
      <c r="T816" s="83"/>
      <c r="U816" s="83"/>
      <c r="V816" s="83"/>
      <c r="W816" s="83"/>
      <c r="X816" s="83"/>
      <c r="Y816" s="83"/>
      <c r="Z816" s="83"/>
      <c r="AA816" s="83"/>
      <c r="AB816" s="83"/>
      <c r="AC816" s="83"/>
      <c r="AD816" s="83"/>
      <c r="AE816" s="83"/>
      <c r="AF816" s="83"/>
      <c r="AG816" s="83"/>
      <c r="AH816" s="83"/>
    </row>
    <row r="817" spans="1:34" ht="69.75" customHeight="1" x14ac:dyDescent="0.25">
      <c r="A817" s="823"/>
      <c r="B817" s="30" t="s">
        <v>751</v>
      </c>
      <c r="C817" s="30" t="s">
        <v>752</v>
      </c>
      <c r="D817" s="329" t="s">
        <v>370</v>
      </c>
      <c r="E817" s="334">
        <v>783421000</v>
      </c>
      <c r="F817" s="334">
        <v>360609235</v>
      </c>
      <c r="G817" s="326"/>
      <c r="H817" s="83"/>
      <c r="I817" s="83"/>
      <c r="J817" s="327"/>
      <c r="K817" s="83"/>
      <c r="L817" s="83"/>
      <c r="M817" s="83"/>
      <c r="N817" s="328"/>
      <c r="O817" s="83"/>
      <c r="P817" s="83"/>
      <c r="Q817" s="83"/>
      <c r="R817" s="83"/>
      <c r="S817" s="83"/>
      <c r="T817" s="83"/>
      <c r="U817" s="83"/>
      <c r="V817" s="83"/>
      <c r="W817" s="83"/>
      <c r="X817" s="83"/>
      <c r="Y817" s="83"/>
      <c r="Z817" s="83"/>
      <c r="AA817" s="83"/>
      <c r="AB817" s="83"/>
      <c r="AC817" s="83"/>
      <c r="AD817" s="83"/>
      <c r="AE817" s="83"/>
      <c r="AF817" s="83"/>
      <c r="AG817" s="83"/>
      <c r="AH817" s="83"/>
    </row>
    <row r="818" spans="1:34" ht="69.75" customHeight="1" x14ac:dyDescent="0.25">
      <c r="A818" s="893" t="s">
        <v>709</v>
      </c>
      <c r="B818" s="898" t="s">
        <v>739</v>
      </c>
      <c r="C818" s="898" t="s">
        <v>740</v>
      </c>
      <c r="D818" s="342" t="s">
        <v>339</v>
      </c>
      <c r="E818" s="335">
        <v>863387067</v>
      </c>
      <c r="F818" s="335">
        <v>511259965</v>
      </c>
      <c r="G818" s="343"/>
      <c r="H818" s="75"/>
      <c r="I818" s="75"/>
      <c r="J818" s="344"/>
      <c r="K818" s="75"/>
      <c r="L818" s="75"/>
      <c r="M818" s="75"/>
      <c r="N818" s="49"/>
      <c r="O818" s="75"/>
      <c r="P818" s="75"/>
      <c r="Q818" s="75"/>
      <c r="R818" s="75"/>
      <c r="S818" s="75"/>
      <c r="T818" s="75"/>
      <c r="U818" s="75"/>
      <c r="V818" s="75"/>
      <c r="W818" s="75"/>
      <c r="X818" s="75"/>
      <c r="Y818" s="75"/>
      <c r="Z818" s="75"/>
      <c r="AA818" s="75"/>
      <c r="AB818" s="75"/>
      <c r="AC818" s="75"/>
      <c r="AD818" s="75"/>
      <c r="AE818" s="75"/>
      <c r="AF818" s="75"/>
      <c r="AG818" s="75"/>
      <c r="AH818" s="75"/>
    </row>
    <row r="819" spans="1:34" ht="69.75" customHeight="1" x14ac:dyDescent="0.25">
      <c r="A819" s="829"/>
      <c r="B819" s="710"/>
      <c r="C819" s="710"/>
      <c r="D819" s="342" t="s">
        <v>349</v>
      </c>
      <c r="E819" s="335">
        <v>171679000</v>
      </c>
      <c r="F819" s="335">
        <v>72307600</v>
      </c>
      <c r="G819" s="343"/>
      <c r="H819" s="75"/>
      <c r="I819" s="75"/>
      <c r="J819" s="344"/>
      <c r="K819" s="75"/>
      <c r="L819" s="75"/>
      <c r="M819" s="75"/>
      <c r="N819" s="49"/>
      <c r="O819" s="75"/>
      <c r="P819" s="75"/>
      <c r="Q819" s="75"/>
      <c r="R819" s="75"/>
      <c r="S819" s="75"/>
      <c r="T819" s="75"/>
      <c r="U819" s="75"/>
      <c r="V819" s="75"/>
      <c r="W819" s="75"/>
      <c r="X819" s="75"/>
      <c r="Y819" s="75"/>
      <c r="Z819" s="75"/>
      <c r="AA819" s="75"/>
      <c r="AB819" s="75"/>
      <c r="AC819" s="75"/>
      <c r="AD819" s="75"/>
      <c r="AE819" s="75"/>
      <c r="AF819" s="75"/>
      <c r="AG819" s="75"/>
      <c r="AH819" s="75"/>
    </row>
    <row r="820" spans="1:34" ht="69.75" customHeight="1" x14ac:dyDescent="0.25">
      <c r="A820" s="829"/>
      <c r="B820" s="731"/>
      <c r="C820" s="731"/>
      <c r="D820" s="342" t="s">
        <v>351</v>
      </c>
      <c r="E820" s="335">
        <v>36120000</v>
      </c>
      <c r="F820" s="335">
        <v>20869333</v>
      </c>
      <c r="G820" s="343"/>
      <c r="H820" s="75"/>
      <c r="I820" s="75"/>
      <c r="J820" s="344"/>
      <c r="K820" s="75"/>
      <c r="L820" s="75"/>
      <c r="M820" s="75"/>
      <c r="N820" s="49"/>
      <c r="O820" s="75"/>
      <c r="P820" s="75"/>
      <c r="Q820" s="75"/>
      <c r="R820" s="75"/>
      <c r="S820" s="75"/>
      <c r="T820" s="75"/>
      <c r="U820" s="75"/>
      <c r="V820" s="75"/>
      <c r="W820" s="75"/>
      <c r="X820" s="75"/>
      <c r="Y820" s="75"/>
      <c r="Z820" s="75"/>
      <c r="AA820" s="75"/>
      <c r="AB820" s="75"/>
      <c r="AC820" s="75"/>
      <c r="AD820" s="75"/>
      <c r="AE820" s="75"/>
      <c r="AF820" s="75"/>
      <c r="AG820" s="75"/>
      <c r="AH820" s="75"/>
    </row>
    <row r="821" spans="1:34" ht="69.75" customHeight="1" x14ac:dyDescent="0.25">
      <c r="A821" s="829"/>
      <c r="B821" s="902" t="s">
        <v>743</v>
      </c>
      <c r="C821" s="902" t="s">
        <v>744</v>
      </c>
      <c r="D821" s="345" t="s">
        <v>354</v>
      </c>
      <c r="E821" s="335">
        <v>88955534</v>
      </c>
      <c r="F821" s="335">
        <v>51651600</v>
      </c>
      <c r="G821" s="343"/>
      <c r="H821" s="75"/>
      <c r="I821" s="75"/>
      <c r="J821" s="344"/>
      <c r="K821" s="75"/>
      <c r="L821" s="75"/>
      <c r="M821" s="75"/>
      <c r="N821" s="49"/>
      <c r="O821" s="75"/>
      <c r="P821" s="75"/>
      <c r="Q821" s="75"/>
      <c r="R821" s="75"/>
      <c r="S821" s="75"/>
      <c r="T821" s="75"/>
      <c r="U821" s="75"/>
      <c r="V821" s="75"/>
      <c r="W821" s="75"/>
      <c r="X821" s="75"/>
      <c r="Y821" s="75"/>
      <c r="Z821" s="75"/>
      <c r="AA821" s="75"/>
      <c r="AB821" s="75"/>
      <c r="AC821" s="75"/>
      <c r="AD821" s="75"/>
      <c r="AE821" s="75"/>
      <c r="AF821" s="75"/>
      <c r="AG821" s="75"/>
      <c r="AH821" s="75"/>
    </row>
    <row r="822" spans="1:34" ht="69.75" customHeight="1" x14ac:dyDescent="0.25">
      <c r="A822" s="829"/>
      <c r="B822" s="710"/>
      <c r="C822" s="710"/>
      <c r="D822" s="345" t="s">
        <v>924</v>
      </c>
      <c r="E822" s="335">
        <v>953560100</v>
      </c>
      <c r="F822" s="335">
        <v>378522267</v>
      </c>
      <c r="G822" s="343"/>
      <c r="H822" s="75"/>
      <c r="I822" s="75"/>
      <c r="J822" s="344"/>
      <c r="K822" s="75"/>
      <c r="L822" s="75"/>
      <c r="M822" s="75"/>
      <c r="N822" s="49"/>
      <c r="O822" s="75"/>
      <c r="P822" s="75"/>
      <c r="Q822" s="75"/>
      <c r="R822" s="75"/>
      <c r="S822" s="75"/>
      <c r="T822" s="75"/>
      <c r="U822" s="75"/>
      <c r="V822" s="75"/>
      <c r="W822" s="75"/>
      <c r="X822" s="75"/>
      <c r="Y822" s="75"/>
      <c r="Z822" s="75"/>
      <c r="AA822" s="75"/>
      <c r="AB822" s="75"/>
      <c r="AC822" s="75"/>
      <c r="AD822" s="75"/>
      <c r="AE822" s="75"/>
      <c r="AF822" s="75"/>
      <c r="AG822" s="75"/>
      <c r="AH822" s="75"/>
    </row>
    <row r="823" spans="1:34" ht="69.75" customHeight="1" x14ac:dyDescent="0.25">
      <c r="A823" s="829"/>
      <c r="B823" s="710"/>
      <c r="C823" s="710"/>
      <c r="D823" s="345" t="s">
        <v>925</v>
      </c>
      <c r="E823" s="335">
        <v>332536800</v>
      </c>
      <c r="F823" s="335">
        <v>191832233</v>
      </c>
      <c r="G823" s="343"/>
      <c r="H823" s="75"/>
      <c r="I823" s="75"/>
      <c r="J823" s="344"/>
      <c r="K823" s="75"/>
      <c r="L823" s="75"/>
      <c r="M823" s="75"/>
      <c r="N823" s="49"/>
      <c r="O823" s="75"/>
      <c r="P823" s="75"/>
      <c r="Q823" s="75"/>
      <c r="R823" s="75"/>
      <c r="S823" s="75"/>
      <c r="T823" s="75"/>
      <c r="U823" s="75"/>
      <c r="V823" s="75"/>
      <c r="W823" s="75"/>
      <c r="X823" s="75"/>
      <c r="Y823" s="75"/>
      <c r="Z823" s="75"/>
      <c r="AA823" s="75"/>
      <c r="AB823" s="75"/>
      <c r="AC823" s="75"/>
      <c r="AD823" s="75"/>
      <c r="AE823" s="75"/>
      <c r="AF823" s="75"/>
      <c r="AG823" s="75"/>
      <c r="AH823" s="75"/>
    </row>
    <row r="824" spans="1:34" ht="69.75" customHeight="1" x14ac:dyDescent="0.25">
      <c r="A824" s="829"/>
      <c r="B824" s="731"/>
      <c r="C824" s="731"/>
      <c r="D824" s="345" t="s">
        <v>674</v>
      </c>
      <c r="E824" s="346">
        <v>1245633499</v>
      </c>
      <c r="F824" s="335">
        <v>267201901</v>
      </c>
      <c r="G824" s="347"/>
      <c r="H824" s="75"/>
      <c r="I824" s="75"/>
      <c r="J824" s="344"/>
      <c r="K824" s="75"/>
      <c r="L824" s="75"/>
      <c r="M824" s="75"/>
      <c r="N824" s="49"/>
      <c r="O824" s="75"/>
      <c r="P824" s="75"/>
      <c r="Q824" s="75"/>
      <c r="R824" s="75"/>
      <c r="S824" s="75"/>
      <c r="T824" s="75"/>
      <c r="U824" s="75"/>
      <c r="V824" s="75"/>
      <c r="W824" s="75"/>
      <c r="X824" s="75"/>
      <c r="Y824" s="75"/>
      <c r="Z824" s="75"/>
      <c r="AA824" s="75"/>
      <c r="AB824" s="75"/>
      <c r="AC824" s="75"/>
      <c r="AD824" s="75"/>
      <c r="AE824" s="75"/>
      <c r="AF824" s="75"/>
      <c r="AG824" s="75"/>
      <c r="AH824" s="75"/>
    </row>
    <row r="825" spans="1:34" ht="69.75" customHeight="1" x14ac:dyDescent="0.25">
      <c r="A825" s="829"/>
      <c r="B825" s="293" t="s">
        <v>747</v>
      </c>
      <c r="C825" s="293" t="s">
        <v>748</v>
      </c>
      <c r="D825" s="345" t="s">
        <v>926</v>
      </c>
      <c r="E825" s="335">
        <v>370000000</v>
      </c>
      <c r="F825" s="335">
        <v>209015134</v>
      </c>
      <c r="G825" s="343"/>
      <c r="H825" s="75"/>
      <c r="I825" s="75"/>
      <c r="J825" s="344"/>
      <c r="K825" s="75"/>
      <c r="L825" s="75"/>
      <c r="M825" s="75"/>
      <c r="N825" s="49"/>
      <c r="O825" s="75"/>
      <c r="P825" s="75"/>
      <c r="Q825" s="75"/>
      <c r="R825" s="75"/>
      <c r="S825" s="75"/>
      <c r="T825" s="75"/>
      <c r="U825" s="75"/>
      <c r="V825" s="75"/>
      <c r="W825" s="75"/>
      <c r="X825" s="75"/>
      <c r="Y825" s="75"/>
      <c r="Z825" s="75"/>
      <c r="AA825" s="75"/>
      <c r="AB825" s="75"/>
      <c r="AC825" s="75"/>
      <c r="AD825" s="75"/>
      <c r="AE825" s="75"/>
      <c r="AF825" s="75"/>
      <c r="AG825" s="75"/>
      <c r="AH825" s="75"/>
    </row>
    <row r="826" spans="1:34" ht="69.75" customHeight="1" x14ac:dyDescent="0.25">
      <c r="A826" s="823"/>
      <c r="B826" s="293" t="s">
        <v>751</v>
      </c>
      <c r="C826" s="293" t="s">
        <v>752</v>
      </c>
      <c r="D826" s="345" t="s">
        <v>370</v>
      </c>
      <c r="E826" s="335">
        <v>783421000</v>
      </c>
      <c r="F826" s="335">
        <v>435656651</v>
      </c>
      <c r="G826" s="343"/>
      <c r="H826" s="75"/>
      <c r="I826" s="75"/>
      <c r="J826" s="344"/>
      <c r="K826" s="75"/>
      <c r="L826" s="75"/>
      <c r="M826" s="75"/>
      <c r="N826" s="49"/>
      <c r="O826" s="75"/>
      <c r="P826" s="75"/>
      <c r="Q826" s="75"/>
      <c r="R826" s="75"/>
      <c r="S826" s="75"/>
      <c r="T826" s="75"/>
      <c r="U826" s="75"/>
      <c r="V826" s="75"/>
      <c r="W826" s="75"/>
      <c r="X826" s="75"/>
      <c r="Y826" s="75"/>
      <c r="Z826" s="75"/>
      <c r="AA826" s="75"/>
      <c r="AB826" s="75"/>
      <c r="AC826" s="75"/>
      <c r="AD826" s="75"/>
      <c r="AE826" s="75"/>
      <c r="AF826" s="75"/>
      <c r="AG826" s="75"/>
      <c r="AH826" s="75"/>
    </row>
    <row r="827" spans="1:34" ht="69.75" customHeight="1" x14ac:dyDescent="0.25">
      <c r="A827" s="893" t="s">
        <v>710</v>
      </c>
      <c r="B827" s="898" t="s">
        <v>739</v>
      </c>
      <c r="C827" s="898" t="s">
        <v>740</v>
      </c>
      <c r="D827" s="342" t="s">
        <v>339</v>
      </c>
      <c r="E827" s="335">
        <v>863387067</v>
      </c>
      <c r="F827" s="335">
        <v>574189351</v>
      </c>
      <c r="G827" s="343"/>
      <c r="H827" s="75"/>
      <c r="I827" s="75"/>
      <c r="J827" s="344"/>
      <c r="K827" s="75"/>
      <c r="L827" s="75"/>
      <c r="M827" s="75"/>
      <c r="N827" s="49"/>
      <c r="O827" s="75"/>
      <c r="P827" s="75"/>
      <c r="Q827" s="75"/>
      <c r="R827" s="75"/>
      <c r="S827" s="75"/>
      <c r="T827" s="75"/>
      <c r="U827" s="75"/>
      <c r="V827" s="75"/>
      <c r="W827" s="75"/>
      <c r="X827" s="75"/>
      <c r="Y827" s="75"/>
      <c r="Z827" s="75"/>
      <c r="AA827" s="75"/>
      <c r="AB827" s="75"/>
      <c r="AC827" s="75"/>
      <c r="AD827" s="75"/>
      <c r="AE827" s="75"/>
      <c r="AF827" s="75"/>
      <c r="AG827" s="75"/>
      <c r="AH827" s="75"/>
    </row>
    <row r="828" spans="1:34" ht="69.75" customHeight="1" x14ac:dyDescent="0.25">
      <c r="A828" s="829"/>
      <c r="B828" s="710"/>
      <c r="C828" s="710"/>
      <c r="D828" s="342" t="s">
        <v>349</v>
      </c>
      <c r="E828" s="335">
        <v>171679000</v>
      </c>
      <c r="F828" s="335">
        <v>85534600</v>
      </c>
      <c r="G828" s="343"/>
      <c r="H828" s="75"/>
      <c r="I828" s="75"/>
      <c r="J828" s="344"/>
      <c r="K828" s="75"/>
      <c r="L828" s="75"/>
      <c r="M828" s="75"/>
      <c r="N828" s="49"/>
      <c r="O828" s="75"/>
      <c r="P828" s="75"/>
      <c r="Q828" s="75"/>
      <c r="R828" s="75"/>
      <c r="S828" s="75"/>
      <c r="T828" s="75"/>
      <c r="U828" s="75"/>
      <c r="V828" s="75"/>
      <c r="W828" s="75"/>
      <c r="X828" s="75"/>
      <c r="Y828" s="75"/>
      <c r="Z828" s="75"/>
      <c r="AA828" s="75"/>
      <c r="AB828" s="75"/>
      <c r="AC828" s="75"/>
      <c r="AD828" s="75"/>
      <c r="AE828" s="75"/>
      <c r="AF828" s="75"/>
      <c r="AG828" s="75"/>
      <c r="AH828" s="75"/>
    </row>
    <row r="829" spans="1:34" ht="69.75" customHeight="1" x14ac:dyDescent="0.25">
      <c r="A829" s="829"/>
      <c r="B829" s="731"/>
      <c r="C829" s="731"/>
      <c r="D829" s="342" t="s">
        <v>351</v>
      </c>
      <c r="E829" s="335">
        <v>36120000</v>
      </c>
      <c r="F829" s="335">
        <v>23879333</v>
      </c>
      <c r="G829" s="343"/>
      <c r="H829" s="75"/>
      <c r="I829" s="75"/>
      <c r="J829" s="344"/>
      <c r="K829" s="75"/>
      <c r="L829" s="75"/>
      <c r="M829" s="75"/>
      <c r="N829" s="49"/>
      <c r="O829" s="75"/>
      <c r="P829" s="75"/>
      <c r="Q829" s="75"/>
      <c r="R829" s="75"/>
      <c r="S829" s="75"/>
      <c r="T829" s="75"/>
      <c r="U829" s="75"/>
      <c r="V829" s="75"/>
      <c r="W829" s="75"/>
      <c r="X829" s="75"/>
      <c r="Y829" s="75"/>
      <c r="Z829" s="75"/>
      <c r="AA829" s="75"/>
      <c r="AB829" s="75"/>
      <c r="AC829" s="75"/>
      <c r="AD829" s="75"/>
      <c r="AE829" s="75"/>
      <c r="AF829" s="75"/>
      <c r="AG829" s="75"/>
      <c r="AH829" s="75"/>
    </row>
    <row r="830" spans="1:34" ht="69.75" customHeight="1" x14ac:dyDescent="0.25">
      <c r="A830" s="829"/>
      <c r="B830" s="902" t="s">
        <v>743</v>
      </c>
      <c r="C830" s="902" t="s">
        <v>744</v>
      </c>
      <c r="D830" s="345" t="s">
        <v>354</v>
      </c>
      <c r="E830" s="335">
        <v>88955534</v>
      </c>
      <c r="F830" s="335">
        <v>59477600</v>
      </c>
      <c r="G830" s="343"/>
      <c r="H830" s="75"/>
      <c r="I830" s="75"/>
      <c r="J830" s="344"/>
      <c r="K830" s="75"/>
      <c r="L830" s="75"/>
      <c r="M830" s="75"/>
      <c r="N830" s="49"/>
      <c r="O830" s="75"/>
      <c r="P830" s="75"/>
      <c r="Q830" s="75"/>
      <c r="R830" s="75"/>
      <c r="S830" s="75"/>
      <c r="T830" s="75"/>
      <c r="U830" s="75"/>
      <c r="V830" s="75"/>
      <c r="W830" s="75"/>
      <c r="X830" s="75"/>
      <c r="Y830" s="75"/>
      <c r="Z830" s="75"/>
      <c r="AA830" s="75"/>
      <c r="AB830" s="75"/>
      <c r="AC830" s="75"/>
      <c r="AD830" s="75"/>
      <c r="AE830" s="75"/>
      <c r="AF830" s="75"/>
      <c r="AG830" s="75"/>
      <c r="AH830" s="75"/>
    </row>
    <row r="831" spans="1:34" ht="69.75" customHeight="1" x14ac:dyDescent="0.25">
      <c r="A831" s="829"/>
      <c r="B831" s="710"/>
      <c r="C831" s="710"/>
      <c r="D831" s="345" t="s">
        <v>924</v>
      </c>
      <c r="E831" s="335">
        <v>953560100</v>
      </c>
      <c r="F831" s="335">
        <v>473953881</v>
      </c>
      <c r="G831" s="343"/>
      <c r="H831" s="75"/>
      <c r="I831" s="75"/>
      <c r="J831" s="344"/>
      <c r="K831" s="75"/>
      <c r="L831" s="75"/>
      <c r="M831" s="75"/>
      <c r="N831" s="49"/>
      <c r="O831" s="75"/>
      <c r="P831" s="75"/>
      <c r="Q831" s="75"/>
      <c r="R831" s="75"/>
      <c r="S831" s="75"/>
      <c r="T831" s="75"/>
      <c r="U831" s="75"/>
      <c r="V831" s="75"/>
      <c r="W831" s="75"/>
      <c r="X831" s="75"/>
      <c r="Y831" s="75"/>
      <c r="Z831" s="75"/>
      <c r="AA831" s="75"/>
      <c r="AB831" s="75"/>
      <c r="AC831" s="75"/>
      <c r="AD831" s="75"/>
      <c r="AE831" s="75"/>
      <c r="AF831" s="75"/>
      <c r="AG831" s="75"/>
      <c r="AH831" s="75"/>
    </row>
    <row r="832" spans="1:34" ht="69.75" customHeight="1" x14ac:dyDescent="0.25">
      <c r="A832" s="829"/>
      <c r="B832" s="710"/>
      <c r="C832" s="710"/>
      <c r="D832" s="345" t="s">
        <v>925</v>
      </c>
      <c r="E832" s="335">
        <v>335917033</v>
      </c>
      <c r="F832" s="335">
        <v>227437233</v>
      </c>
      <c r="G832" s="343"/>
      <c r="H832" s="75"/>
      <c r="I832" s="75"/>
      <c r="J832" s="344"/>
      <c r="K832" s="75"/>
      <c r="L832" s="75"/>
      <c r="M832" s="75"/>
      <c r="N832" s="49"/>
      <c r="O832" s="75"/>
      <c r="P832" s="75"/>
      <c r="Q832" s="75"/>
      <c r="R832" s="75"/>
      <c r="S832" s="75"/>
      <c r="T832" s="75"/>
      <c r="U832" s="75"/>
      <c r="V832" s="75"/>
      <c r="W832" s="75"/>
      <c r="X832" s="75"/>
      <c r="Y832" s="75"/>
      <c r="Z832" s="75"/>
      <c r="AA832" s="75"/>
      <c r="AB832" s="75"/>
      <c r="AC832" s="75"/>
      <c r="AD832" s="75"/>
      <c r="AE832" s="75"/>
      <c r="AF832" s="75"/>
      <c r="AG832" s="75"/>
      <c r="AH832" s="75"/>
    </row>
    <row r="833" spans="1:34" ht="69.75" customHeight="1" x14ac:dyDescent="0.25">
      <c r="A833" s="829"/>
      <c r="B833" s="731"/>
      <c r="C833" s="731"/>
      <c r="D833" s="345" t="s">
        <v>674</v>
      </c>
      <c r="E833" s="346">
        <v>1245633499</v>
      </c>
      <c r="F833" s="335">
        <v>392256201</v>
      </c>
      <c r="G833" s="347"/>
      <c r="H833" s="75"/>
      <c r="I833" s="75"/>
      <c r="J833" s="344"/>
      <c r="K833" s="75"/>
      <c r="L833" s="75"/>
      <c r="M833" s="75"/>
      <c r="N833" s="49"/>
      <c r="O833" s="75"/>
      <c r="P833" s="75"/>
      <c r="Q833" s="75"/>
      <c r="R833" s="75"/>
      <c r="S833" s="75"/>
      <c r="T833" s="75"/>
      <c r="U833" s="75"/>
      <c r="V833" s="75"/>
      <c r="W833" s="75"/>
      <c r="X833" s="75"/>
      <c r="Y833" s="75"/>
      <c r="Z833" s="75"/>
      <c r="AA833" s="75"/>
      <c r="AB833" s="75"/>
      <c r="AC833" s="75"/>
      <c r="AD833" s="75"/>
      <c r="AE833" s="75"/>
      <c r="AF833" s="75"/>
      <c r="AG833" s="75"/>
      <c r="AH833" s="75"/>
    </row>
    <row r="834" spans="1:34" ht="69.75" customHeight="1" x14ac:dyDescent="0.25">
      <c r="A834" s="829"/>
      <c r="B834" s="293" t="s">
        <v>747</v>
      </c>
      <c r="C834" s="293" t="s">
        <v>748</v>
      </c>
      <c r="D834" s="345" t="s">
        <v>926</v>
      </c>
      <c r="E834" s="335">
        <v>370000000</v>
      </c>
      <c r="F834" s="335">
        <v>242226134</v>
      </c>
      <c r="G834" s="343"/>
      <c r="H834" s="75"/>
      <c r="I834" s="75"/>
      <c r="J834" s="344"/>
      <c r="K834" s="75"/>
      <c r="L834" s="75"/>
      <c r="M834" s="75"/>
      <c r="N834" s="49"/>
      <c r="O834" s="75"/>
      <c r="P834" s="75"/>
      <c r="Q834" s="75"/>
      <c r="R834" s="75"/>
      <c r="S834" s="75"/>
      <c r="T834" s="75"/>
      <c r="U834" s="75"/>
      <c r="V834" s="75"/>
      <c r="W834" s="75"/>
      <c r="X834" s="75"/>
      <c r="Y834" s="75"/>
      <c r="Z834" s="75"/>
      <c r="AA834" s="75"/>
      <c r="AB834" s="75"/>
      <c r="AC834" s="75"/>
      <c r="AD834" s="75"/>
      <c r="AE834" s="75"/>
      <c r="AF834" s="75"/>
      <c r="AG834" s="75"/>
      <c r="AH834" s="75"/>
    </row>
    <row r="835" spans="1:34" ht="69.75" customHeight="1" x14ac:dyDescent="0.25">
      <c r="A835" s="823"/>
      <c r="B835" s="293" t="s">
        <v>751</v>
      </c>
      <c r="C835" s="293" t="s">
        <v>752</v>
      </c>
      <c r="D835" s="345" t="s">
        <v>370</v>
      </c>
      <c r="E835" s="335">
        <v>780040767</v>
      </c>
      <c r="F835" s="335">
        <v>487545241</v>
      </c>
      <c r="G835" s="343"/>
      <c r="H835" s="75"/>
      <c r="I835" s="75"/>
      <c r="J835" s="344"/>
      <c r="K835" s="75"/>
      <c r="L835" s="75"/>
      <c r="M835" s="75"/>
      <c r="N835" s="49"/>
      <c r="O835" s="75"/>
      <c r="P835" s="75"/>
      <c r="Q835" s="75"/>
      <c r="R835" s="75"/>
      <c r="S835" s="75"/>
      <c r="T835" s="75"/>
      <c r="U835" s="75"/>
      <c r="V835" s="75"/>
      <c r="W835" s="75"/>
      <c r="X835" s="75"/>
      <c r="Y835" s="75"/>
      <c r="Z835" s="75"/>
      <c r="AA835" s="75"/>
      <c r="AB835" s="75"/>
      <c r="AC835" s="75"/>
      <c r="AD835" s="75"/>
      <c r="AE835" s="75"/>
      <c r="AF835" s="75"/>
      <c r="AG835" s="75"/>
      <c r="AH835" s="75"/>
    </row>
    <row r="836" spans="1:34" ht="69.75" customHeight="1" x14ac:dyDescent="0.25">
      <c r="A836" s="895" t="s">
        <v>712</v>
      </c>
      <c r="B836" s="904" t="s">
        <v>739</v>
      </c>
      <c r="C836" s="904" t="s">
        <v>740</v>
      </c>
      <c r="D836" s="348" t="s">
        <v>339</v>
      </c>
      <c r="E836" s="349">
        <v>851180799</v>
      </c>
      <c r="F836" s="349">
        <v>635252692</v>
      </c>
      <c r="G836" s="350"/>
      <c r="H836" s="351"/>
      <c r="I836" s="351"/>
      <c r="J836" s="352"/>
      <c r="K836" s="351"/>
      <c r="L836" s="351"/>
      <c r="M836" s="351"/>
      <c r="N836" s="353"/>
      <c r="O836" s="351"/>
      <c r="P836" s="351"/>
      <c r="Q836" s="351"/>
      <c r="R836" s="351"/>
      <c r="S836" s="351"/>
      <c r="T836" s="351"/>
      <c r="U836" s="351"/>
      <c r="V836" s="351"/>
      <c r="W836" s="351"/>
      <c r="X836" s="351"/>
      <c r="Y836" s="351"/>
      <c r="Z836" s="351"/>
      <c r="AA836" s="351"/>
      <c r="AB836" s="351"/>
      <c r="AC836" s="351"/>
      <c r="AD836" s="351"/>
      <c r="AE836" s="351"/>
      <c r="AF836" s="351"/>
      <c r="AG836" s="351"/>
      <c r="AH836" s="351"/>
    </row>
    <row r="837" spans="1:34" ht="69.75" customHeight="1" x14ac:dyDescent="0.25">
      <c r="A837" s="829"/>
      <c r="B837" s="710"/>
      <c r="C837" s="710"/>
      <c r="D837" s="348" t="s">
        <v>349</v>
      </c>
      <c r="E837" s="349">
        <v>171679000</v>
      </c>
      <c r="F837" s="349">
        <v>98761600</v>
      </c>
      <c r="G837" s="350"/>
      <c r="H837" s="351"/>
      <c r="I837" s="351"/>
      <c r="J837" s="352"/>
      <c r="K837" s="351"/>
      <c r="L837" s="351"/>
      <c r="M837" s="351"/>
      <c r="N837" s="353"/>
      <c r="O837" s="351"/>
      <c r="P837" s="351"/>
      <c r="Q837" s="351"/>
      <c r="R837" s="351"/>
      <c r="S837" s="351"/>
      <c r="T837" s="351"/>
      <c r="U837" s="351"/>
      <c r="V837" s="351"/>
      <c r="W837" s="351"/>
      <c r="X837" s="351"/>
      <c r="Y837" s="351"/>
      <c r="Z837" s="351"/>
      <c r="AA837" s="351"/>
      <c r="AB837" s="351"/>
      <c r="AC837" s="351"/>
      <c r="AD837" s="351"/>
      <c r="AE837" s="351"/>
      <c r="AF837" s="351"/>
      <c r="AG837" s="351"/>
      <c r="AH837" s="351"/>
    </row>
    <row r="838" spans="1:34" ht="69.75" customHeight="1" x14ac:dyDescent="0.25">
      <c r="A838" s="829"/>
      <c r="B838" s="731"/>
      <c r="C838" s="731"/>
      <c r="D838" s="348" t="s">
        <v>351</v>
      </c>
      <c r="E838" s="349">
        <v>36120000</v>
      </c>
      <c r="F838" s="349">
        <v>26889333</v>
      </c>
      <c r="G838" s="350"/>
      <c r="H838" s="351"/>
      <c r="I838" s="351"/>
      <c r="J838" s="352"/>
      <c r="K838" s="351"/>
      <c r="L838" s="351"/>
      <c r="M838" s="351"/>
      <c r="N838" s="353"/>
      <c r="O838" s="351"/>
      <c r="P838" s="351"/>
      <c r="Q838" s="351"/>
      <c r="R838" s="351"/>
      <c r="S838" s="351"/>
      <c r="T838" s="351"/>
      <c r="U838" s="351"/>
      <c r="V838" s="351"/>
      <c r="W838" s="351"/>
      <c r="X838" s="351"/>
      <c r="Y838" s="351"/>
      <c r="Z838" s="351"/>
      <c r="AA838" s="351"/>
      <c r="AB838" s="351"/>
      <c r="AC838" s="351"/>
      <c r="AD838" s="351"/>
      <c r="AE838" s="351"/>
      <c r="AF838" s="351"/>
      <c r="AG838" s="351"/>
      <c r="AH838" s="351"/>
    </row>
    <row r="839" spans="1:34" ht="69.75" customHeight="1" x14ac:dyDescent="0.25">
      <c r="A839" s="829"/>
      <c r="B839" s="908" t="s">
        <v>743</v>
      </c>
      <c r="C839" s="908" t="s">
        <v>744</v>
      </c>
      <c r="D839" s="354" t="s">
        <v>354</v>
      </c>
      <c r="E839" s="349">
        <v>88955534</v>
      </c>
      <c r="F839" s="349">
        <v>67303600</v>
      </c>
      <c r="G839" s="350"/>
      <c r="H839" s="351"/>
      <c r="I839" s="351"/>
      <c r="J839" s="352"/>
      <c r="K839" s="351"/>
      <c r="L839" s="351"/>
      <c r="M839" s="351"/>
      <c r="N839" s="353"/>
      <c r="O839" s="351"/>
      <c r="P839" s="351"/>
      <c r="Q839" s="351"/>
      <c r="R839" s="351"/>
      <c r="S839" s="351"/>
      <c r="T839" s="351"/>
      <c r="U839" s="351"/>
      <c r="V839" s="351"/>
      <c r="W839" s="351"/>
      <c r="X839" s="351"/>
      <c r="Y839" s="351"/>
      <c r="Z839" s="351"/>
      <c r="AA839" s="351"/>
      <c r="AB839" s="351"/>
      <c r="AC839" s="351"/>
      <c r="AD839" s="351"/>
      <c r="AE839" s="351"/>
      <c r="AF839" s="351"/>
      <c r="AG839" s="351"/>
      <c r="AH839" s="351"/>
    </row>
    <row r="840" spans="1:34" ht="69.75" customHeight="1" x14ac:dyDescent="0.25">
      <c r="A840" s="829"/>
      <c r="B840" s="710"/>
      <c r="C840" s="710"/>
      <c r="D840" s="354" t="s">
        <v>924</v>
      </c>
      <c r="E840" s="349">
        <v>926447699</v>
      </c>
      <c r="F840" s="349">
        <v>566420681</v>
      </c>
      <c r="G840" s="350"/>
      <c r="H840" s="351"/>
      <c r="I840" s="351"/>
      <c r="J840" s="352"/>
      <c r="K840" s="351"/>
      <c r="L840" s="351"/>
      <c r="M840" s="351"/>
      <c r="N840" s="353"/>
      <c r="O840" s="351"/>
      <c r="P840" s="351"/>
      <c r="Q840" s="351"/>
      <c r="R840" s="351"/>
      <c r="S840" s="351"/>
      <c r="T840" s="351"/>
      <c r="U840" s="351"/>
      <c r="V840" s="351"/>
      <c r="W840" s="351"/>
      <c r="X840" s="351"/>
      <c r="Y840" s="351"/>
      <c r="Z840" s="351"/>
      <c r="AA840" s="351"/>
      <c r="AB840" s="351"/>
      <c r="AC840" s="351"/>
      <c r="AD840" s="351"/>
      <c r="AE840" s="351"/>
      <c r="AF840" s="351"/>
      <c r="AG840" s="351"/>
      <c r="AH840" s="351"/>
    </row>
    <row r="841" spans="1:34" ht="69.75" customHeight="1" x14ac:dyDescent="0.25">
      <c r="A841" s="829"/>
      <c r="B841" s="710"/>
      <c r="C841" s="710"/>
      <c r="D841" s="354" t="s">
        <v>925</v>
      </c>
      <c r="E841" s="349">
        <v>336945800</v>
      </c>
      <c r="F841" s="349">
        <v>259535233</v>
      </c>
      <c r="G841" s="350"/>
      <c r="H841" s="351"/>
      <c r="I841" s="351"/>
      <c r="J841" s="352"/>
      <c r="K841" s="351"/>
      <c r="L841" s="351"/>
      <c r="M841" s="351"/>
      <c r="N841" s="353"/>
      <c r="O841" s="351"/>
      <c r="P841" s="351"/>
      <c r="Q841" s="351"/>
      <c r="R841" s="351"/>
      <c r="S841" s="351"/>
      <c r="T841" s="351"/>
      <c r="U841" s="351"/>
      <c r="V841" s="351"/>
      <c r="W841" s="351"/>
      <c r="X841" s="351"/>
      <c r="Y841" s="351"/>
      <c r="Z841" s="351"/>
      <c r="AA841" s="351"/>
      <c r="AB841" s="351"/>
      <c r="AC841" s="351"/>
      <c r="AD841" s="351"/>
      <c r="AE841" s="351"/>
      <c r="AF841" s="351"/>
      <c r="AG841" s="351"/>
      <c r="AH841" s="351"/>
    </row>
    <row r="842" spans="1:34" ht="69.75" customHeight="1" x14ac:dyDescent="0.25">
      <c r="A842" s="829"/>
      <c r="B842" s="731"/>
      <c r="C842" s="731"/>
      <c r="D842" s="354" t="s">
        <v>674</v>
      </c>
      <c r="E842" s="355">
        <v>1254780000</v>
      </c>
      <c r="F842" s="349">
        <v>435623201</v>
      </c>
      <c r="G842" s="356"/>
      <c r="H842" s="351"/>
      <c r="I842" s="351"/>
      <c r="J842" s="352"/>
      <c r="K842" s="351"/>
      <c r="L842" s="351"/>
      <c r="M842" s="351"/>
      <c r="N842" s="353"/>
      <c r="O842" s="351"/>
      <c r="P842" s="351"/>
      <c r="Q842" s="351"/>
      <c r="R842" s="351"/>
      <c r="S842" s="351"/>
      <c r="T842" s="351"/>
      <c r="U842" s="351"/>
      <c r="V842" s="351"/>
      <c r="W842" s="351"/>
      <c r="X842" s="351"/>
      <c r="Y842" s="351"/>
      <c r="Z842" s="351"/>
      <c r="AA842" s="351"/>
      <c r="AB842" s="351"/>
      <c r="AC842" s="351"/>
      <c r="AD842" s="351"/>
      <c r="AE842" s="351"/>
      <c r="AF842" s="351"/>
      <c r="AG842" s="351"/>
      <c r="AH842" s="351"/>
    </row>
    <row r="843" spans="1:34" ht="69.75" customHeight="1" x14ac:dyDescent="0.25">
      <c r="A843" s="829"/>
      <c r="B843" s="305" t="s">
        <v>747</v>
      </c>
      <c r="C843" s="305" t="s">
        <v>748</v>
      </c>
      <c r="D843" s="354" t="s">
        <v>926</v>
      </c>
      <c r="E843" s="349">
        <v>389996401</v>
      </c>
      <c r="F843" s="349">
        <v>275437134</v>
      </c>
      <c r="G843" s="350"/>
      <c r="H843" s="351"/>
      <c r="I843" s="351"/>
      <c r="J843" s="352"/>
      <c r="K843" s="351"/>
      <c r="L843" s="351"/>
      <c r="M843" s="351"/>
      <c r="N843" s="353"/>
      <c r="O843" s="351"/>
      <c r="P843" s="351"/>
      <c r="Q843" s="351"/>
      <c r="R843" s="351"/>
      <c r="S843" s="351"/>
      <c r="T843" s="351"/>
      <c r="U843" s="351"/>
      <c r="V843" s="351"/>
      <c r="W843" s="351"/>
      <c r="X843" s="351"/>
      <c r="Y843" s="351"/>
      <c r="Z843" s="351"/>
      <c r="AA843" s="351"/>
      <c r="AB843" s="351"/>
      <c r="AC843" s="351"/>
      <c r="AD843" s="351"/>
      <c r="AE843" s="351"/>
      <c r="AF843" s="351"/>
      <c r="AG843" s="351"/>
      <c r="AH843" s="351"/>
    </row>
    <row r="844" spans="1:34" ht="69.75" customHeight="1" x14ac:dyDescent="0.25">
      <c r="A844" s="823"/>
      <c r="B844" s="305" t="s">
        <v>751</v>
      </c>
      <c r="C844" s="305" t="s">
        <v>752</v>
      </c>
      <c r="D844" s="354" t="s">
        <v>370</v>
      </c>
      <c r="E844" s="349">
        <v>700240767</v>
      </c>
      <c r="F844" s="349">
        <v>542386932</v>
      </c>
      <c r="G844" s="350"/>
      <c r="H844" s="351"/>
      <c r="I844" s="351"/>
      <c r="J844" s="352"/>
      <c r="K844" s="351"/>
      <c r="L844" s="351"/>
      <c r="M844" s="351"/>
      <c r="N844" s="353"/>
      <c r="O844" s="351"/>
      <c r="P844" s="351"/>
      <c r="Q844" s="351"/>
      <c r="R844" s="351"/>
      <c r="S844" s="351"/>
      <c r="T844" s="351"/>
      <c r="U844" s="351"/>
      <c r="V844" s="351"/>
      <c r="W844" s="351"/>
      <c r="X844" s="351"/>
      <c r="Y844" s="351"/>
      <c r="Z844" s="351"/>
      <c r="AA844" s="351"/>
      <c r="AB844" s="351"/>
      <c r="AC844" s="351"/>
      <c r="AD844" s="351"/>
      <c r="AE844" s="351"/>
      <c r="AF844" s="351"/>
      <c r="AG844" s="351"/>
      <c r="AH844" s="351"/>
    </row>
    <row r="845" spans="1:34" s="569" customFormat="1" ht="69.75" customHeight="1" x14ac:dyDescent="0.25">
      <c r="A845" s="896" t="s">
        <v>713</v>
      </c>
      <c r="B845" s="899" t="s">
        <v>739</v>
      </c>
      <c r="C845" s="899" t="s">
        <v>740</v>
      </c>
      <c r="D845" s="605" t="s">
        <v>339</v>
      </c>
      <c r="E845" s="606">
        <v>851180799</v>
      </c>
      <c r="F845" s="607">
        <v>724145834</v>
      </c>
      <c r="G845" s="608"/>
      <c r="H845" s="609"/>
      <c r="I845" s="609"/>
      <c r="J845" s="610"/>
      <c r="K845" s="609"/>
      <c r="L845" s="609"/>
      <c r="M845" s="609"/>
      <c r="N845" s="611"/>
      <c r="O845" s="609"/>
      <c r="P845" s="609"/>
      <c r="Q845" s="609"/>
      <c r="R845" s="609"/>
      <c r="S845" s="609"/>
      <c r="T845" s="609"/>
      <c r="U845" s="609"/>
      <c r="V845" s="609"/>
      <c r="W845" s="609"/>
      <c r="X845" s="609"/>
      <c r="Y845" s="609"/>
      <c r="Z845" s="609"/>
      <c r="AA845" s="609"/>
      <c r="AB845" s="609"/>
      <c r="AC845" s="609"/>
      <c r="AD845" s="609"/>
      <c r="AE845" s="609"/>
      <c r="AF845" s="609"/>
      <c r="AG845" s="609"/>
      <c r="AH845" s="609"/>
    </row>
    <row r="846" spans="1:34" s="569" customFormat="1" ht="69.75" customHeight="1" x14ac:dyDescent="0.25">
      <c r="A846" s="897"/>
      <c r="B846" s="900"/>
      <c r="C846" s="900"/>
      <c r="D846" s="605" t="s">
        <v>349</v>
      </c>
      <c r="E846" s="606">
        <v>171679000</v>
      </c>
      <c r="F846" s="607">
        <v>111988600</v>
      </c>
      <c r="G846" s="608"/>
      <c r="H846" s="609"/>
      <c r="I846" s="609"/>
      <c r="J846" s="610"/>
      <c r="K846" s="609"/>
      <c r="L846" s="609"/>
      <c r="M846" s="609"/>
      <c r="N846" s="611"/>
      <c r="O846" s="609"/>
      <c r="P846" s="609"/>
      <c r="Q846" s="609"/>
      <c r="R846" s="609"/>
      <c r="S846" s="609"/>
      <c r="T846" s="609"/>
      <c r="U846" s="609"/>
      <c r="V846" s="609"/>
      <c r="W846" s="609"/>
      <c r="X846" s="609"/>
      <c r="Y846" s="609"/>
      <c r="Z846" s="609"/>
      <c r="AA846" s="609"/>
      <c r="AB846" s="609"/>
      <c r="AC846" s="609"/>
      <c r="AD846" s="609"/>
      <c r="AE846" s="609"/>
      <c r="AF846" s="609"/>
      <c r="AG846" s="609"/>
      <c r="AH846" s="609"/>
    </row>
    <row r="847" spans="1:34" s="569" customFormat="1" ht="69.75" customHeight="1" x14ac:dyDescent="0.25">
      <c r="A847" s="897"/>
      <c r="B847" s="901"/>
      <c r="C847" s="901"/>
      <c r="D847" s="605" t="s">
        <v>351</v>
      </c>
      <c r="E847" s="606">
        <v>36120000</v>
      </c>
      <c r="F847" s="607">
        <v>29899333</v>
      </c>
      <c r="G847" s="608"/>
      <c r="H847" s="609"/>
      <c r="I847" s="609"/>
      <c r="J847" s="610"/>
      <c r="K847" s="609"/>
      <c r="L847" s="609"/>
      <c r="M847" s="609"/>
      <c r="N847" s="611"/>
      <c r="O847" s="609"/>
      <c r="P847" s="609"/>
      <c r="Q847" s="609"/>
      <c r="R847" s="609"/>
      <c r="S847" s="609"/>
      <c r="T847" s="609"/>
      <c r="U847" s="609"/>
      <c r="V847" s="609"/>
      <c r="W847" s="609"/>
      <c r="X847" s="609"/>
      <c r="Y847" s="609"/>
      <c r="Z847" s="609"/>
      <c r="AA847" s="609"/>
      <c r="AB847" s="609"/>
      <c r="AC847" s="609"/>
      <c r="AD847" s="609"/>
      <c r="AE847" s="609"/>
      <c r="AF847" s="609"/>
      <c r="AG847" s="609"/>
      <c r="AH847" s="609"/>
    </row>
    <row r="848" spans="1:34" s="569" customFormat="1" ht="69.75" customHeight="1" x14ac:dyDescent="0.25">
      <c r="A848" s="897"/>
      <c r="B848" s="903" t="s">
        <v>743</v>
      </c>
      <c r="C848" s="903" t="s">
        <v>744</v>
      </c>
      <c r="D848" s="612" t="s">
        <v>354</v>
      </c>
      <c r="E848" s="613">
        <v>88955534</v>
      </c>
      <c r="F848" s="607">
        <v>79042600</v>
      </c>
      <c r="G848" s="608"/>
      <c r="H848" s="609"/>
      <c r="I848" s="609"/>
      <c r="J848" s="610"/>
      <c r="K848" s="609"/>
      <c r="L848" s="609"/>
      <c r="M848" s="609"/>
      <c r="N848" s="611"/>
      <c r="O848" s="609"/>
      <c r="P848" s="609"/>
      <c r="Q848" s="609"/>
      <c r="R848" s="609"/>
      <c r="S848" s="609"/>
      <c r="T848" s="609"/>
      <c r="U848" s="609"/>
      <c r="V848" s="609"/>
      <c r="W848" s="609"/>
      <c r="X848" s="609"/>
      <c r="Y848" s="609"/>
      <c r="Z848" s="609"/>
      <c r="AA848" s="609"/>
      <c r="AB848" s="609"/>
      <c r="AC848" s="609"/>
      <c r="AD848" s="609"/>
      <c r="AE848" s="609"/>
      <c r="AF848" s="609"/>
      <c r="AG848" s="609"/>
      <c r="AH848" s="609"/>
    </row>
    <row r="849" spans="1:34" s="569" customFormat="1" ht="69.75" customHeight="1" x14ac:dyDescent="0.25">
      <c r="A849" s="897"/>
      <c r="B849" s="900"/>
      <c r="C849" s="900"/>
      <c r="D849" s="612" t="s">
        <v>924</v>
      </c>
      <c r="E849" s="614">
        <v>926447699</v>
      </c>
      <c r="F849" s="607">
        <v>727866280</v>
      </c>
      <c r="G849" s="608"/>
      <c r="H849" s="609"/>
      <c r="I849" s="609"/>
      <c r="J849" s="610"/>
      <c r="K849" s="609"/>
      <c r="L849" s="609"/>
      <c r="M849" s="609"/>
      <c r="N849" s="611"/>
      <c r="O849" s="609"/>
      <c r="P849" s="609"/>
      <c r="Q849" s="609"/>
      <c r="R849" s="609"/>
      <c r="S849" s="609"/>
      <c r="T849" s="609"/>
      <c r="U849" s="609"/>
      <c r="V849" s="609"/>
      <c r="W849" s="609"/>
      <c r="X849" s="609"/>
      <c r="Y849" s="609"/>
      <c r="Z849" s="609"/>
      <c r="AA849" s="609"/>
      <c r="AB849" s="609"/>
      <c r="AC849" s="609"/>
      <c r="AD849" s="609"/>
      <c r="AE849" s="609"/>
      <c r="AF849" s="609"/>
      <c r="AG849" s="609"/>
      <c r="AH849" s="609"/>
    </row>
    <row r="850" spans="1:34" s="569" customFormat="1" ht="69.75" customHeight="1" x14ac:dyDescent="0.25">
      <c r="A850" s="897"/>
      <c r="B850" s="900"/>
      <c r="C850" s="900"/>
      <c r="D850" s="612" t="s">
        <v>925</v>
      </c>
      <c r="E850" s="615">
        <v>336945800</v>
      </c>
      <c r="F850" s="607">
        <v>308801233</v>
      </c>
      <c r="G850" s="608"/>
      <c r="H850" s="609"/>
      <c r="I850" s="609"/>
      <c r="J850" s="610"/>
      <c r="K850" s="609"/>
      <c r="L850" s="609"/>
      <c r="M850" s="609"/>
      <c r="N850" s="611"/>
      <c r="O850" s="609"/>
      <c r="P850" s="609"/>
      <c r="Q850" s="609"/>
      <c r="R850" s="609"/>
      <c r="S850" s="609"/>
      <c r="T850" s="609"/>
      <c r="U850" s="609"/>
      <c r="V850" s="609"/>
      <c r="W850" s="609"/>
      <c r="X850" s="609"/>
      <c r="Y850" s="609"/>
      <c r="Z850" s="609"/>
      <c r="AA850" s="609"/>
      <c r="AB850" s="609"/>
      <c r="AC850" s="609"/>
      <c r="AD850" s="609"/>
      <c r="AE850" s="609"/>
      <c r="AF850" s="609"/>
      <c r="AG850" s="609"/>
      <c r="AH850" s="609"/>
    </row>
    <row r="851" spans="1:34" s="569" customFormat="1" ht="69.75" customHeight="1" x14ac:dyDescent="0.25">
      <c r="A851" s="897"/>
      <c r="B851" s="901"/>
      <c r="C851" s="901"/>
      <c r="D851" s="612" t="s">
        <v>674</v>
      </c>
      <c r="E851" s="616">
        <v>1254780000</v>
      </c>
      <c r="F851" s="607">
        <v>520110034</v>
      </c>
      <c r="G851" s="617"/>
      <c r="H851" s="609"/>
      <c r="I851" s="609"/>
      <c r="J851" s="610"/>
      <c r="K851" s="609"/>
      <c r="L851" s="609"/>
      <c r="M851" s="609"/>
      <c r="N851" s="611"/>
      <c r="O851" s="609"/>
      <c r="P851" s="609"/>
      <c r="Q851" s="609"/>
      <c r="R851" s="609"/>
      <c r="S851" s="609"/>
      <c r="T851" s="609"/>
      <c r="U851" s="609"/>
      <c r="V851" s="609"/>
      <c r="W851" s="609"/>
      <c r="X851" s="609"/>
      <c r="Y851" s="609"/>
      <c r="Z851" s="609"/>
      <c r="AA851" s="609"/>
      <c r="AB851" s="609"/>
      <c r="AC851" s="609"/>
      <c r="AD851" s="609"/>
      <c r="AE851" s="609"/>
      <c r="AF851" s="609"/>
      <c r="AG851" s="609"/>
      <c r="AH851" s="609"/>
    </row>
    <row r="852" spans="1:34" s="569" customFormat="1" ht="69.75" customHeight="1" x14ac:dyDescent="0.25">
      <c r="A852" s="897"/>
      <c r="B852" s="591" t="s">
        <v>747</v>
      </c>
      <c r="C852" s="591" t="s">
        <v>748</v>
      </c>
      <c r="D852" s="612" t="s">
        <v>926</v>
      </c>
      <c r="E852" s="614">
        <v>356438401</v>
      </c>
      <c r="F852" s="607">
        <v>334033134</v>
      </c>
      <c r="G852" s="608"/>
      <c r="H852" s="609"/>
      <c r="I852" s="609"/>
      <c r="J852" s="610"/>
      <c r="K852" s="609"/>
      <c r="L852" s="609"/>
      <c r="M852" s="609"/>
      <c r="N852" s="611"/>
      <c r="O852" s="609"/>
      <c r="P852" s="609"/>
      <c r="Q852" s="609"/>
      <c r="R852" s="609"/>
      <c r="S852" s="609"/>
      <c r="T852" s="609"/>
      <c r="U852" s="609"/>
      <c r="V852" s="609"/>
      <c r="W852" s="609"/>
      <c r="X852" s="609"/>
      <c r="Y852" s="609"/>
      <c r="Z852" s="609"/>
      <c r="AA852" s="609"/>
      <c r="AB852" s="609"/>
      <c r="AC852" s="609"/>
      <c r="AD852" s="609"/>
      <c r="AE852" s="609"/>
      <c r="AF852" s="609"/>
      <c r="AG852" s="609"/>
      <c r="AH852" s="609"/>
    </row>
    <row r="853" spans="1:34" s="569" customFormat="1" ht="69.75" customHeight="1" x14ac:dyDescent="0.25">
      <c r="A853" s="819"/>
      <c r="B853" s="591" t="s">
        <v>751</v>
      </c>
      <c r="C853" s="591" t="s">
        <v>752</v>
      </c>
      <c r="D853" s="612" t="s">
        <v>370</v>
      </c>
      <c r="E853" s="614">
        <v>700240767</v>
      </c>
      <c r="F853" s="607">
        <v>617579798</v>
      </c>
      <c r="G853" s="608"/>
      <c r="H853" s="609"/>
      <c r="I853" s="609"/>
      <c r="J853" s="610"/>
      <c r="K853" s="609"/>
      <c r="L853" s="609"/>
      <c r="M853" s="609"/>
      <c r="N853" s="611"/>
      <c r="O853" s="609"/>
      <c r="P853" s="609"/>
      <c r="Q853" s="609"/>
      <c r="R853" s="609"/>
      <c r="S853" s="609"/>
      <c r="T853" s="609"/>
      <c r="U853" s="609"/>
      <c r="V853" s="609"/>
      <c r="W853" s="609"/>
      <c r="X853" s="609"/>
      <c r="Y853" s="609"/>
      <c r="Z853" s="609"/>
      <c r="AA853" s="609"/>
      <c r="AB853" s="609"/>
      <c r="AC853" s="609"/>
      <c r="AD853" s="609"/>
      <c r="AE853" s="609"/>
      <c r="AF853" s="609"/>
      <c r="AG853" s="609"/>
      <c r="AH853" s="609"/>
    </row>
    <row r="854" spans="1:34" ht="69.75" customHeight="1" thickBot="1" x14ac:dyDescent="0.3">
      <c r="A854" s="337"/>
      <c r="B854" s="338"/>
      <c r="C854" s="338"/>
      <c r="D854" s="339"/>
      <c r="E854" s="357"/>
      <c r="F854" s="358"/>
      <c r="G854" s="341"/>
      <c r="H854" s="83"/>
      <c r="I854" s="83"/>
      <c r="J854" s="327"/>
      <c r="K854" s="83"/>
      <c r="L854" s="83"/>
      <c r="M854" s="83"/>
      <c r="N854" s="328"/>
      <c r="O854" s="83"/>
      <c r="P854" s="83"/>
      <c r="Q854" s="83"/>
      <c r="R854" s="83"/>
      <c r="S854" s="83"/>
      <c r="T854" s="83"/>
      <c r="U854" s="83"/>
      <c r="V854" s="83"/>
      <c r="W854" s="83"/>
      <c r="X854" s="83"/>
      <c r="Y854" s="83"/>
      <c r="Z854" s="83"/>
      <c r="AA854" s="83"/>
      <c r="AB854" s="83"/>
      <c r="AC854" s="83"/>
      <c r="AD854" s="83"/>
      <c r="AE854" s="83"/>
      <c r="AF854" s="83"/>
      <c r="AG854" s="83"/>
      <c r="AH854" s="83"/>
    </row>
    <row r="855" spans="1:34" ht="15.75" customHeight="1" x14ac:dyDescent="0.3">
      <c r="A855" s="877" t="s">
        <v>1462</v>
      </c>
      <c r="B855" s="695"/>
      <c r="C855" s="695"/>
      <c r="D855" s="695"/>
      <c r="E855" s="695"/>
      <c r="F855" s="695"/>
      <c r="G855" s="736"/>
      <c r="J855" s="120"/>
      <c r="N855" s="197"/>
    </row>
    <row r="856" spans="1:34" ht="66" customHeight="1" thickBot="1" x14ac:dyDescent="0.3">
      <c r="A856" s="198" t="s">
        <v>27</v>
      </c>
      <c r="B856" s="128" t="s">
        <v>726</v>
      </c>
      <c r="C856" s="128" t="s">
        <v>727</v>
      </c>
      <c r="D856" s="128" t="s">
        <v>920</v>
      </c>
      <c r="E856" s="128" t="s">
        <v>1463</v>
      </c>
      <c r="F856" s="128" t="s">
        <v>1464</v>
      </c>
      <c r="G856" s="313" t="s">
        <v>923</v>
      </c>
      <c r="J856" s="120"/>
      <c r="N856" s="197"/>
    </row>
    <row r="857" spans="1:34" ht="69.75" hidden="1" customHeight="1" x14ac:dyDescent="0.25">
      <c r="A857" s="874" t="s">
        <v>715</v>
      </c>
      <c r="B857" s="878" t="s">
        <v>739</v>
      </c>
      <c r="C857" s="878" t="s">
        <v>740</v>
      </c>
      <c r="D857" s="324" t="s">
        <v>339</v>
      </c>
      <c r="E857" s="325">
        <v>689277000</v>
      </c>
      <c r="F857" s="61">
        <v>0</v>
      </c>
      <c r="G857" s="326"/>
      <c r="H857" s="83"/>
      <c r="I857" s="83"/>
      <c r="J857" s="327"/>
      <c r="K857" s="83"/>
      <c r="L857" s="83"/>
      <c r="M857" s="83"/>
      <c r="N857" s="328"/>
      <c r="O857" s="83"/>
      <c r="P857" s="83"/>
      <c r="Q857" s="83"/>
      <c r="R857" s="83"/>
      <c r="S857" s="83"/>
      <c r="T857" s="83"/>
      <c r="U857" s="83"/>
      <c r="V857" s="83"/>
      <c r="W857" s="83"/>
      <c r="X857" s="83"/>
      <c r="Y857" s="83"/>
      <c r="Z857" s="83"/>
      <c r="AA857" s="83"/>
      <c r="AB857" s="83"/>
      <c r="AC857" s="83"/>
      <c r="AD857" s="83"/>
      <c r="AE857" s="83"/>
      <c r="AF857" s="83"/>
      <c r="AG857" s="83"/>
      <c r="AH857" s="83"/>
    </row>
    <row r="858" spans="1:34" ht="69.75" hidden="1" customHeight="1" x14ac:dyDescent="0.25">
      <c r="A858" s="829"/>
      <c r="B858" s="710"/>
      <c r="C858" s="710"/>
      <c r="D858" s="324" t="s">
        <v>349</v>
      </c>
      <c r="E858" s="325">
        <v>387000000</v>
      </c>
      <c r="F858" s="61">
        <v>0</v>
      </c>
      <c r="G858" s="326"/>
      <c r="H858" s="83"/>
      <c r="I858" s="83"/>
      <c r="J858" s="327"/>
      <c r="K858" s="83"/>
      <c r="L858" s="83"/>
      <c r="M858" s="83"/>
      <c r="N858" s="328"/>
      <c r="O858" s="83"/>
      <c r="P858" s="83"/>
      <c r="Q858" s="83"/>
      <c r="R858" s="83"/>
      <c r="S858" s="83"/>
      <c r="T858" s="83"/>
      <c r="U858" s="83"/>
      <c r="V858" s="83"/>
      <c r="W858" s="83"/>
      <c r="X858" s="83"/>
      <c r="Y858" s="83"/>
      <c r="Z858" s="83"/>
      <c r="AA858" s="83"/>
      <c r="AB858" s="83"/>
      <c r="AC858" s="83"/>
      <c r="AD858" s="83"/>
      <c r="AE858" s="83"/>
      <c r="AF858" s="83"/>
      <c r="AG858" s="83"/>
      <c r="AH858" s="83"/>
    </row>
    <row r="859" spans="1:34" ht="69.75" hidden="1" customHeight="1" x14ac:dyDescent="0.25">
      <c r="A859" s="829"/>
      <c r="B859" s="731"/>
      <c r="C859" s="731"/>
      <c r="D859" s="324" t="s">
        <v>351</v>
      </c>
      <c r="E859" s="325">
        <v>71143000</v>
      </c>
      <c r="F859" s="61">
        <v>0</v>
      </c>
      <c r="G859" s="326"/>
      <c r="H859" s="83"/>
      <c r="I859" s="83"/>
      <c r="J859" s="327"/>
      <c r="K859" s="83"/>
      <c r="L859" s="83"/>
      <c r="M859" s="83"/>
      <c r="N859" s="328"/>
      <c r="O859" s="83"/>
      <c r="P859" s="83"/>
      <c r="Q859" s="83"/>
      <c r="R859" s="83"/>
      <c r="S859" s="83"/>
      <c r="T859" s="83"/>
      <c r="U859" s="83"/>
      <c r="V859" s="83"/>
      <c r="W859" s="83"/>
      <c r="X859" s="83"/>
      <c r="Y859" s="83"/>
      <c r="Z859" s="83"/>
      <c r="AA859" s="83"/>
      <c r="AB859" s="83"/>
      <c r="AC859" s="83"/>
      <c r="AD859" s="83"/>
      <c r="AE859" s="83"/>
      <c r="AF859" s="83"/>
      <c r="AG859" s="83"/>
      <c r="AH859" s="83"/>
    </row>
    <row r="860" spans="1:34" ht="69.75" hidden="1" customHeight="1" x14ac:dyDescent="0.25">
      <c r="A860" s="829"/>
      <c r="B860" s="749" t="s">
        <v>743</v>
      </c>
      <c r="C860" s="749" t="s">
        <v>744</v>
      </c>
      <c r="D860" s="329" t="s">
        <v>354</v>
      </c>
      <c r="E860" s="325">
        <v>129390000</v>
      </c>
      <c r="F860" s="61">
        <v>0</v>
      </c>
      <c r="G860" s="326"/>
      <c r="H860" s="83"/>
      <c r="I860" s="83"/>
      <c r="J860" s="327"/>
      <c r="K860" s="83"/>
      <c r="L860" s="83"/>
      <c r="M860" s="83"/>
      <c r="N860" s="328"/>
      <c r="O860" s="83"/>
      <c r="P860" s="83"/>
      <c r="Q860" s="83"/>
      <c r="R860" s="83"/>
      <c r="S860" s="83"/>
      <c r="T860" s="83"/>
      <c r="U860" s="83"/>
      <c r="V860" s="83"/>
      <c r="W860" s="83"/>
      <c r="X860" s="83"/>
      <c r="Y860" s="83"/>
      <c r="Z860" s="83"/>
      <c r="AA860" s="83"/>
      <c r="AB860" s="83"/>
      <c r="AC860" s="83"/>
      <c r="AD860" s="83"/>
      <c r="AE860" s="83"/>
      <c r="AF860" s="83"/>
      <c r="AG860" s="83"/>
      <c r="AH860" s="83"/>
    </row>
    <row r="861" spans="1:34" ht="69.75" hidden="1" customHeight="1" x14ac:dyDescent="0.25">
      <c r="A861" s="829"/>
      <c r="B861" s="710"/>
      <c r="C861" s="710"/>
      <c r="D861" s="329" t="s">
        <v>924</v>
      </c>
      <c r="E861" s="325">
        <v>1054761000</v>
      </c>
      <c r="F861" s="61">
        <v>0</v>
      </c>
      <c r="G861" s="326"/>
      <c r="H861" s="83"/>
      <c r="I861" s="83"/>
      <c r="J861" s="327"/>
      <c r="K861" s="83"/>
      <c r="L861" s="83"/>
      <c r="M861" s="83"/>
      <c r="N861" s="328"/>
      <c r="O861" s="83"/>
      <c r="P861" s="83"/>
      <c r="Q861" s="83"/>
      <c r="R861" s="83"/>
      <c r="S861" s="83"/>
      <c r="T861" s="83"/>
      <c r="U861" s="83"/>
      <c r="V861" s="83"/>
      <c r="W861" s="83"/>
      <c r="X861" s="83"/>
      <c r="Y861" s="83"/>
      <c r="Z861" s="83"/>
      <c r="AA861" s="83"/>
      <c r="AB861" s="83"/>
      <c r="AC861" s="83"/>
      <c r="AD861" s="83"/>
      <c r="AE861" s="83"/>
      <c r="AF861" s="83"/>
      <c r="AG861" s="83"/>
      <c r="AH861" s="83"/>
    </row>
    <row r="862" spans="1:34" ht="69.75" hidden="1" customHeight="1" x14ac:dyDescent="0.25">
      <c r="A862" s="829"/>
      <c r="B862" s="710"/>
      <c r="C862" s="710"/>
      <c r="D862" s="329" t="s">
        <v>925</v>
      </c>
      <c r="E862" s="325">
        <v>378930000</v>
      </c>
      <c r="F862" s="61">
        <v>0</v>
      </c>
      <c r="G862" s="326"/>
      <c r="H862" s="83"/>
      <c r="I862" s="83"/>
      <c r="J862" s="327"/>
      <c r="K862" s="83"/>
      <c r="L862" s="83"/>
      <c r="M862" s="83"/>
      <c r="N862" s="328"/>
      <c r="O862" s="83"/>
      <c r="P862" s="83"/>
      <c r="Q862" s="83"/>
      <c r="R862" s="83"/>
      <c r="S862" s="83"/>
      <c r="T862" s="83"/>
      <c r="U862" s="83"/>
      <c r="V862" s="83"/>
      <c r="W862" s="83"/>
      <c r="X862" s="83"/>
      <c r="Y862" s="83"/>
      <c r="Z862" s="83"/>
      <c r="AA862" s="83"/>
      <c r="AB862" s="83"/>
      <c r="AC862" s="83"/>
      <c r="AD862" s="83"/>
      <c r="AE862" s="83"/>
      <c r="AF862" s="83"/>
      <c r="AG862" s="83"/>
      <c r="AH862" s="83"/>
    </row>
    <row r="863" spans="1:34" ht="69.75" hidden="1" customHeight="1" x14ac:dyDescent="0.25">
      <c r="A863" s="829"/>
      <c r="B863" s="731"/>
      <c r="C863" s="731"/>
      <c r="D863" s="329" t="s">
        <v>674</v>
      </c>
      <c r="E863" s="330">
        <v>1824103000</v>
      </c>
      <c r="F863" s="331">
        <v>0</v>
      </c>
      <c r="G863" s="332"/>
      <c r="H863" s="83"/>
      <c r="I863" s="83"/>
      <c r="J863" s="327"/>
      <c r="K863" s="83"/>
      <c r="L863" s="83"/>
      <c r="M863" s="83"/>
      <c r="N863" s="328"/>
      <c r="O863" s="83"/>
      <c r="P863" s="83"/>
      <c r="Q863" s="83"/>
      <c r="R863" s="83"/>
      <c r="S863" s="83"/>
      <c r="T863" s="83"/>
      <c r="U863" s="83"/>
      <c r="V863" s="83"/>
      <c r="W863" s="83"/>
      <c r="X863" s="83"/>
      <c r="Y863" s="83"/>
      <c r="Z863" s="83"/>
      <c r="AA863" s="83"/>
      <c r="AB863" s="83"/>
      <c r="AC863" s="83"/>
      <c r="AD863" s="83"/>
      <c r="AE863" s="83"/>
      <c r="AF863" s="83"/>
      <c r="AG863" s="83"/>
      <c r="AH863" s="83"/>
    </row>
    <row r="864" spans="1:34" ht="69.75" hidden="1" customHeight="1" x14ac:dyDescent="0.25">
      <c r="A864" s="829"/>
      <c r="B864" s="30" t="s">
        <v>747</v>
      </c>
      <c r="C864" s="30" t="s">
        <v>748</v>
      </c>
      <c r="D864" s="329" t="s">
        <v>926</v>
      </c>
      <c r="E864" s="325">
        <v>400000000</v>
      </c>
      <c r="F864" s="61">
        <v>0</v>
      </c>
      <c r="G864" s="326"/>
      <c r="H864" s="83"/>
      <c r="I864" s="83"/>
      <c r="J864" s="327"/>
      <c r="K864" s="83"/>
      <c r="L864" s="83"/>
      <c r="M864" s="83"/>
      <c r="N864" s="328"/>
      <c r="O864" s="83"/>
      <c r="P864" s="83"/>
      <c r="Q864" s="83"/>
      <c r="R864" s="83"/>
      <c r="S864" s="83"/>
      <c r="T864" s="83"/>
      <c r="U864" s="83"/>
      <c r="V864" s="83"/>
      <c r="W864" s="83"/>
      <c r="X864" s="83"/>
      <c r="Y864" s="83"/>
      <c r="Z864" s="83"/>
      <c r="AA864" s="83"/>
      <c r="AB864" s="83"/>
      <c r="AC864" s="83"/>
      <c r="AD864" s="83"/>
      <c r="AE864" s="83"/>
      <c r="AF864" s="83"/>
      <c r="AG864" s="83"/>
      <c r="AH864" s="83"/>
    </row>
    <row r="865" spans="1:34" ht="69.75" hidden="1" customHeight="1" thickBot="1" x14ac:dyDescent="0.3">
      <c r="A865" s="823"/>
      <c r="B865" s="30" t="s">
        <v>751</v>
      </c>
      <c r="C865" s="30" t="s">
        <v>752</v>
      </c>
      <c r="D865" s="329" t="s">
        <v>370</v>
      </c>
      <c r="E865" s="325">
        <v>877208000</v>
      </c>
      <c r="F865" s="61">
        <v>0</v>
      </c>
      <c r="G865" s="326"/>
      <c r="H865" s="83"/>
      <c r="I865" s="83"/>
      <c r="J865" s="327"/>
      <c r="K865" s="83"/>
      <c r="L865" s="83"/>
      <c r="M865" s="83"/>
      <c r="N865" s="328"/>
      <c r="O865" s="83"/>
      <c r="P865" s="83"/>
      <c r="Q865" s="83"/>
      <c r="R865" s="83"/>
      <c r="S865" s="83"/>
      <c r="T865" s="83"/>
      <c r="U865" s="83"/>
      <c r="V865" s="83"/>
      <c r="W865" s="83"/>
      <c r="X865" s="83"/>
      <c r="Y865" s="83"/>
      <c r="Z865" s="83"/>
      <c r="AA865" s="83"/>
      <c r="AB865" s="83"/>
      <c r="AC865" s="83"/>
      <c r="AD865" s="83"/>
      <c r="AE865" s="83"/>
      <c r="AF865" s="83"/>
      <c r="AG865" s="83"/>
      <c r="AH865" s="83"/>
    </row>
    <row r="866" spans="1:34" ht="69.75" hidden="1" customHeight="1" x14ac:dyDescent="0.25">
      <c r="A866" s="874" t="s">
        <v>716</v>
      </c>
      <c r="B866" s="878" t="s">
        <v>739</v>
      </c>
      <c r="C866" s="878" t="s">
        <v>740</v>
      </c>
      <c r="D866" s="324" t="s">
        <v>339</v>
      </c>
      <c r="E866" s="325">
        <v>689277000</v>
      </c>
      <c r="F866" s="61">
        <v>0</v>
      </c>
      <c r="G866" s="326"/>
      <c r="H866" s="83"/>
      <c r="I866" s="83"/>
      <c r="J866" s="327"/>
      <c r="K866" s="83"/>
      <c r="L866" s="83"/>
      <c r="M866" s="83"/>
      <c r="N866" s="328"/>
      <c r="O866" s="83"/>
      <c r="P866" s="83"/>
      <c r="Q866" s="83"/>
      <c r="R866" s="83"/>
      <c r="S866" s="83"/>
      <c r="T866" s="83"/>
      <c r="U866" s="83"/>
      <c r="V866" s="83"/>
      <c r="W866" s="83"/>
      <c r="X866" s="83"/>
      <c r="Y866" s="83"/>
      <c r="Z866" s="83"/>
      <c r="AA866" s="83"/>
      <c r="AB866" s="83"/>
      <c r="AC866" s="83"/>
      <c r="AD866" s="83"/>
      <c r="AE866" s="83"/>
      <c r="AF866" s="83"/>
      <c r="AG866" s="83"/>
      <c r="AH866" s="83"/>
    </row>
    <row r="867" spans="1:34" ht="69.75" hidden="1" customHeight="1" x14ac:dyDescent="0.25">
      <c r="A867" s="829"/>
      <c r="B867" s="710"/>
      <c r="C867" s="710"/>
      <c r="D867" s="324" t="s">
        <v>349</v>
      </c>
      <c r="E867" s="325">
        <v>387000000</v>
      </c>
      <c r="F867" s="61">
        <v>0</v>
      </c>
      <c r="G867" s="326"/>
      <c r="H867" s="83"/>
      <c r="I867" s="83"/>
      <c r="J867" s="327"/>
      <c r="K867" s="83"/>
      <c r="L867" s="83"/>
      <c r="M867" s="83"/>
      <c r="N867" s="328"/>
      <c r="O867" s="83"/>
      <c r="P867" s="83"/>
      <c r="Q867" s="83"/>
      <c r="R867" s="83"/>
      <c r="S867" s="83"/>
      <c r="T867" s="83"/>
      <c r="U867" s="83"/>
      <c r="V867" s="83"/>
      <c r="W867" s="83"/>
      <c r="X867" s="83"/>
      <c r="Y867" s="83"/>
      <c r="Z867" s="83"/>
      <c r="AA867" s="83"/>
      <c r="AB867" s="83"/>
      <c r="AC867" s="83"/>
      <c r="AD867" s="83"/>
      <c r="AE867" s="83"/>
      <c r="AF867" s="83"/>
      <c r="AG867" s="83"/>
      <c r="AH867" s="83"/>
    </row>
    <row r="868" spans="1:34" ht="69.75" hidden="1" customHeight="1" x14ac:dyDescent="0.25">
      <c r="A868" s="829"/>
      <c r="B868" s="731"/>
      <c r="C868" s="731"/>
      <c r="D868" s="324" t="s">
        <v>351</v>
      </c>
      <c r="E868" s="325">
        <v>71143000</v>
      </c>
      <c r="F868" s="61">
        <v>0</v>
      </c>
      <c r="G868" s="326"/>
      <c r="H868" s="83"/>
      <c r="I868" s="83"/>
      <c r="J868" s="327"/>
      <c r="K868" s="83"/>
      <c r="L868" s="83"/>
      <c r="M868" s="83"/>
      <c r="N868" s="328"/>
      <c r="O868" s="83"/>
      <c r="P868" s="83"/>
      <c r="Q868" s="83"/>
      <c r="R868" s="83"/>
      <c r="S868" s="83"/>
      <c r="T868" s="83"/>
      <c r="U868" s="83"/>
      <c r="V868" s="83"/>
      <c r="W868" s="83"/>
      <c r="X868" s="83"/>
      <c r="Y868" s="83"/>
      <c r="Z868" s="83"/>
      <c r="AA868" s="83"/>
      <c r="AB868" s="83"/>
      <c r="AC868" s="83"/>
      <c r="AD868" s="83"/>
      <c r="AE868" s="83"/>
      <c r="AF868" s="83"/>
      <c r="AG868" s="83"/>
      <c r="AH868" s="83"/>
    </row>
    <row r="869" spans="1:34" ht="69.75" hidden="1" customHeight="1" x14ac:dyDescent="0.25">
      <c r="A869" s="829"/>
      <c r="B869" s="749" t="s">
        <v>743</v>
      </c>
      <c r="C869" s="749" t="s">
        <v>744</v>
      </c>
      <c r="D869" s="329" t="s">
        <v>354</v>
      </c>
      <c r="E869" s="325">
        <v>129390000</v>
      </c>
      <c r="F869" s="325">
        <v>1956500</v>
      </c>
      <c r="G869" s="326"/>
      <c r="H869" s="83"/>
      <c r="I869" s="83"/>
      <c r="J869" s="327"/>
      <c r="K869" s="83"/>
      <c r="L869" s="83"/>
      <c r="M869" s="83"/>
      <c r="N869" s="328"/>
      <c r="O869" s="83"/>
      <c r="P869" s="83"/>
      <c r="Q869" s="83"/>
      <c r="R869" s="83"/>
      <c r="S869" s="83"/>
      <c r="T869" s="83"/>
      <c r="U869" s="83"/>
      <c r="V869" s="83"/>
      <c r="W869" s="83"/>
      <c r="X869" s="83"/>
      <c r="Y869" s="83"/>
      <c r="Z869" s="83"/>
      <c r="AA869" s="83"/>
      <c r="AB869" s="83"/>
      <c r="AC869" s="83"/>
      <c r="AD869" s="83"/>
      <c r="AE869" s="83"/>
      <c r="AF869" s="83"/>
      <c r="AG869" s="83"/>
      <c r="AH869" s="83"/>
    </row>
    <row r="870" spans="1:34" ht="69.75" hidden="1" customHeight="1" x14ac:dyDescent="0.25">
      <c r="A870" s="829"/>
      <c r="B870" s="710"/>
      <c r="C870" s="710"/>
      <c r="D870" s="329" t="s">
        <v>924</v>
      </c>
      <c r="E870" s="325">
        <v>1054761000</v>
      </c>
      <c r="F870" s="325">
        <v>0</v>
      </c>
      <c r="G870" s="326"/>
      <c r="H870" s="83"/>
      <c r="I870" s="83"/>
      <c r="J870" s="327"/>
      <c r="K870" s="83"/>
      <c r="L870" s="83"/>
      <c r="M870" s="83"/>
      <c r="N870" s="328"/>
      <c r="O870" s="83"/>
      <c r="P870" s="83"/>
      <c r="Q870" s="83"/>
      <c r="R870" s="83"/>
      <c r="S870" s="83"/>
      <c r="T870" s="83"/>
      <c r="U870" s="83"/>
      <c r="V870" s="83"/>
      <c r="W870" s="83"/>
      <c r="X870" s="83"/>
      <c r="Y870" s="83"/>
      <c r="Z870" s="83"/>
      <c r="AA870" s="83"/>
      <c r="AB870" s="83"/>
      <c r="AC870" s="83"/>
      <c r="AD870" s="83"/>
      <c r="AE870" s="83"/>
      <c r="AF870" s="83"/>
      <c r="AG870" s="83"/>
      <c r="AH870" s="83"/>
    </row>
    <row r="871" spans="1:34" ht="69.75" hidden="1" customHeight="1" x14ac:dyDescent="0.25">
      <c r="A871" s="829"/>
      <c r="B871" s="710"/>
      <c r="C871" s="710"/>
      <c r="D871" s="329" t="s">
        <v>925</v>
      </c>
      <c r="E871" s="325">
        <v>378930000</v>
      </c>
      <c r="F871" s="325">
        <v>2057533</v>
      </c>
      <c r="G871" s="326"/>
      <c r="H871" s="83"/>
      <c r="I871" s="83"/>
      <c r="J871" s="327"/>
      <c r="K871" s="83"/>
      <c r="L871" s="83"/>
      <c r="M871" s="83"/>
      <c r="N871" s="328"/>
      <c r="O871" s="83"/>
      <c r="P871" s="83"/>
      <c r="Q871" s="83"/>
      <c r="R871" s="83"/>
      <c r="S871" s="83"/>
      <c r="T871" s="83"/>
      <c r="U871" s="83"/>
      <c r="V871" s="83"/>
      <c r="W871" s="83"/>
      <c r="X871" s="83"/>
      <c r="Y871" s="83"/>
      <c r="Z871" s="83"/>
      <c r="AA871" s="83"/>
      <c r="AB871" s="83"/>
      <c r="AC871" s="83"/>
      <c r="AD871" s="83"/>
      <c r="AE871" s="83"/>
      <c r="AF871" s="83"/>
      <c r="AG871" s="83"/>
      <c r="AH871" s="83"/>
    </row>
    <row r="872" spans="1:34" ht="69.75" hidden="1" customHeight="1" x14ac:dyDescent="0.25">
      <c r="A872" s="829"/>
      <c r="B872" s="731"/>
      <c r="C872" s="731"/>
      <c r="D872" s="329" t="s">
        <v>674</v>
      </c>
      <c r="E872" s="330">
        <v>1824103000</v>
      </c>
      <c r="F872" s="330">
        <v>1523400</v>
      </c>
      <c r="G872" s="332"/>
      <c r="H872" s="83"/>
      <c r="I872" s="83"/>
      <c r="J872" s="327"/>
      <c r="K872" s="83"/>
      <c r="L872" s="83"/>
      <c r="M872" s="83"/>
      <c r="N872" s="328"/>
      <c r="O872" s="83"/>
      <c r="P872" s="83"/>
      <c r="Q872" s="83"/>
      <c r="R872" s="83"/>
      <c r="S872" s="83"/>
      <c r="T872" s="83"/>
      <c r="U872" s="83"/>
      <c r="V872" s="83"/>
      <c r="W872" s="83"/>
      <c r="X872" s="83"/>
      <c r="Y872" s="83"/>
      <c r="Z872" s="83"/>
      <c r="AA872" s="83"/>
      <c r="AB872" s="83"/>
      <c r="AC872" s="83"/>
      <c r="AD872" s="83"/>
      <c r="AE872" s="83"/>
      <c r="AF872" s="83"/>
      <c r="AG872" s="83"/>
      <c r="AH872" s="83"/>
    </row>
    <row r="873" spans="1:34" ht="69.75" hidden="1" customHeight="1" x14ac:dyDescent="0.25">
      <c r="A873" s="829"/>
      <c r="B873" s="30" t="s">
        <v>747</v>
      </c>
      <c r="C873" s="30" t="s">
        <v>748</v>
      </c>
      <c r="D873" s="329" t="s">
        <v>926</v>
      </c>
      <c r="E873" s="325">
        <v>400000000</v>
      </c>
      <c r="F873" s="325">
        <v>0</v>
      </c>
      <c r="G873" s="326"/>
      <c r="H873" s="83"/>
      <c r="I873" s="83"/>
      <c r="J873" s="327"/>
      <c r="K873" s="83"/>
      <c r="L873" s="83"/>
      <c r="M873" s="83"/>
      <c r="N873" s="328"/>
      <c r="O873" s="83"/>
      <c r="P873" s="83"/>
      <c r="Q873" s="83"/>
      <c r="R873" s="83"/>
      <c r="S873" s="83"/>
      <c r="T873" s="83"/>
      <c r="U873" s="83"/>
      <c r="V873" s="83"/>
      <c r="W873" s="83"/>
      <c r="X873" s="83"/>
      <c r="Y873" s="83"/>
      <c r="Z873" s="83"/>
      <c r="AA873" s="83"/>
      <c r="AB873" s="83"/>
      <c r="AC873" s="83"/>
      <c r="AD873" s="83"/>
      <c r="AE873" s="83"/>
      <c r="AF873" s="83"/>
      <c r="AG873" s="83"/>
      <c r="AH873" s="83"/>
    </row>
    <row r="874" spans="1:34" ht="69.75" hidden="1" customHeight="1" thickBot="1" x14ac:dyDescent="0.3">
      <c r="A874" s="823"/>
      <c r="B874" s="30" t="s">
        <v>751</v>
      </c>
      <c r="C874" s="30" t="s">
        <v>752</v>
      </c>
      <c r="D874" s="329" t="s">
        <v>370</v>
      </c>
      <c r="E874" s="325">
        <v>877208000</v>
      </c>
      <c r="F874" s="325">
        <v>4184626</v>
      </c>
      <c r="G874" s="326"/>
      <c r="H874" s="83"/>
      <c r="I874" s="83"/>
      <c r="J874" s="327"/>
      <c r="K874" s="83"/>
      <c r="L874" s="83"/>
      <c r="M874" s="83"/>
      <c r="N874" s="328"/>
      <c r="O874" s="83"/>
      <c r="P874" s="83"/>
      <c r="Q874" s="83"/>
      <c r="R874" s="83"/>
      <c r="S874" s="83"/>
      <c r="T874" s="83"/>
      <c r="U874" s="83"/>
      <c r="V874" s="83"/>
      <c r="W874" s="83"/>
      <c r="X874" s="83"/>
      <c r="Y874" s="83"/>
      <c r="Z874" s="83"/>
      <c r="AA874" s="83"/>
      <c r="AB874" s="83"/>
      <c r="AC874" s="83"/>
      <c r="AD874" s="83"/>
      <c r="AE874" s="83"/>
      <c r="AF874" s="83"/>
      <c r="AG874" s="83"/>
      <c r="AH874" s="83"/>
    </row>
    <row r="875" spans="1:34" ht="69.75" customHeight="1" x14ac:dyDescent="0.25">
      <c r="A875" s="874" t="s">
        <v>717</v>
      </c>
      <c r="B875" s="878" t="s">
        <v>739</v>
      </c>
      <c r="C875" s="878" t="s">
        <v>740</v>
      </c>
      <c r="D875" s="324" t="s">
        <v>339</v>
      </c>
      <c r="E875" s="325">
        <v>689277000</v>
      </c>
      <c r="F875" s="325">
        <v>34331299</v>
      </c>
      <c r="G875" s="326"/>
      <c r="H875" s="83"/>
      <c r="I875" s="83"/>
      <c r="J875" s="327"/>
      <c r="K875" s="83"/>
      <c r="L875" s="83"/>
      <c r="M875" s="83"/>
      <c r="N875" s="328"/>
      <c r="O875" s="83"/>
      <c r="P875" s="83"/>
      <c r="Q875" s="83"/>
      <c r="R875" s="83"/>
      <c r="S875" s="83"/>
      <c r="T875" s="83"/>
      <c r="U875" s="83"/>
      <c r="V875" s="83"/>
      <c r="W875" s="83"/>
      <c r="X875" s="83"/>
      <c r="Y875" s="83"/>
      <c r="Z875" s="83"/>
      <c r="AA875" s="83"/>
      <c r="AB875" s="83"/>
      <c r="AC875" s="83"/>
      <c r="AD875" s="83"/>
      <c r="AE875" s="83"/>
      <c r="AF875" s="83"/>
      <c r="AG875" s="83"/>
      <c r="AH875" s="83"/>
    </row>
    <row r="876" spans="1:34" ht="69.75" customHeight="1" x14ac:dyDescent="0.25">
      <c r="A876" s="829"/>
      <c r="B876" s="710"/>
      <c r="C876" s="710"/>
      <c r="D876" s="324" t="s">
        <v>349</v>
      </c>
      <c r="E876" s="325">
        <v>387000000</v>
      </c>
      <c r="F876" s="325">
        <v>4409000</v>
      </c>
      <c r="G876" s="326"/>
      <c r="H876" s="83"/>
      <c r="I876" s="83"/>
      <c r="J876" s="327"/>
      <c r="K876" s="83"/>
      <c r="L876" s="83"/>
      <c r="M876" s="83"/>
      <c r="N876" s="328"/>
      <c r="O876" s="83"/>
      <c r="P876" s="83"/>
      <c r="Q876" s="83"/>
      <c r="R876" s="83"/>
      <c r="S876" s="83"/>
      <c r="T876" s="83"/>
      <c r="U876" s="83"/>
      <c r="V876" s="83"/>
      <c r="W876" s="83"/>
      <c r="X876" s="83"/>
      <c r="Y876" s="83"/>
      <c r="Z876" s="83"/>
      <c r="AA876" s="83"/>
      <c r="AB876" s="83"/>
      <c r="AC876" s="83"/>
      <c r="AD876" s="83"/>
      <c r="AE876" s="83"/>
      <c r="AF876" s="83"/>
      <c r="AG876" s="83"/>
      <c r="AH876" s="83"/>
    </row>
    <row r="877" spans="1:34" ht="69.75" customHeight="1" x14ac:dyDescent="0.25">
      <c r="A877" s="829"/>
      <c r="B877" s="731"/>
      <c r="C877" s="731"/>
      <c r="D877" s="324" t="s">
        <v>351</v>
      </c>
      <c r="E877" s="325">
        <v>71143000</v>
      </c>
      <c r="F877" s="325">
        <v>0</v>
      </c>
      <c r="G877" s="326"/>
      <c r="H877" s="83"/>
      <c r="I877" s="83"/>
      <c r="J877" s="327"/>
      <c r="K877" s="83"/>
      <c r="L877" s="83"/>
      <c r="M877" s="83"/>
      <c r="N877" s="328"/>
      <c r="O877" s="83"/>
      <c r="P877" s="83"/>
      <c r="Q877" s="83"/>
      <c r="R877" s="83"/>
      <c r="S877" s="83"/>
      <c r="T877" s="83"/>
      <c r="U877" s="83"/>
      <c r="V877" s="83"/>
      <c r="W877" s="83"/>
      <c r="X877" s="83"/>
      <c r="Y877" s="83"/>
      <c r="Z877" s="83"/>
      <c r="AA877" s="83"/>
      <c r="AB877" s="83"/>
      <c r="AC877" s="83"/>
      <c r="AD877" s="83"/>
      <c r="AE877" s="83"/>
      <c r="AF877" s="83"/>
      <c r="AG877" s="83"/>
      <c r="AH877" s="83"/>
    </row>
    <row r="878" spans="1:34" ht="69.75" customHeight="1" x14ac:dyDescent="0.25">
      <c r="A878" s="829"/>
      <c r="B878" s="749" t="s">
        <v>743</v>
      </c>
      <c r="C878" s="749" t="s">
        <v>744</v>
      </c>
      <c r="D878" s="329" t="s">
        <v>354</v>
      </c>
      <c r="E878" s="325">
        <v>129390000</v>
      </c>
      <c r="F878" s="325">
        <v>5869500</v>
      </c>
      <c r="G878" s="326"/>
      <c r="H878" s="83"/>
      <c r="I878" s="83"/>
      <c r="J878" s="327"/>
      <c r="K878" s="83"/>
      <c r="L878" s="83"/>
      <c r="M878" s="83"/>
      <c r="N878" s="328"/>
      <c r="O878" s="83"/>
      <c r="P878" s="83"/>
      <c r="Q878" s="83"/>
      <c r="R878" s="83"/>
      <c r="S878" s="83"/>
      <c r="T878" s="83"/>
      <c r="U878" s="83"/>
      <c r="V878" s="83"/>
      <c r="W878" s="83"/>
      <c r="X878" s="83"/>
      <c r="Y878" s="83"/>
      <c r="Z878" s="83"/>
      <c r="AA878" s="83"/>
      <c r="AB878" s="83"/>
      <c r="AC878" s="83"/>
      <c r="AD878" s="83"/>
      <c r="AE878" s="83"/>
      <c r="AF878" s="83"/>
      <c r="AG878" s="83"/>
      <c r="AH878" s="83"/>
    </row>
    <row r="879" spans="1:34" ht="69.75" customHeight="1" x14ac:dyDescent="0.25">
      <c r="A879" s="829"/>
      <c r="B879" s="710"/>
      <c r="C879" s="710"/>
      <c r="D879" s="329" t="s">
        <v>924</v>
      </c>
      <c r="E879" s="325">
        <v>1054761000</v>
      </c>
      <c r="F879" s="325">
        <v>18635067</v>
      </c>
      <c r="G879" s="326"/>
      <c r="H879" s="83"/>
      <c r="I879" s="83"/>
      <c r="J879" s="327"/>
      <c r="K879" s="83"/>
      <c r="L879" s="83"/>
      <c r="M879" s="83"/>
      <c r="N879" s="328"/>
      <c r="O879" s="83"/>
      <c r="P879" s="83"/>
      <c r="Q879" s="83"/>
      <c r="R879" s="83"/>
      <c r="S879" s="83"/>
      <c r="T879" s="83"/>
      <c r="U879" s="83"/>
      <c r="V879" s="83"/>
      <c r="W879" s="83"/>
      <c r="X879" s="83"/>
      <c r="Y879" s="83"/>
      <c r="Z879" s="83"/>
      <c r="AA879" s="83"/>
      <c r="AB879" s="83"/>
      <c r="AC879" s="83"/>
      <c r="AD879" s="83"/>
      <c r="AE879" s="83"/>
      <c r="AF879" s="83"/>
      <c r="AG879" s="83"/>
      <c r="AH879" s="83"/>
    </row>
    <row r="880" spans="1:34" ht="69.75" customHeight="1" x14ac:dyDescent="0.25">
      <c r="A880" s="829"/>
      <c r="B880" s="710"/>
      <c r="C880" s="710"/>
      <c r="D880" s="329" t="s">
        <v>925</v>
      </c>
      <c r="E880" s="325">
        <v>378930000</v>
      </c>
      <c r="F880" s="325">
        <v>10875533</v>
      </c>
      <c r="G880" s="326"/>
      <c r="H880" s="83"/>
      <c r="I880" s="83"/>
      <c r="J880" s="327"/>
      <c r="K880" s="83"/>
      <c r="L880" s="83"/>
      <c r="M880" s="83"/>
      <c r="N880" s="328"/>
      <c r="O880" s="83"/>
      <c r="P880" s="83"/>
      <c r="Q880" s="83"/>
      <c r="R880" s="83"/>
      <c r="S880" s="83"/>
      <c r="T880" s="83"/>
      <c r="U880" s="83"/>
      <c r="V880" s="83"/>
      <c r="W880" s="83"/>
      <c r="X880" s="83"/>
      <c r="Y880" s="83"/>
      <c r="Z880" s="83"/>
      <c r="AA880" s="83"/>
      <c r="AB880" s="83"/>
      <c r="AC880" s="83"/>
      <c r="AD880" s="83"/>
      <c r="AE880" s="83"/>
      <c r="AF880" s="83"/>
      <c r="AG880" s="83"/>
      <c r="AH880" s="83"/>
    </row>
    <row r="881" spans="1:34" ht="69.75" customHeight="1" x14ac:dyDescent="0.25">
      <c r="A881" s="829"/>
      <c r="B881" s="731"/>
      <c r="C881" s="731"/>
      <c r="D881" s="329" t="s">
        <v>674</v>
      </c>
      <c r="E881" s="330">
        <v>1824103000</v>
      </c>
      <c r="F881" s="330">
        <v>16623800</v>
      </c>
      <c r="G881" s="326"/>
      <c r="H881" s="83"/>
      <c r="I881" s="83"/>
      <c r="J881" s="327"/>
      <c r="K881" s="83"/>
      <c r="L881" s="83"/>
      <c r="M881" s="83"/>
      <c r="N881" s="328"/>
      <c r="O881" s="83"/>
      <c r="P881" s="83"/>
      <c r="Q881" s="83"/>
      <c r="R881" s="83"/>
      <c r="S881" s="83"/>
      <c r="T881" s="83"/>
      <c r="U881" s="83"/>
      <c r="V881" s="83"/>
      <c r="W881" s="83"/>
      <c r="X881" s="83"/>
      <c r="Y881" s="83"/>
      <c r="Z881" s="83"/>
      <c r="AA881" s="83"/>
      <c r="AB881" s="83"/>
      <c r="AC881" s="83"/>
      <c r="AD881" s="83"/>
      <c r="AE881" s="83"/>
      <c r="AF881" s="83"/>
      <c r="AG881" s="83"/>
      <c r="AH881" s="83"/>
    </row>
    <row r="882" spans="1:34" ht="69.75" customHeight="1" x14ac:dyDescent="0.25">
      <c r="A882" s="829"/>
      <c r="B882" s="30" t="s">
        <v>747</v>
      </c>
      <c r="C882" s="30" t="s">
        <v>748</v>
      </c>
      <c r="D882" s="329" t="s">
        <v>926</v>
      </c>
      <c r="E882" s="325">
        <v>400000000</v>
      </c>
      <c r="F882" s="325">
        <v>8245000</v>
      </c>
      <c r="G882" s="326"/>
      <c r="H882" s="83"/>
      <c r="I882" s="83"/>
      <c r="J882" s="327"/>
      <c r="K882" s="83"/>
      <c r="L882" s="83"/>
      <c r="M882" s="83"/>
      <c r="N882" s="328"/>
      <c r="O882" s="83"/>
      <c r="P882" s="83"/>
      <c r="Q882" s="83"/>
      <c r="R882" s="83"/>
      <c r="S882" s="83"/>
      <c r="T882" s="83"/>
      <c r="U882" s="83"/>
      <c r="V882" s="83"/>
      <c r="W882" s="83"/>
      <c r="X882" s="83"/>
      <c r="Y882" s="83"/>
      <c r="Z882" s="83"/>
      <c r="AA882" s="83"/>
      <c r="AB882" s="83"/>
      <c r="AC882" s="83"/>
      <c r="AD882" s="83"/>
      <c r="AE882" s="83"/>
      <c r="AF882" s="83"/>
      <c r="AG882" s="83"/>
      <c r="AH882" s="83"/>
    </row>
    <row r="883" spans="1:34" ht="69.75" customHeight="1" thickBot="1" x14ac:dyDescent="0.3">
      <c r="A883" s="823"/>
      <c r="B883" s="30" t="s">
        <v>751</v>
      </c>
      <c r="C883" s="30" t="s">
        <v>752</v>
      </c>
      <c r="D883" s="329" t="s">
        <v>370</v>
      </c>
      <c r="E883" s="325">
        <v>877208000</v>
      </c>
      <c r="F883" s="325">
        <v>24407439</v>
      </c>
      <c r="G883" s="326"/>
      <c r="H883" s="83"/>
      <c r="I883" s="83"/>
      <c r="J883" s="327"/>
      <c r="K883" s="83"/>
      <c r="L883" s="83"/>
      <c r="M883" s="83"/>
      <c r="N883" s="328"/>
      <c r="O883" s="83"/>
      <c r="P883" s="83"/>
      <c r="Q883" s="83"/>
      <c r="R883" s="83"/>
      <c r="S883" s="83"/>
      <c r="T883" s="83"/>
      <c r="U883" s="83"/>
      <c r="V883" s="83"/>
      <c r="W883" s="83"/>
      <c r="X883" s="83"/>
      <c r="Y883" s="83"/>
      <c r="Z883" s="83"/>
      <c r="AA883" s="83"/>
      <c r="AB883" s="83"/>
      <c r="AC883" s="83"/>
      <c r="AD883" s="83"/>
      <c r="AE883" s="83"/>
      <c r="AF883" s="83"/>
      <c r="AG883" s="83"/>
      <c r="AH883" s="83"/>
    </row>
    <row r="884" spans="1:34" ht="69.75" customHeight="1" x14ac:dyDescent="0.25">
      <c r="A884" s="874" t="s">
        <v>718</v>
      </c>
      <c r="B884" s="878" t="s">
        <v>739</v>
      </c>
      <c r="C884" s="878" t="s">
        <v>740</v>
      </c>
      <c r="D884" s="324" t="s">
        <v>339</v>
      </c>
      <c r="E884" s="325"/>
      <c r="F884" s="325"/>
      <c r="G884" s="326"/>
      <c r="H884" s="83"/>
      <c r="I884" s="83"/>
      <c r="J884" s="327"/>
      <c r="K884" s="83"/>
      <c r="L884" s="83"/>
      <c r="M884" s="83"/>
      <c r="N884" s="328"/>
      <c r="O884" s="83"/>
      <c r="P884" s="83"/>
      <c r="Q884" s="83"/>
      <c r="R884" s="83"/>
      <c r="S884" s="83"/>
      <c r="T884" s="83"/>
      <c r="U884" s="83"/>
      <c r="V884" s="83"/>
      <c r="W884" s="83"/>
      <c r="X884" s="83"/>
      <c r="Y884" s="83"/>
      <c r="Z884" s="83"/>
      <c r="AA884" s="83"/>
      <c r="AB884" s="83"/>
      <c r="AC884" s="83"/>
      <c r="AD884" s="83"/>
      <c r="AE884" s="83"/>
      <c r="AF884" s="83"/>
      <c r="AG884" s="83"/>
      <c r="AH884" s="83"/>
    </row>
    <row r="885" spans="1:34" ht="69.75" customHeight="1" x14ac:dyDescent="0.25">
      <c r="A885" s="829"/>
      <c r="B885" s="710"/>
      <c r="C885" s="710"/>
      <c r="D885" s="324" t="s">
        <v>349</v>
      </c>
      <c r="E885" s="325"/>
      <c r="F885" s="325"/>
      <c r="G885" s="326"/>
      <c r="H885" s="83"/>
      <c r="I885" s="83"/>
      <c r="J885" s="327"/>
      <c r="K885" s="83"/>
      <c r="L885" s="83"/>
      <c r="M885" s="83"/>
      <c r="N885" s="328"/>
      <c r="O885" s="83"/>
      <c r="P885" s="83"/>
      <c r="Q885" s="83"/>
      <c r="R885" s="83"/>
      <c r="S885" s="83"/>
      <c r="T885" s="83"/>
      <c r="U885" s="83"/>
      <c r="V885" s="83"/>
      <c r="W885" s="83"/>
      <c r="X885" s="83"/>
      <c r="Y885" s="83"/>
      <c r="Z885" s="83"/>
      <c r="AA885" s="83"/>
      <c r="AB885" s="83"/>
      <c r="AC885" s="83"/>
      <c r="AD885" s="83"/>
      <c r="AE885" s="83"/>
      <c r="AF885" s="83"/>
      <c r="AG885" s="83"/>
      <c r="AH885" s="83"/>
    </row>
    <row r="886" spans="1:34" ht="69.75" customHeight="1" x14ac:dyDescent="0.25">
      <c r="A886" s="829"/>
      <c r="B886" s="731"/>
      <c r="C886" s="731"/>
      <c r="D886" s="324" t="s">
        <v>351</v>
      </c>
      <c r="E886" s="325"/>
      <c r="F886" s="325"/>
      <c r="G886" s="326"/>
      <c r="H886" s="83"/>
      <c r="I886" s="83"/>
      <c r="J886" s="327"/>
      <c r="K886" s="83"/>
      <c r="L886" s="83"/>
      <c r="M886" s="83"/>
      <c r="N886" s="328"/>
      <c r="O886" s="83"/>
      <c r="P886" s="83"/>
      <c r="Q886" s="83"/>
      <c r="R886" s="83"/>
      <c r="S886" s="83"/>
      <c r="T886" s="83"/>
      <c r="U886" s="83"/>
      <c r="V886" s="83"/>
      <c r="W886" s="83"/>
      <c r="X886" s="83"/>
      <c r="Y886" s="83"/>
      <c r="Z886" s="83"/>
      <c r="AA886" s="83"/>
      <c r="AB886" s="83"/>
      <c r="AC886" s="83"/>
      <c r="AD886" s="83"/>
      <c r="AE886" s="83"/>
      <c r="AF886" s="83"/>
      <c r="AG886" s="83"/>
      <c r="AH886" s="83"/>
    </row>
    <row r="887" spans="1:34" ht="69.75" customHeight="1" x14ac:dyDescent="0.25">
      <c r="A887" s="829"/>
      <c r="B887" s="749" t="s">
        <v>743</v>
      </c>
      <c r="C887" s="749" t="s">
        <v>744</v>
      </c>
      <c r="D887" s="329" t="s">
        <v>354</v>
      </c>
      <c r="E887" s="325"/>
      <c r="F887" s="325"/>
      <c r="G887" s="326"/>
      <c r="H887" s="83"/>
      <c r="I887" s="83"/>
      <c r="J887" s="327"/>
      <c r="K887" s="83"/>
      <c r="L887" s="83"/>
      <c r="M887" s="83"/>
      <c r="N887" s="328"/>
      <c r="O887" s="83"/>
      <c r="P887" s="83"/>
      <c r="Q887" s="83"/>
      <c r="R887" s="83"/>
      <c r="S887" s="83"/>
      <c r="T887" s="83"/>
      <c r="U887" s="83"/>
      <c r="V887" s="83"/>
      <c r="W887" s="83"/>
      <c r="X887" s="83"/>
      <c r="Y887" s="83"/>
      <c r="Z887" s="83"/>
      <c r="AA887" s="83"/>
      <c r="AB887" s="83"/>
      <c r="AC887" s="83"/>
      <c r="AD887" s="83"/>
      <c r="AE887" s="83"/>
      <c r="AF887" s="83"/>
      <c r="AG887" s="83"/>
      <c r="AH887" s="83"/>
    </row>
    <row r="888" spans="1:34" ht="69.75" customHeight="1" x14ac:dyDescent="0.25">
      <c r="A888" s="829"/>
      <c r="B888" s="710"/>
      <c r="C888" s="710"/>
      <c r="D888" s="329" t="s">
        <v>924</v>
      </c>
      <c r="E888" s="325"/>
      <c r="F888" s="325"/>
      <c r="G888" s="326"/>
      <c r="H888" s="83"/>
      <c r="I888" s="83"/>
      <c r="J888" s="327"/>
      <c r="K888" s="83"/>
      <c r="L888" s="83"/>
      <c r="M888" s="83"/>
      <c r="N888" s="328"/>
      <c r="O888" s="83"/>
      <c r="P888" s="83"/>
      <c r="Q888" s="83"/>
      <c r="R888" s="83"/>
      <c r="S888" s="83"/>
      <c r="T888" s="83"/>
      <c r="U888" s="83"/>
      <c r="V888" s="83"/>
      <c r="W888" s="83"/>
      <c r="X888" s="83"/>
      <c r="Y888" s="83"/>
      <c r="Z888" s="83"/>
      <c r="AA888" s="83"/>
      <c r="AB888" s="83"/>
      <c r="AC888" s="83"/>
      <c r="AD888" s="83"/>
      <c r="AE888" s="83"/>
      <c r="AF888" s="83"/>
      <c r="AG888" s="83"/>
      <c r="AH888" s="83"/>
    </row>
    <row r="889" spans="1:34" ht="69.75" customHeight="1" x14ac:dyDescent="0.25">
      <c r="A889" s="829"/>
      <c r="B889" s="710"/>
      <c r="C889" s="710"/>
      <c r="D889" s="329" t="s">
        <v>925</v>
      </c>
      <c r="E889" s="325"/>
      <c r="F889" s="325"/>
      <c r="G889" s="326"/>
      <c r="H889" s="83"/>
      <c r="I889" s="83"/>
      <c r="J889" s="327"/>
      <c r="K889" s="83"/>
      <c r="L889" s="83"/>
      <c r="M889" s="83"/>
      <c r="N889" s="328"/>
      <c r="O889" s="83"/>
      <c r="P889" s="83"/>
      <c r="Q889" s="83"/>
      <c r="R889" s="83"/>
      <c r="S889" s="83"/>
      <c r="T889" s="83"/>
      <c r="U889" s="83"/>
      <c r="V889" s="83"/>
      <c r="W889" s="83"/>
      <c r="X889" s="83"/>
      <c r="Y889" s="83"/>
      <c r="Z889" s="83"/>
      <c r="AA889" s="83"/>
      <c r="AB889" s="83"/>
      <c r="AC889" s="83"/>
      <c r="AD889" s="83"/>
      <c r="AE889" s="83"/>
      <c r="AF889" s="83"/>
      <c r="AG889" s="83"/>
      <c r="AH889" s="83"/>
    </row>
    <row r="890" spans="1:34" ht="69.75" customHeight="1" x14ac:dyDescent="0.25">
      <c r="A890" s="829"/>
      <c r="B890" s="731"/>
      <c r="C890" s="731"/>
      <c r="D890" s="329" t="s">
        <v>674</v>
      </c>
      <c r="E890" s="330"/>
      <c r="F890" s="330"/>
      <c r="G890" s="326"/>
      <c r="H890" s="83"/>
      <c r="I890" s="83"/>
      <c r="J890" s="327"/>
      <c r="K890" s="83"/>
      <c r="L890" s="83"/>
      <c r="M890" s="83"/>
      <c r="N890" s="328"/>
      <c r="O890" s="83"/>
      <c r="P890" s="83"/>
      <c r="Q890" s="83"/>
      <c r="R890" s="83"/>
      <c r="S890" s="83"/>
      <c r="T890" s="83"/>
      <c r="U890" s="83"/>
      <c r="V890" s="83"/>
      <c r="W890" s="83"/>
      <c r="X890" s="83"/>
      <c r="Y890" s="83"/>
      <c r="Z890" s="83"/>
      <c r="AA890" s="83"/>
      <c r="AB890" s="83"/>
      <c r="AC890" s="83"/>
      <c r="AD890" s="83"/>
      <c r="AE890" s="83"/>
      <c r="AF890" s="83"/>
      <c r="AG890" s="83"/>
      <c r="AH890" s="83"/>
    </row>
    <row r="891" spans="1:34" ht="69.75" customHeight="1" x14ac:dyDescent="0.25">
      <c r="A891" s="829"/>
      <c r="B891" s="30" t="s">
        <v>747</v>
      </c>
      <c r="C891" s="30" t="s">
        <v>748</v>
      </c>
      <c r="D891" s="329" t="s">
        <v>926</v>
      </c>
      <c r="E891" s="325"/>
      <c r="F891" s="325"/>
      <c r="G891" s="326"/>
      <c r="H891" s="83"/>
      <c r="I891" s="83"/>
      <c r="J891" s="327"/>
      <c r="K891" s="83"/>
      <c r="L891" s="83"/>
      <c r="M891" s="83"/>
      <c r="N891" s="328"/>
      <c r="O891" s="83"/>
      <c r="P891" s="83"/>
      <c r="Q891" s="83"/>
      <c r="R891" s="83"/>
      <c r="S891" s="83"/>
      <c r="T891" s="83"/>
      <c r="U891" s="83"/>
      <c r="V891" s="83"/>
      <c r="W891" s="83"/>
      <c r="X891" s="83"/>
      <c r="Y891" s="83"/>
      <c r="Z891" s="83"/>
      <c r="AA891" s="83"/>
      <c r="AB891" s="83"/>
      <c r="AC891" s="83"/>
      <c r="AD891" s="83"/>
      <c r="AE891" s="83"/>
      <c r="AF891" s="83"/>
      <c r="AG891" s="83"/>
      <c r="AH891" s="83"/>
    </row>
    <row r="892" spans="1:34" ht="69.75" customHeight="1" thickBot="1" x14ac:dyDescent="0.3">
      <c r="A892" s="823"/>
      <c r="B892" s="30" t="s">
        <v>751</v>
      </c>
      <c r="C892" s="30" t="s">
        <v>752</v>
      </c>
      <c r="D892" s="329" t="s">
        <v>370</v>
      </c>
      <c r="E892" s="325"/>
      <c r="F892" s="325"/>
      <c r="G892" s="326"/>
      <c r="H892" s="83"/>
      <c r="I892" s="83"/>
      <c r="J892" s="327"/>
      <c r="K892" s="83"/>
      <c r="L892" s="83"/>
      <c r="M892" s="83"/>
      <c r="N892" s="328"/>
      <c r="O892" s="83"/>
      <c r="P892" s="83"/>
      <c r="Q892" s="83"/>
      <c r="R892" s="83"/>
      <c r="S892" s="83"/>
      <c r="T892" s="83"/>
      <c r="U892" s="83"/>
      <c r="V892" s="83"/>
      <c r="W892" s="83"/>
      <c r="X892" s="83"/>
      <c r="Y892" s="83"/>
      <c r="Z892" s="83"/>
      <c r="AA892" s="83"/>
      <c r="AB892" s="83"/>
      <c r="AC892" s="83"/>
      <c r="AD892" s="83"/>
      <c r="AE892" s="83"/>
      <c r="AF892" s="83"/>
      <c r="AG892" s="83"/>
      <c r="AH892" s="83"/>
    </row>
    <row r="893" spans="1:34" ht="69.75" customHeight="1" x14ac:dyDescent="0.25">
      <c r="A893" s="874" t="s">
        <v>718</v>
      </c>
      <c r="B893" s="878" t="s">
        <v>739</v>
      </c>
      <c r="C893" s="878" t="s">
        <v>740</v>
      </c>
      <c r="D893" s="324" t="s">
        <v>339</v>
      </c>
      <c r="E893" s="325"/>
      <c r="F893" s="325"/>
      <c r="G893" s="326"/>
      <c r="H893" s="83"/>
      <c r="I893" s="83"/>
      <c r="J893" s="327"/>
      <c r="K893" s="83"/>
      <c r="L893" s="83"/>
      <c r="M893" s="83"/>
      <c r="N893" s="328"/>
      <c r="O893" s="83"/>
      <c r="P893" s="83"/>
      <c r="Q893" s="83"/>
      <c r="R893" s="83"/>
      <c r="S893" s="83"/>
      <c r="T893" s="83"/>
      <c r="U893" s="83"/>
      <c r="V893" s="83"/>
      <c r="W893" s="83"/>
      <c r="X893" s="83"/>
      <c r="Y893" s="83"/>
      <c r="Z893" s="83"/>
      <c r="AA893" s="83"/>
      <c r="AB893" s="83"/>
      <c r="AC893" s="83"/>
      <c r="AD893" s="83"/>
      <c r="AE893" s="83"/>
      <c r="AF893" s="83"/>
      <c r="AG893" s="83"/>
      <c r="AH893" s="83"/>
    </row>
    <row r="894" spans="1:34" ht="69.75" customHeight="1" x14ac:dyDescent="0.25">
      <c r="A894" s="829"/>
      <c r="B894" s="710"/>
      <c r="C894" s="710"/>
      <c r="D894" s="324" t="s">
        <v>349</v>
      </c>
      <c r="E894" s="325"/>
      <c r="F894" s="325"/>
      <c r="G894" s="326"/>
      <c r="H894" s="83"/>
      <c r="I894" s="83"/>
      <c r="J894" s="327"/>
      <c r="K894" s="83"/>
      <c r="L894" s="83"/>
      <c r="M894" s="83"/>
      <c r="N894" s="328"/>
      <c r="O894" s="83"/>
      <c r="P894" s="83"/>
      <c r="Q894" s="83"/>
      <c r="R894" s="83"/>
      <c r="S894" s="83"/>
      <c r="T894" s="83"/>
      <c r="U894" s="83"/>
      <c r="V894" s="83"/>
      <c r="W894" s="83"/>
      <c r="X894" s="83"/>
      <c r="Y894" s="83"/>
      <c r="Z894" s="83"/>
      <c r="AA894" s="83"/>
      <c r="AB894" s="83"/>
      <c r="AC894" s="83"/>
      <c r="AD894" s="83"/>
      <c r="AE894" s="83"/>
      <c r="AF894" s="83"/>
      <c r="AG894" s="83"/>
      <c r="AH894" s="83"/>
    </row>
    <row r="895" spans="1:34" ht="69.75" customHeight="1" x14ac:dyDescent="0.25">
      <c r="A895" s="829"/>
      <c r="B895" s="731"/>
      <c r="C895" s="731"/>
      <c r="D895" s="324" t="s">
        <v>351</v>
      </c>
      <c r="E895" s="325"/>
      <c r="F895" s="325"/>
      <c r="G895" s="326"/>
      <c r="H895" s="83"/>
      <c r="I895" s="83"/>
      <c r="J895" s="327"/>
      <c r="K895" s="83"/>
      <c r="L895" s="83"/>
      <c r="M895" s="83"/>
      <c r="N895" s="328"/>
      <c r="O895" s="83"/>
      <c r="P895" s="83"/>
      <c r="Q895" s="83"/>
      <c r="R895" s="83"/>
      <c r="S895" s="83"/>
      <c r="T895" s="83"/>
      <c r="U895" s="83"/>
      <c r="V895" s="83"/>
      <c r="W895" s="83"/>
      <c r="X895" s="83"/>
      <c r="Y895" s="83"/>
      <c r="Z895" s="83"/>
      <c r="AA895" s="83"/>
      <c r="AB895" s="83"/>
      <c r="AC895" s="83"/>
      <c r="AD895" s="83"/>
      <c r="AE895" s="83"/>
      <c r="AF895" s="83"/>
      <c r="AG895" s="83"/>
      <c r="AH895" s="83"/>
    </row>
    <row r="896" spans="1:34" ht="69.75" customHeight="1" x14ac:dyDescent="0.25">
      <c r="A896" s="829"/>
      <c r="B896" s="749" t="s">
        <v>743</v>
      </c>
      <c r="C896" s="749" t="s">
        <v>744</v>
      </c>
      <c r="D896" s="329" t="s">
        <v>354</v>
      </c>
      <c r="E896" s="325"/>
      <c r="F896" s="325"/>
      <c r="G896" s="326"/>
      <c r="H896" s="83"/>
      <c r="I896" s="83"/>
      <c r="J896" s="327"/>
      <c r="K896" s="83"/>
      <c r="L896" s="83"/>
      <c r="M896" s="83"/>
      <c r="N896" s="328"/>
      <c r="O896" s="83"/>
      <c r="P896" s="83"/>
      <c r="Q896" s="83"/>
      <c r="R896" s="83"/>
      <c r="S896" s="83"/>
      <c r="T896" s="83"/>
      <c r="U896" s="83"/>
      <c r="V896" s="83"/>
      <c r="W896" s="83"/>
      <c r="X896" s="83"/>
      <c r="Y896" s="83"/>
      <c r="Z896" s="83"/>
      <c r="AA896" s="83"/>
      <c r="AB896" s="83"/>
      <c r="AC896" s="83"/>
      <c r="AD896" s="83"/>
      <c r="AE896" s="83"/>
      <c r="AF896" s="83"/>
      <c r="AG896" s="83"/>
      <c r="AH896" s="83"/>
    </row>
    <row r="897" spans="1:34" ht="69.75" customHeight="1" x14ac:dyDescent="0.25">
      <c r="A897" s="829"/>
      <c r="B897" s="710"/>
      <c r="C897" s="710"/>
      <c r="D897" s="329" t="s">
        <v>924</v>
      </c>
      <c r="E897" s="325"/>
      <c r="F897" s="325"/>
      <c r="G897" s="326"/>
      <c r="H897" s="83"/>
      <c r="I897" s="83"/>
      <c r="J897" s="327"/>
      <c r="K897" s="83"/>
      <c r="L897" s="83"/>
      <c r="M897" s="83"/>
      <c r="N897" s="328"/>
      <c r="O897" s="83"/>
      <c r="P897" s="83"/>
      <c r="Q897" s="83"/>
      <c r="R897" s="83"/>
      <c r="S897" s="83"/>
      <c r="T897" s="83"/>
      <c r="U897" s="83"/>
      <c r="V897" s="83"/>
      <c r="W897" s="83"/>
      <c r="X897" s="83"/>
      <c r="Y897" s="83"/>
      <c r="Z897" s="83"/>
      <c r="AA897" s="83"/>
      <c r="AB897" s="83"/>
      <c r="AC897" s="83"/>
      <c r="AD897" s="83"/>
      <c r="AE897" s="83"/>
      <c r="AF897" s="83"/>
      <c r="AG897" s="83"/>
      <c r="AH897" s="83"/>
    </row>
    <row r="898" spans="1:34" ht="69.75" customHeight="1" x14ac:dyDescent="0.25">
      <c r="A898" s="829"/>
      <c r="B898" s="710"/>
      <c r="C898" s="710"/>
      <c r="D898" s="329" t="s">
        <v>925</v>
      </c>
      <c r="E898" s="325"/>
      <c r="F898" s="325"/>
      <c r="G898" s="326"/>
      <c r="H898" s="83"/>
      <c r="I898" s="83"/>
      <c r="J898" s="327"/>
      <c r="K898" s="83"/>
      <c r="L898" s="83"/>
      <c r="M898" s="83"/>
      <c r="N898" s="328"/>
      <c r="O898" s="83"/>
      <c r="P898" s="83"/>
      <c r="Q898" s="83"/>
      <c r="R898" s="83"/>
      <c r="S898" s="83"/>
      <c r="T898" s="83"/>
      <c r="U898" s="83"/>
      <c r="V898" s="83"/>
      <c r="W898" s="83"/>
      <c r="X898" s="83"/>
      <c r="Y898" s="83"/>
      <c r="Z898" s="83"/>
      <c r="AA898" s="83"/>
      <c r="AB898" s="83"/>
      <c r="AC898" s="83"/>
      <c r="AD898" s="83"/>
      <c r="AE898" s="83"/>
      <c r="AF898" s="83"/>
      <c r="AG898" s="83"/>
      <c r="AH898" s="83"/>
    </row>
    <row r="899" spans="1:34" ht="69.75" customHeight="1" x14ac:dyDescent="0.25">
      <c r="A899" s="829"/>
      <c r="B899" s="731"/>
      <c r="C899" s="731"/>
      <c r="D899" s="329" t="s">
        <v>674</v>
      </c>
      <c r="E899" s="330"/>
      <c r="F899" s="330"/>
      <c r="G899" s="326"/>
      <c r="H899" s="83"/>
      <c r="I899" s="83"/>
      <c r="J899" s="327"/>
      <c r="K899" s="83"/>
      <c r="L899" s="83"/>
      <c r="M899" s="83"/>
      <c r="N899" s="328"/>
      <c r="O899" s="83"/>
      <c r="P899" s="83"/>
      <c r="Q899" s="83"/>
      <c r="R899" s="83"/>
      <c r="S899" s="83"/>
      <c r="T899" s="83"/>
      <c r="U899" s="83"/>
      <c r="V899" s="83"/>
      <c r="W899" s="83"/>
      <c r="X899" s="83"/>
      <c r="Y899" s="83"/>
      <c r="Z899" s="83"/>
      <c r="AA899" s="83"/>
      <c r="AB899" s="83"/>
      <c r="AC899" s="83"/>
      <c r="AD899" s="83"/>
      <c r="AE899" s="83"/>
      <c r="AF899" s="83"/>
      <c r="AG899" s="83"/>
      <c r="AH899" s="83"/>
    </row>
    <row r="900" spans="1:34" ht="69.75" customHeight="1" x14ac:dyDescent="0.25">
      <c r="A900" s="829"/>
      <c r="B900" s="30" t="s">
        <v>747</v>
      </c>
      <c r="C900" s="30" t="s">
        <v>748</v>
      </c>
      <c r="D900" s="329" t="s">
        <v>926</v>
      </c>
      <c r="E900" s="325"/>
      <c r="F900" s="325"/>
      <c r="G900" s="326"/>
      <c r="H900" s="83"/>
      <c r="I900" s="83"/>
      <c r="J900" s="327"/>
      <c r="K900" s="83"/>
      <c r="L900" s="83"/>
      <c r="M900" s="83"/>
      <c r="N900" s="328"/>
      <c r="O900" s="83"/>
      <c r="P900" s="83"/>
      <c r="Q900" s="83"/>
      <c r="R900" s="83"/>
      <c r="S900" s="83"/>
      <c r="T900" s="83"/>
      <c r="U900" s="83"/>
      <c r="V900" s="83"/>
      <c r="W900" s="83"/>
      <c r="X900" s="83"/>
      <c r="Y900" s="83"/>
      <c r="Z900" s="83"/>
      <c r="AA900" s="83"/>
      <c r="AB900" s="83"/>
      <c r="AC900" s="83"/>
      <c r="AD900" s="83"/>
      <c r="AE900" s="83"/>
      <c r="AF900" s="83"/>
      <c r="AG900" s="83"/>
      <c r="AH900" s="83"/>
    </row>
    <row r="901" spans="1:34" ht="69.75" customHeight="1" thickBot="1" x14ac:dyDescent="0.3">
      <c r="A901" s="823"/>
      <c r="B901" s="30" t="s">
        <v>751</v>
      </c>
      <c r="C901" s="30" t="s">
        <v>752</v>
      </c>
      <c r="D901" s="329" t="s">
        <v>370</v>
      </c>
      <c r="E901" s="325"/>
      <c r="F901" s="325"/>
      <c r="G901" s="326"/>
      <c r="H901" s="83"/>
      <c r="I901" s="83"/>
      <c r="J901" s="327"/>
      <c r="K901" s="83"/>
      <c r="L901" s="83"/>
      <c r="M901" s="83"/>
      <c r="N901" s="328"/>
      <c r="O901" s="83"/>
      <c r="P901" s="83"/>
      <c r="Q901" s="83"/>
      <c r="R901" s="83"/>
      <c r="S901" s="83"/>
      <c r="T901" s="83"/>
      <c r="U901" s="83"/>
      <c r="V901" s="83"/>
      <c r="W901" s="83"/>
      <c r="X901" s="83"/>
      <c r="Y901" s="83"/>
      <c r="Z901" s="83"/>
      <c r="AA901" s="83"/>
      <c r="AB901" s="83"/>
      <c r="AC901" s="83"/>
      <c r="AD901" s="83"/>
      <c r="AE901" s="83"/>
      <c r="AF901" s="83"/>
      <c r="AG901" s="83"/>
      <c r="AH901" s="83"/>
    </row>
    <row r="902" spans="1:34" ht="69.75" customHeight="1" x14ac:dyDescent="0.25">
      <c r="A902" s="874" t="s">
        <v>720</v>
      </c>
      <c r="B902" s="878" t="s">
        <v>739</v>
      </c>
      <c r="C902" s="878" t="s">
        <v>740</v>
      </c>
      <c r="D902" s="324" t="s">
        <v>339</v>
      </c>
      <c r="E902" s="325"/>
      <c r="F902" s="325"/>
      <c r="G902" s="326"/>
      <c r="H902" s="83"/>
      <c r="I902" s="83"/>
      <c r="J902" s="327"/>
      <c r="K902" s="83"/>
      <c r="L902" s="83"/>
      <c r="M902" s="83"/>
      <c r="N902" s="328"/>
      <c r="O902" s="83"/>
      <c r="P902" s="83"/>
      <c r="Q902" s="83"/>
      <c r="R902" s="83"/>
      <c r="S902" s="83"/>
      <c r="T902" s="83"/>
      <c r="U902" s="83"/>
      <c r="V902" s="83"/>
      <c r="W902" s="83"/>
      <c r="X902" s="83"/>
      <c r="Y902" s="83"/>
      <c r="Z902" s="83"/>
      <c r="AA902" s="83"/>
      <c r="AB902" s="83"/>
      <c r="AC902" s="83"/>
      <c r="AD902" s="83"/>
      <c r="AE902" s="83"/>
      <c r="AF902" s="83"/>
      <c r="AG902" s="83"/>
      <c r="AH902" s="83"/>
    </row>
    <row r="903" spans="1:34" ht="69.75" customHeight="1" x14ac:dyDescent="0.25">
      <c r="A903" s="829"/>
      <c r="B903" s="710"/>
      <c r="C903" s="710"/>
      <c r="D903" s="324" t="s">
        <v>349</v>
      </c>
      <c r="E903" s="325"/>
      <c r="F903" s="325"/>
      <c r="G903" s="326"/>
      <c r="H903" s="83"/>
      <c r="I903" s="83"/>
      <c r="J903" s="327"/>
      <c r="K903" s="83"/>
      <c r="L903" s="83"/>
      <c r="M903" s="83"/>
      <c r="N903" s="328"/>
      <c r="O903" s="83"/>
      <c r="P903" s="83"/>
      <c r="Q903" s="83"/>
      <c r="R903" s="83"/>
      <c r="S903" s="83"/>
      <c r="T903" s="83"/>
      <c r="U903" s="83"/>
      <c r="V903" s="83"/>
      <c r="W903" s="83"/>
      <c r="X903" s="83"/>
      <c r="Y903" s="83"/>
      <c r="Z903" s="83"/>
      <c r="AA903" s="83"/>
      <c r="AB903" s="83"/>
      <c r="AC903" s="83"/>
      <c r="AD903" s="83"/>
      <c r="AE903" s="83"/>
      <c r="AF903" s="83"/>
      <c r="AG903" s="83"/>
      <c r="AH903" s="83"/>
    </row>
    <row r="904" spans="1:34" ht="69.75" customHeight="1" x14ac:dyDescent="0.25">
      <c r="A904" s="829"/>
      <c r="B904" s="731"/>
      <c r="C904" s="731"/>
      <c r="D904" s="324" t="s">
        <v>351</v>
      </c>
      <c r="E904" s="325"/>
      <c r="F904" s="325"/>
      <c r="G904" s="326"/>
      <c r="H904" s="83"/>
      <c r="I904" s="83"/>
      <c r="J904" s="327"/>
      <c r="K904" s="83"/>
      <c r="L904" s="83"/>
      <c r="M904" s="83"/>
      <c r="N904" s="328"/>
      <c r="O904" s="83"/>
      <c r="P904" s="83"/>
      <c r="Q904" s="83"/>
      <c r="R904" s="83"/>
      <c r="S904" s="83"/>
      <c r="T904" s="83"/>
      <c r="U904" s="83"/>
      <c r="V904" s="83"/>
      <c r="W904" s="83"/>
      <c r="X904" s="83"/>
      <c r="Y904" s="83"/>
      <c r="Z904" s="83"/>
      <c r="AA904" s="83"/>
      <c r="AB904" s="83"/>
      <c r="AC904" s="83"/>
      <c r="AD904" s="83"/>
      <c r="AE904" s="83"/>
      <c r="AF904" s="83"/>
      <c r="AG904" s="83"/>
      <c r="AH904" s="83"/>
    </row>
    <row r="905" spans="1:34" ht="69.75" customHeight="1" x14ac:dyDescent="0.25">
      <c r="A905" s="829"/>
      <c r="B905" s="749" t="s">
        <v>743</v>
      </c>
      <c r="C905" s="749" t="s">
        <v>744</v>
      </c>
      <c r="D905" s="329" t="s">
        <v>354</v>
      </c>
      <c r="E905" s="325"/>
      <c r="F905" s="325"/>
      <c r="G905" s="326"/>
      <c r="H905" s="83"/>
      <c r="I905" s="83"/>
      <c r="J905" s="327"/>
      <c r="K905" s="83"/>
      <c r="L905" s="83"/>
      <c r="M905" s="83"/>
      <c r="N905" s="328"/>
      <c r="O905" s="83"/>
      <c r="P905" s="83"/>
      <c r="Q905" s="83"/>
      <c r="R905" s="83"/>
      <c r="S905" s="83"/>
      <c r="T905" s="83"/>
      <c r="U905" s="83"/>
      <c r="V905" s="83"/>
      <c r="W905" s="83"/>
      <c r="X905" s="83"/>
      <c r="Y905" s="83"/>
      <c r="Z905" s="83"/>
      <c r="AA905" s="83"/>
      <c r="AB905" s="83"/>
      <c r="AC905" s="83"/>
      <c r="AD905" s="83"/>
      <c r="AE905" s="83"/>
      <c r="AF905" s="83"/>
      <c r="AG905" s="83"/>
      <c r="AH905" s="83"/>
    </row>
    <row r="906" spans="1:34" ht="69.75" customHeight="1" x14ac:dyDescent="0.25">
      <c r="A906" s="829"/>
      <c r="B906" s="710"/>
      <c r="C906" s="710"/>
      <c r="D906" s="329" t="s">
        <v>924</v>
      </c>
      <c r="E906" s="325"/>
      <c r="F906" s="325"/>
      <c r="G906" s="326"/>
      <c r="H906" s="83"/>
      <c r="I906" s="83"/>
      <c r="J906" s="327"/>
      <c r="K906" s="83"/>
      <c r="L906" s="83"/>
      <c r="M906" s="83"/>
      <c r="N906" s="328"/>
      <c r="O906" s="83"/>
      <c r="P906" s="83"/>
      <c r="Q906" s="83"/>
      <c r="R906" s="83"/>
      <c r="S906" s="83"/>
      <c r="T906" s="83"/>
      <c r="U906" s="83"/>
      <c r="V906" s="83"/>
      <c r="W906" s="83"/>
      <c r="X906" s="83"/>
      <c r="Y906" s="83"/>
      <c r="Z906" s="83"/>
      <c r="AA906" s="83"/>
      <c r="AB906" s="83"/>
      <c r="AC906" s="83"/>
      <c r="AD906" s="83"/>
      <c r="AE906" s="83"/>
      <c r="AF906" s="83"/>
      <c r="AG906" s="83"/>
      <c r="AH906" s="83"/>
    </row>
    <row r="907" spans="1:34" ht="69.75" customHeight="1" x14ac:dyDescent="0.25">
      <c r="A907" s="829"/>
      <c r="B907" s="710"/>
      <c r="C907" s="710"/>
      <c r="D907" s="329" t="s">
        <v>925</v>
      </c>
      <c r="E907" s="325"/>
      <c r="F907" s="325"/>
      <c r="G907" s="326"/>
      <c r="H907" s="83"/>
      <c r="I907" s="83"/>
      <c r="J907" s="327"/>
      <c r="K907" s="83"/>
      <c r="L907" s="83"/>
      <c r="M907" s="83"/>
      <c r="N907" s="328"/>
      <c r="O907" s="83"/>
      <c r="P907" s="83"/>
      <c r="Q907" s="83"/>
      <c r="R907" s="83"/>
      <c r="S907" s="83"/>
      <c r="T907" s="83"/>
      <c r="U907" s="83"/>
      <c r="V907" s="83"/>
      <c r="W907" s="83"/>
      <c r="X907" s="83"/>
      <c r="Y907" s="83"/>
      <c r="Z907" s="83"/>
      <c r="AA907" s="83"/>
      <c r="AB907" s="83"/>
      <c r="AC907" s="83"/>
      <c r="AD907" s="83"/>
      <c r="AE907" s="83"/>
      <c r="AF907" s="83"/>
      <c r="AG907" s="83"/>
      <c r="AH907" s="83"/>
    </row>
    <row r="908" spans="1:34" ht="69.75" customHeight="1" x14ac:dyDescent="0.25">
      <c r="A908" s="829"/>
      <c r="B908" s="731"/>
      <c r="C908" s="731"/>
      <c r="D908" s="329" t="s">
        <v>674</v>
      </c>
      <c r="E908" s="330"/>
      <c r="F908" s="330"/>
      <c r="G908" s="326"/>
      <c r="H908" s="83"/>
      <c r="I908" s="83"/>
      <c r="J908" s="327"/>
      <c r="K908" s="83"/>
      <c r="L908" s="83"/>
      <c r="M908" s="83"/>
      <c r="N908" s="328"/>
      <c r="O908" s="83"/>
      <c r="P908" s="83"/>
      <c r="Q908" s="83"/>
      <c r="R908" s="83"/>
      <c r="S908" s="83"/>
      <c r="T908" s="83"/>
      <c r="U908" s="83"/>
      <c r="V908" s="83"/>
      <c r="W908" s="83"/>
      <c r="X908" s="83"/>
      <c r="Y908" s="83"/>
      <c r="Z908" s="83"/>
      <c r="AA908" s="83"/>
      <c r="AB908" s="83"/>
      <c r="AC908" s="83"/>
      <c r="AD908" s="83"/>
      <c r="AE908" s="83"/>
      <c r="AF908" s="83"/>
      <c r="AG908" s="83"/>
      <c r="AH908" s="83"/>
    </row>
    <row r="909" spans="1:34" ht="69.75" customHeight="1" x14ac:dyDescent="0.25">
      <c r="A909" s="829"/>
      <c r="B909" s="30" t="s">
        <v>747</v>
      </c>
      <c r="C909" s="30" t="s">
        <v>748</v>
      </c>
      <c r="D909" s="329" t="s">
        <v>926</v>
      </c>
      <c r="E909" s="325"/>
      <c r="F909" s="325"/>
      <c r="G909" s="326"/>
      <c r="H909" s="83"/>
      <c r="I909" s="83"/>
      <c r="J909" s="327"/>
      <c r="K909" s="83"/>
      <c r="L909" s="83"/>
      <c r="M909" s="83"/>
      <c r="N909" s="328"/>
      <c r="O909" s="83"/>
      <c r="P909" s="83"/>
      <c r="Q909" s="83"/>
      <c r="R909" s="83"/>
      <c r="S909" s="83"/>
      <c r="T909" s="83"/>
      <c r="U909" s="83"/>
      <c r="V909" s="83"/>
      <c r="W909" s="83"/>
      <c r="X909" s="83"/>
      <c r="Y909" s="83"/>
      <c r="Z909" s="83"/>
      <c r="AA909" s="83"/>
      <c r="AB909" s="83"/>
      <c r="AC909" s="83"/>
      <c r="AD909" s="83"/>
      <c r="AE909" s="83"/>
      <c r="AF909" s="83"/>
      <c r="AG909" s="83"/>
      <c r="AH909" s="83"/>
    </row>
    <row r="910" spans="1:34" ht="69.75" customHeight="1" x14ac:dyDescent="0.25">
      <c r="A910" s="823"/>
      <c r="B910" s="30" t="s">
        <v>751</v>
      </c>
      <c r="C910" s="30" t="s">
        <v>752</v>
      </c>
      <c r="D910" s="329" t="s">
        <v>370</v>
      </c>
      <c r="E910" s="325"/>
      <c r="F910" s="325"/>
      <c r="G910" s="326"/>
      <c r="H910" s="83"/>
      <c r="I910" s="83"/>
      <c r="J910" s="327"/>
      <c r="K910" s="83"/>
      <c r="L910" s="83"/>
      <c r="M910" s="83"/>
      <c r="N910" s="328"/>
      <c r="O910" s="83"/>
      <c r="P910" s="83"/>
      <c r="Q910" s="83"/>
      <c r="R910" s="83"/>
      <c r="S910" s="83"/>
      <c r="T910" s="83"/>
      <c r="U910" s="83"/>
      <c r="V910" s="83"/>
      <c r="W910" s="83"/>
      <c r="X910" s="83"/>
      <c r="Y910" s="83"/>
      <c r="Z910" s="83"/>
      <c r="AA910" s="83"/>
      <c r="AB910" s="83"/>
      <c r="AC910" s="83"/>
      <c r="AD910" s="83"/>
      <c r="AE910" s="83"/>
      <c r="AF910" s="83"/>
      <c r="AG910" s="83"/>
      <c r="AH910" s="83"/>
    </row>
    <row r="911" spans="1:34" ht="69.75" customHeight="1" thickBot="1" x14ac:dyDescent="0.3">
      <c r="A911" s="618"/>
      <c r="B911" s="602"/>
      <c r="C911" s="602"/>
      <c r="D911" s="603"/>
      <c r="E911" s="619"/>
      <c r="F911" s="619"/>
      <c r="G911" s="604"/>
      <c r="H911" s="83"/>
      <c r="I911" s="83"/>
      <c r="J911" s="327"/>
      <c r="K911" s="83"/>
      <c r="L911" s="83"/>
      <c r="M911" s="83"/>
      <c r="N911" s="328"/>
      <c r="O911" s="83"/>
      <c r="P911" s="83"/>
      <c r="Q911" s="83"/>
      <c r="R911" s="83"/>
      <c r="S911" s="83"/>
      <c r="T911" s="83"/>
      <c r="U911" s="83"/>
      <c r="V911" s="83"/>
      <c r="W911" s="83"/>
      <c r="X911" s="83"/>
      <c r="Y911" s="83"/>
      <c r="Z911" s="83"/>
      <c r="AA911" s="83"/>
      <c r="AB911" s="83"/>
      <c r="AC911" s="83"/>
      <c r="AD911" s="83"/>
      <c r="AE911" s="83"/>
      <c r="AF911" s="83"/>
      <c r="AG911" s="83"/>
      <c r="AH911" s="83"/>
    </row>
    <row r="912" spans="1:34" ht="24.75" customHeight="1" x14ac:dyDescent="0.3">
      <c r="A912" s="877" t="s">
        <v>936</v>
      </c>
      <c r="B912" s="695"/>
      <c r="C912" s="695"/>
      <c r="D912" s="695"/>
      <c r="E912" s="695"/>
      <c r="F912" s="695"/>
      <c r="G912" s="695"/>
      <c r="H912" s="736"/>
      <c r="J912" s="120"/>
      <c r="N912" s="197"/>
    </row>
    <row r="913" spans="1:34" ht="46.5" customHeight="1" x14ac:dyDescent="0.25">
      <c r="A913" s="198" t="s">
        <v>24</v>
      </c>
      <c r="B913" s="199" t="s">
        <v>937</v>
      </c>
      <c r="C913" s="359" t="s">
        <v>729</v>
      </c>
      <c r="D913" s="359" t="s">
        <v>730</v>
      </c>
      <c r="E913" s="359" t="s">
        <v>938</v>
      </c>
      <c r="F913" s="359" t="s">
        <v>939</v>
      </c>
      <c r="G913" s="359" t="s">
        <v>940</v>
      </c>
      <c r="H913" s="200" t="s">
        <v>923</v>
      </c>
      <c r="J913" s="120"/>
      <c r="N913" s="197"/>
    </row>
    <row r="914" spans="1:34" ht="15.75" customHeight="1" x14ac:dyDescent="0.25">
      <c r="A914" s="201" t="s">
        <v>707</v>
      </c>
      <c r="B914" s="360"/>
      <c r="C914" s="317"/>
      <c r="D914" s="317"/>
      <c r="E914" s="361"/>
      <c r="F914" s="361"/>
      <c r="G914" s="361" t="e">
        <f t="shared" ref="G914:G921" si="16">F914/E914</f>
        <v>#DIV/0!</v>
      </c>
      <c r="H914" s="319"/>
      <c r="J914" s="120"/>
      <c r="N914" s="197"/>
    </row>
    <row r="915" spans="1:34" ht="15.75" customHeight="1" x14ac:dyDescent="0.25">
      <c r="A915" s="201" t="s">
        <v>708</v>
      </c>
      <c r="B915" s="360"/>
      <c r="C915" s="317"/>
      <c r="D915" s="317"/>
      <c r="E915" s="361"/>
      <c r="F915" s="362"/>
      <c r="G915" s="362" t="e">
        <f t="shared" si="16"/>
        <v>#DIV/0!</v>
      </c>
      <c r="H915" s="363"/>
      <c r="J915" s="120"/>
      <c r="N915" s="197"/>
    </row>
    <row r="916" spans="1:34" ht="15.75" customHeight="1" x14ac:dyDescent="0.25">
      <c r="A916" s="201" t="s">
        <v>709</v>
      </c>
      <c r="B916" s="360"/>
      <c r="C916" s="317"/>
      <c r="D916" s="317"/>
      <c r="E916" s="361"/>
      <c r="F916" s="362"/>
      <c r="G916" s="362" t="e">
        <f t="shared" si="16"/>
        <v>#DIV/0!</v>
      </c>
      <c r="H916" s="363"/>
      <c r="J916" s="120"/>
      <c r="N916" s="197"/>
    </row>
    <row r="917" spans="1:34" ht="77.25" customHeight="1" x14ac:dyDescent="0.25">
      <c r="A917" s="885" t="s">
        <v>713</v>
      </c>
      <c r="B917" s="360" t="s">
        <v>941</v>
      </c>
      <c r="C917" s="317" t="s">
        <v>176</v>
      </c>
      <c r="D917" s="317">
        <v>20</v>
      </c>
      <c r="E917" s="361">
        <v>86</v>
      </c>
      <c r="F917" s="362">
        <v>86</v>
      </c>
      <c r="G917" s="364">
        <f t="shared" si="16"/>
        <v>1</v>
      </c>
      <c r="H917" s="365" t="s">
        <v>942</v>
      </c>
      <c r="J917" s="120"/>
      <c r="N917" s="197"/>
    </row>
    <row r="918" spans="1:34" ht="78" customHeight="1" x14ac:dyDescent="0.25">
      <c r="A918" s="829"/>
      <c r="B918" s="360" t="s">
        <v>943</v>
      </c>
      <c r="C918" s="317" t="s">
        <v>944</v>
      </c>
      <c r="D918" s="317">
        <v>20</v>
      </c>
      <c r="E918" s="361">
        <v>0.25</v>
      </c>
      <c r="F918" s="361">
        <v>0.25</v>
      </c>
      <c r="G918" s="364">
        <f t="shared" si="16"/>
        <v>1</v>
      </c>
      <c r="H918" s="365" t="s">
        <v>945</v>
      </c>
      <c r="J918" s="120"/>
      <c r="N918" s="197"/>
    </row>
    <row r="919" spans="1:34" ht="66.75" customHeight="1" x14ac:dyDescent="0.25">
      <c r="A919" s="829"/>
      <c r="B919" s="360" t="s">
        <v>946</v>
      </c>
      <c r="C919" s="317" t="s">
        <v>176</v>
      </c>
      <c r="D919" s="317">
        <v>20</v>
      </c>
      <c r="E919" s="361">
        <v>0.1</v>
      </c>
      <c r="F919" s="361">
        <v>0.1</v>
      </c>
      <c r="G919" s="364">
        <f t="shared" si="16"/>
        <v>1</v>
      </c>
      <c r="H919" s="365" t="s">
        <v>947</v>
      </c>
      <c r="J919" s="120"/>
      <c r="N919" s="197"/>
    </row>
    <row r="920" spans="1:34" ht="76.5" customHeight="1" x14ac:dyDescent="0.25">
      <c r="A920" s="829"/>
      <c r="B920" s="360" t="s">
        <v>948</v>
      </c>
      <c r="C920" s="317" t="s">
        <v>176</v>
      </c>
      <c r="D920" s="317">
        <v>20</v>
      </c>
      <c r="E920" s="361">
        <v>6</v>
      </c>
      <c r="F920" s="361">
        <v>6</v>
      </c>
      <c r="G920" s="364">
        <f t="shared" si="16"/>
        <v>1</v>
      </c>
      <c r="H920" s="365" t="s">
        <v>949</v>
      </c>
      <c r="J920" s="120"/>
      <c r="N920" s="197"/>
    </row>
    <row r="921" spans="1:34" ht="85.5" customHeight="1" x14ac:dyDescent="0.25">
      <c r="A921" s="823"/>
      <c r="B921" s="360" t="s">
        <v>950</v>
      </c>
      <c r="C921" s="317" t="s">
        <v>176</v>
      </c>
      <c r="D921" s="317">
        <v>20</v>
      </c>
      <c r="E921" s="361">
        <v>0.5</v>
      </c>
      <c r="F921" s="361">
        <v>0.5</v>
      </c>
      <c r="G921" s="364">
        <f t="shared" si="16"/>
        <v>1</v>
      </c>
      <c r="H921" s="365" t="s">
        <v>951</v>
      </c>
      <c r="J921" s="120"/>
      <c r="N921" s="197"/>
    </row>
    <row r="922" spans="1:34" ht="15.75" customHeight="1" x14ac:dyDescent="0.25">
      <c r="B922" s="196"/>
      <c r="C922" s="197"/>
      <c r="D922" s="197"/>
      <c r="J922" s="120"/>
      <c r="N922" s="197"/>
    </row>
    <row r="923" spans="1:34" ht="25.5" customHeight="1" x14ac:dyDescent="0.3">
      <c r="A923" s="877" t="s">
        <v>952</v>
      </c>
      <c r="B923" s="695"/>
      <c r="C923" s="695"/>
      <c r="D923" s="695"/>
      <c r="E923" s="695"/>
      <c r="F923" s="695"/>
      <c r="G923" s="695"/>
      <c r="H923" s="736"/>
      <c r="J923" s="120"/>
      <c r="N923" s="197"/>
    </row>
    <row r="924" spans="1:34" ht="53.25" customHeight="1" x14ac:dyDescent="0.25">
      <c r="A924" s="198" t="s">
        <v>25</v>
      </c>
      <c r="B924" s="199" t="s">
        <v>937</v>
      </c>
      <c r="C924" s="359" t="s">
        <v>729</v>
      </c>
      <c r="D924" s="359" t="s">
        <v>764</v>
      </c>
      <c r="E924" s="359" t="s">
        <v>953</v>
      </c>
      <c r="F924" s="359" t="s">
        <v>954</v>
      </c>
      <c r="G924" s="359" t="s">
        <v>955</v>
      </c>
      <c r="H924" s="200" t="s">
        <v>923</v>
      </c>
      <c r="J924" s="120"/>
      <c r="N924" s="197"/>
    </row>
    <row r="925" spans="1:34" ht="40.5" customHeight="1" x14ac:dyDescent="0.25">
      <c r="A925" s="874" t="s">
        <v>715</v>
      </c>
      <c r="B925" s="329" t="s">
        <v>941</v>
      </c>
      <c r="C925" s="366" t="s">
        <v>176</v>
      </c>
      <c r="D925" s="366">
        <v>20</v>
      </c>
      <c r="E925" s="257">
        <v>186</v>
      </c>
      <c r="F925" s="257">
        <v>24</v>
      </c>
      <c r="G925" s="367">
        <f t="shared" ref="G925:G986" si="17">F925/E925</f>
        <v>0.12903225806451613</v>
      </c>
      <c r="H925" s="259" t="s">
        <v>956</v>
      </c>
      <c r="I925" s="255"/>
      <c r="J925" s="368"/>
      <c r="K925" s="255"/>
      <c r="L925" s="255"/>
      <c r="M925" s="255"/>
      <c r="N925" s="369"/>
      <c r="O925" s="255"/>
      <c r="P925" s="255"/>
      <c r="Q925" s="255"/>
      <c r="R925" s="255"/>
      <c r="S925" s="255"/>
      <c r="T925" s="255"/>
      <c r="U925" s="255"/>
      <c r="V925" s="255"/>
      <c r="W925" s="255"/>
      <c r="X925" s="255"/>
      <c r="Y925" s="255"/>
      <c r="Z925" s="255"/>
      <c r="AA925" s="255"/>
      <c r="AB925" s="255"/>
      <c r="AC925" s="255"/>
      <c r="AD925" s="255"/>
      <c r="AE925" s="255"/>
      <c r="AF925" s="255"/>
      <c r="AG925" s="255"/>
      <c r="AH925" s="255"/>
    </row>
    <row r="926" spans="1:34" ht="40.5" customHeight="1" x14ac:dyDescent="0.25">
      <c r="A926" s="829"/>
      <c r="B926" s="329" t="s">
        <v>943</v>
      </c>
      <c r="C926" s="366" t="s">
        <v>944</v>
      </c>
      <c r="D926" s="366">
        <v>20</v>
      </c>
      <c r="E926" s="257">
        <v>0.35</v>
      </c>
      <c r="F926" s="257">
        <v>5.4699999999999999E-2</v>
      </c>
      <c r="G926" s="367">
        <f t="shared" si="17"/>
        <v>0.15628571428571431</v>
      </c>
      <c r="H926" s="259" t="s">
        <v>957</v>
      </c>
      <c r="I926" s="255"/>
      <c r="J926" s="368"/>
      <c r="K926" s="255"/>
      <c r="L926" s="255"/>
      <c r="M926" s="255"/>
      <c r="N926" s="369"/>
      <c r="O926" s="255"/>
      <c r="P926" s="255"/>
      <c r="Q926" s="255"/>
      <c r="R926" s="255"/>
      <c r="S926" s="255"/>
      <c r="T926" s="255"/>
      <c r="U926" s="255"/>
      <c r="V926" s="255"/>
      <c r="W926" s="255"/>
      <c r="X926" s="255"/>
      <c r="Y926" s="255"/>
      <c r="Z926" s="255"/>
      <c r="AA926" s="255"/>
      <c r="AB926" s="255"/>
      <c r="AC926" s="255"/>
      <c r="AD926" s="255"/>
      <c r="AE926" s="255"/>
      <c r="AF926" s="255"/>
      <c r="AG926" s="255"/>
      <c r="AH926" s="255"/>
    </row>
    <row r="927" spans="1:34" ht="40.5" customHeight="1" x14ac:dyDescent="0.25">
      <c r="A927" s="829"/>
      <c r="B927" s="329" t="s">
        <v>946</v>
      </c>
      <c r="C927" s="366" t="s">
        <v>176</v>
      </c>
      <c r="D927" s="366">
        <v>20</v>
      </c>
      <c r="E927" s="257">
        <v>0.2</v>
      </c>
      <c r="F927" s="257">
        <v>0.04</v>
      </c>
      <c r="G927" s="367">
        <f t="shared" si="17"/>
        <v>0.19999999999999998</v>
      </c>
      <c r="H927" s="370" t="s">
        <v>958</v>
      </c>
      <c r="I927" s="255"/>
      <c r="J927" s="368"/>
      <c r="K927" s="255"/>
      <c r="L927" s="255"/>
      <c r="M927" s="255"/>
      <c r="N927" s="369"/>
      <c r="O927" s="255"/>
      <c r="P927" s="255"/>
      <c r="Q927" s="255"/>
      <c r="R927" s="255"/>
      <c r="S927" s="255"/>
      <c r="T927" s="255"/>
      <c r="U927" s="255"/>
      <c r="V927" s="255"/>
      <c r="W927" s="255"/>
      <c r="X927" s="255"/>
      <c r="Y927" s="255"/>
      <c r="Z927" s="255"/>
      <c r="AA927" s="255"/>
      <c r="AB927" s="255"/>
      <c r="AC927" s="255"/>
      <c r="AD927" s="255"/>
      <c r="AE927" s="255"/>
      <c r="AF927" s="255"/>
      <c r="AG927" s="255"/>
      <c r="AH927" s="255"/>
    </row>
    <row r="928" spans="1:34" ht="40.5" customHeight="1" x14ac:dyDescent="0.25">
      <c r="A928" s="829"/>
      <c r="B928" s="329" t="s">
        <v>948</v>
      </c>
      <c r="C928" s="366" t="s">
        <v>176</v>
      </c>
      <c r="D928" s="366">
        <v>20</v>
      </c>
      <c r="E928" s="257">
        <v>22</v>
      </c>
      <c r="F928" s="257">
        <v>3.08</v>
      </c>
      <c r="G928" s="367">
        <f t="shared" si="17"/>
        <v>0.14000000000000001</v>
      </c>
      <c r="H928" s="259" t="s">
        <v>959</v>
      </c>
      <c r="I928" s="255"/>
      <c r="J928" s="368"/>
      <c r="K928" s="255"/>
      <c r="L928" s="255"/>
      <c r="M928" s="255"/>
      <c r="N928" s="369"/>
      <c r="O928" s="255"/>
      <c r="P928" s="255"/>
      <c r="Q928" s="255"/>
      <c r="R928" s="255"/>
      <c r="S928" s="255"/>
      <c r="T928" s="255"/>
      <c r="U928" s="255"/>
      <c r="V928" s="255"/>
      <c r="W928" s="255"/>
      <c r="X928" s="255"/>
      <c r="Y928" s="255"/>
      <c r="Z928" s="255"/>
      <c r="AA928" s="255"/>
      <c r="AB928" s="255"/>
      <c r="AC928" s="255"/>
      <c r="AD928" s="255"/>
      <c r="AE928" s="255"/>
      <c r="AF928" s="255"/>
      <c r="AG928" s="255"/>
      <c r="AH928" s="255"/>
    </row>
    <row r="929" spans="1:34" ht="48.75" customHeight="1" x14ac:dyDescent="0.25">
      <c r="A929" s="823"/>
      <c r="B929" s="329" t="s">
        <v>950</v>
      </c>
      <c r="C929" s="366" t="s">
        <v>176</v>
      </c>
      <c r="D929" s="366">
        <v>20</v>
      </c>
      <c r="E929" s="257">
        <v>0.1</v>
      </c>
      <c r="F929" s="257">
        <v>0.02</v>
      </c>
      <c r="G929" s="258">
        <f t="shared" si="17"/>
        <v>0.19999999999999998</v>
      </c>
      <c r="H929" s="259" t="s">
        <v>960</v>
      </c>
      <c r="I929" s="255"/>
      <c r="J929" s="368"/>
      <c r="K929" s="255"/>
      <c r="L929" s="255"/>
      <c r="M929" s="255"/>
      <c r="N929" s="369"/>
      <c r="O929" s="255"/>
      <c r="P929" s="255"/>
      <c r="Q929" s="255"/>
      <c r="R929" s="255"/>
      <c r="S929" s="255"/>
      <c r="T929" s="255"/>
      <c r="U929" s="255"/>
      <c r="V929" s="255"/>
      <c r="W929" s="255"/>
      <c r="X929" s="255"/>
      <c r="Y929" s="255"/>
      <c r="Z929" s="255"/>
      <c r="AA929" s="255"/>
      <c r="AB929" s="255"/>
      <c r="AC929" s="255"/>
      <c r="AD929" s="255"/>
      <c r="AE929" s="255"/>
      <c r="AF929" s="255"/>
      <c r="AG929" s="255"/>
      <c r="AH929" s="255"/>
    </row>
    <row r="930" spans="1:34" ht="48.75" customHeight="1" x14ac:dyDescent="0.25">
      <c r="A930" s="874" t="s">
        <v>716</v>
      </c>
      <c r="B930" s="329" t="s">
        <v>941</v>
      </c>
      <c r="C930" s="366" t="s">
        <v>176</v>
      </c>
      <c r="D930" s="366">
        <v>20</v>
      </c>
      <c r="E930" s="257">
        <v>186</v>
      </c>
      <c r="F930" s="257">
        <v>24</v>
      </c>
      <c r="G930" s="367">
        <f t="shared" si="17"/>
        <v>0.12903225806451613</v>
      </c>
      <c r="H930" s="259" t="s">
        <v>956</v>
      </c>
      <c r="J930" s="120"/>
      <c r="N930" s="197"/>
    </row>
    <row r="931" spans="1:34" ht="48.75" customHeight="1" x14ac:dyDescent="0.25">
      <c r="A931" s="829"/>
      <c r="B931" s="329" t="s">
        <v>943</v>
      </c>
      <c r="C931" s="366" t="s">
        <v>944</v>
      </c>
      <c r="D931" s="366">
        <v>20</v>
      </c>
      <c r="E931" s="257">
        <v>0.35</v>
      </c>
      <c r="F931" s="257">
        <v>5.4699999999999999E-2</v>
      </c>
      <c r="G931" s="367">
        <f t="shared" si="17"/>
        <v>0.15628571428571431</v>
      </c>
      <c r="H931" s="259" t="s">
        <v>957</v>
      </c>
      <c r="J931" s="120"/>
      <c r="N931" s="197"/>
    </row>
    <row r="932" spans="1:34" ht="48.75" customHeight="1" x14ac:dyDescent="0.25">
      <c r="A932" s="829"/>
      <c r="B932" s="329" t="s">
        <v>946</v>
      </c>
      <c r="C932" s="366" t="s">
        <v>176</v>
      </c>
      <c r="D932" s="366">
        <v>20</v>
      </c>
      <c r="E932" s="257">
        <v>0.2</v>
      </c>
      <c r="F932" s="257">
        <v>0.04</v>
      </c>
      <c r="G932" s="367">
        <f t="shared" si="17"/>
        <v>0.19999999999999998</v>
      </c>
      <c r="H932" s="370" t="s">
        <v>958</v>
      </c>
      <c r="J932" s="120"/>
      <c r="N932" s="197"/>
    </row>
    <row r="933" spans="1:34" ht="48.75" customHeight="1" x14ac:dyDescent="0.25">
      <c r="A933" s="829"/>
      <c r="B933" s="329" t="s">
        <v>948</v>
      </c>
      <c r="C933" s="366" t="s">
        <v>176</v>
      </c>
      <c r="D933" s="366">
        <v>20</v>
      </c>
      <c r="E933" s="257">
        <v>22</v>
      </c>
      <c r="F933" s="257">
        <v>3.08</v>
      </c>
      <c r="G933" s="367">
        <f t="shared" si="17"/>
        <v>0.14000000000000001</v>
      </c>
      <c r="H933" s="259" t="s">
        <v>959</v>
      </c>
      <c r="J933" s="120"/>
      <c r="N933" s="197"/>
    </row>
    <row r="934" spans="1:34" ht="48.75" customHeight="1" x14ac:dyDescent="0.25">
      <c r="A934" s="823"/>
      <c r="B934" s="329" t="s">
        <v>950</v>
      </c>
      <c r="C934" s="366" t="s">
        <v>176</v>
      </c>
      <c r="D934" s="366">
        <v>20</v>
      </c>
      <c r="E934" s="257">
        <v>0.1</v>
      </c>
      <c r="F934" s="257">
        <v>0.02</v>
      </c>
      <c r="G934" s="258">
        <f t="shared" si="17"/>
        <v>0.19999999999999998</v>
      </c>
      <c r="H934" s="259" t="s">
        <v>960</v>
      </c>
      <c r="J934" s="120"/>
      <c r="N934" s="197"/>
    </row>
    <row r="935" spans="1:34" ht="48.75" customHeight="1" x14ac:dyDescent="0.25">
      <c r="A935" s="874" t="s">
        <v>717</v>
      </c>
      <c r="B935" s="329" t="s">
        <v>941</v>
      </c>
      <c r="C935" s="366" t="s">
        <v>176</v>
      </c>
      <c r="D935" s="366">
        <v>20</v>
      </c>
      <c r="E935" s="257">
        <v>186</v>
      </c>
      <c r="F935" s="257">
        <v>41</v>
      </c>
      <c r="G935" s="367">
        <f t="shared" si="17"/>
        <v>0.22043010752688172</v>
      </c>
      <c r="H935" s="259" t="s">
        <v>961</v>
      </c>
      <c r="J935" s="120"/>
      <c r="N935" s="197"/>
    </row>
    <row r="936" spans="1:34" ht="48.75" customHeight="1" x14ac:dyDescent="0.25">
      <c r="A936" s="829"/>
      <c r="B936" s="329" t="s">
        <v>943</v>
      </c>
      <c r="C936" s="366" t="s">
        <v>944</v>
      </c>
      <c r="D936" s="366">
        <v>20</v>
      </c>
      <c r="E936" s="257">
        <v>0.35</v>
      </c>
      <c r="F936" s="257">
        <v>8.43E-2</v>
      </c>
      <c r="G936" s="367">
        <f t="shared" si="17"/>
        <v>0.24085714285714288</v>
      </c>
      <c r="H936" s="259" t="s">
        <v>962</v>
      </c>
      <c r="J936" s="120"/>
      <c r="N936" s="197"/>
    </row>
    <row r="937" spans="1:34" ht="48.75" customHeight="1" x14ac:dyDescent="0.25">
      <c r="A937" s="829"/>
      <c r="B937" s="329" t="s">
        <v>946</v>
      </c>
      <c r="C937" s="366" t="s">
        <v>176</v>
      </c>
      <c r="D937" s="366">
        <v>20</v>
      </c>
      <c r="E937" s="257">
        <v>0.2</v>
      </c>
      <c r="F937" s="257">
        <v>0.05</v>
      </c>
      <c r="G937" s="367">
        <f t="shared" si="17"/>
        <v>0.25</v>
      </c>
      <c r="H937" s="370" t="s">
        <v>963</v>
      </c>
      <c r="J937" s="120"/>
      <c r="N937" s="197"/>
    </row>
    <row r="938" spans="1:34" ht="48.75" customHeight="1" x14ac:dyDescent="0.25">
      <c r="A938" s="829"/>
      <c r="B938" s="329" t="s">
        <v>948</v>
      </c>
      <c r="C938" s="366" t="s">
        <v>176</v>
      </c>
      <c r="D938" s="366">
        <v>20</v>
      </c>
      <c r="E938" s="257">
        <v>22</v>
      </c>
      <c r="F938" s="268">
        <v>5.0600000000000005</v>
      </c>
      <c r="G938" s="367">
        <f t="shared" si="17"/>
        <v>0.23</v>
      </c>
      <c r="H938" s="270" t="s">
        <v>964</v>
      </c>
      <c r="J938" s="120"/>
      <c r="N938" s="197"/>
    </row>
    <row r="939" spans="1:34" ht="48.75" customHeight="1" x14ac:dyDescent="0.25">
      <c r="A939" s="823"/>
      <c r="B939" s="329" t="s">
        <v>950</v>
      </c>
      <c r="C939" s="366" t="s">
        <v>176</v>
      </c>
      <c r="D939" s="366">
        <v>20</v>
      </c>
      <c r="E939" s="257">
        <v>0.1</v>
      </c>
      <c r="F939" s="257">
        <v>2.8000000000000001E-2</v>
      </c>
      <c r="G939" s="258">
        <f t="shared" si="17"/>
        <v>0.27999999999999997</v>
      </c>
      <c r="H939" s="259" t="s">
        <v>965</v>
      </c>
      <c r="J939" s="120"/>
      <c r="N939" s="197"/>
    </row>
    <row r="940" spans="1:34" ht="48.75" customHeight="1" x14ac:dyDescent="0.25">
      <c r="A940" s="874" t="s">
        <v>718</v>
      </c>
      <c r="B940" s="329" t="s">
        <v>941</v>
      </c>
      <c r="C940" s="366" t="s">
        <v>176</v>
      </c>
      <c r="D940" s="366">
        <v>20</v>
      </c>
      <c r="E940" s="257">
        <v>186</v>
      </c>
      <c r="F940" s="257">
        <v>58</v>
      </c>
      <c r="G940" s="367">
        <f t="shared" si="17"/>
        <v>0.31182795698924731</v>
      </c>
      <c r="H940" s="259" t="s">
        <v>966</v>
      </c>
      <c r="J940" s="120"/>
      <c r="N940" s="197"/>
    </row>
    <row r="941" spans="1:34" ht="48.75" customHeight="1" x14ac:dyDescent="0.25">
      <c r="A941" s="829"/>
      <c r="B941" s="329" t="s">
        <v>943</v>
      </c>
      <c r="C941" s="366" t="s">
        <v>944</v>
      </c>
      <c r="D941" s="366">
        <v>20</v>
      </c>
      <c r="E941" s="257">
        <v>0.35</v>
      </c>
      <c r="F941" s="257">
        <v>0.1143</v>
      </c>
      <c r="G941" s="367">
        <f t="shared" si="17"/>
        <v>0.32657142857142857</v>
      </c>
      <c r="H941" s="370" t="s">
        <v>967</v>
      </c>
      <c r="J941" s="120"/>
      <c r="N941" s="197"/>
    </row>
    <row r="942" spans="1:34" ht="48.75" customHeight="1" x14ac:dyDescent="0.25">
      <c r="A942" s="829"/>
      <c r="B942" s="329" t="s">
        <v>946</v>
      </c>
      <c r="C942" s="366" t="s">
        <v>176</v>
      </c>
      <c r="D942" s="366">
        <v>20</v>
      </c>
      <c r="E942" s="257">
        <v>0.2</v>
      </c>
      <c r="F942" s="257">
        <v>0.06</v>
      </c>
      <c r="G942" s="367">
        <f t="shared" si="17"/>
        <v>0.3</v>
      </c>
      <c r="H942" s="370" t="s">
        <v>968</v>
      </c>
      <c r="J942" s="120"/>
      <c r="N942" s="197"/>
    </row>
    <row r="943" spans="1:34" ht="48.75" customHeight="1" x14ac:dyDescent="0.25">
      <c r="A943" s="829"/>
      <c r="B943" s="329" t="s">
        <v>948</v>
      </c>
      <c r="C943" s="366" t="s">
        <v>176</v>
      </c>
      <c r="D943" s="366">
        <v>20</v>
      </c>
      <c r="E943" s="257">
        <v>22</v>
      </c>
      <c r="F943" s="268">
        <v>7.04</v>
      </c>
      <c r="G943" s="367">
        <f t="shared" si="17"/>
        <v>0.32</v>
      </c>
      <c r="H943" s="270" t="s">
        <v>782</v>
      </c>
      <c r="J943" s="120"/>
      <c r="N943" s="197"/>
    </row>
    <row r="944" spans="1:34" ht="48.75" customHeight="1" x14ac:dyDescent="0.25">
      <c r="A944" s="823"/>
      <c r="B944" s="329" t="s">
        <v>950</v>
      </c>
      <c r="C944" s="366" t="s">
        <v>176</v>
      </c>
      <c r="D944" s="366">
        <v>20</v>
      </c>
      <c r="E944" s="257">
        <v>0.1</v>
      </c>
      <c r="F944" s="257">
        <v>3.5999999999999997E-2</v>
      </c>
      <c r="G944" s="258">
        <f t="shared" si="17"/>
        <v>0.35999999999999993</v>
      </c>
      <c r="H944" s="259" t="s">
        <v>969</v>
      </c>
      <c r="J944" s="120"/>
      <c r="N944" s="197"/>
    </row>
    <row r="945" spans="1:14" ht="48.75" customHeight="1" x14ac:dyDescent="0.25">
      <c r="A945" s="874" t="s">
        <v>719</v>
      </c>
      <c r="B945" s="329" t="s">
        <v>941</v>
      </c>
      <c r="C945" s="366" t="s">
        <v>176</v>
      </c>
      <c r="D945" s="366">
        <v>20</v>
      </c>
      <c r="E945" s="257">
        <v>186</v>
      </c>
      <c r="F945" s="257">
        <v>75</v>
      </c>
      <c r="G945" s="367">
        <f t="shared" si="17"/>
        <v>0.40322580645161288</v>
      </c>
      <c r="H945" s="259" t="s">
        <v>970</v>
      </c>
      <c r="J945" s="120"/>
      <c r="N945" s="197"/>
    </row>
    <row r="946" spans="1:14" ht="48.75" customHeight="1" x14ac:dyDescent="0.25">
      <c r="A946" s="829"/>
      <c r="B946" s="329" t="s">
        <v>943</v>
      </c>
      <c r="C946" s="366" t="s">
        <v>944</v>
      </c>
      <c r="D946" s="366">
        <v>20</v>
      </c>
      <c r="E946" s="257">
        <v>0.35</v>
      </c>
      <c r="F946" s="257">
        <v>0.14630000000000001</v>
      </c>
      <c r="G946" s="367">
        <f t="shared" si="17"/>
        <v>0.41800000000000004</v>
      </c>
      <c r="H946" s="370" t="s">
        <v>971</v>
      </c>
      <c r="J946" s="120"/>
      <c r="N946" s="197"/>
    </row>
    <row r="947" spans="1:14" ht="48.75" customHeight="1" x14ac:dyDescent="0.25">
      <c r="A947" s="829"/>
      <c r="B947" s="329" t="s">
        <v>946</v>
      </c>
      <c r="C947" s="366" t="s">
        <v>176</v>
      </c>
      <c r="D947" s="366">
        <v>20</v>
      </c>
      <c r="E947" s="257">
        <v>0.2</v>
      </c>
      <c r="F947" s="257">
        <v>7.0000000000000007E-2</v>
      </c>
      <c r="G947" s="367">
        <f t="shared" si="17"/>
        <v>0.35000000000000003</v>
      </c>
      <c r="H947" s="370" t="s">
        <v>972</v>
      </c>
      <c r="J947" s="120"/>
      <c r="N947" s="197"/>
    </row>
    <row r="948" spans="1:14" ht="48.75" customHeight="1" x14ac:dyDescent="0.25">
      <c r="A948" s="829"/>
      <c r="B948" s="329" t="s">
        <v>948</v>
      </c>
      <c r="C948" s="366" t="s">
        <v>176</v>
      </c>
      <c r="D948" s="366">
        <v>20</v>
      </c>
      <c r="E948" s="257">
        <v>22</v>
      </c>
      <c r="F948" s="268">
        <v>9.02</v>
      </c>
      <c r="G948" s="367">
        <f t="shared" si="17"/>
        <v>0.41</v>
      </c>
      <c r="H948" s="270" t="s">
        <v>973</v>
      </c>
      <c r="J948" s="120"/>
      <c r="N948" s="197"/>
    </row>
    <row r="949" spans="1:14" ht="48.75" customHeight="1" x14ac:dyDescent="0.25">
      <c r="A949" s="823"/>
      <c r="B949" s="329" t="s">
        <v>950</v>
      </c>
      <c r="C949" s="366" t="s">
        <v>176</v>
      </c>
      <c r="D949" s="366">
        <v>20</v>
      </c>
      <c r="E949" s="257">
        <v>0.1</v>
      </c>
      <c r="F949" s="257">
        <v>4.3999999999999997E-2</v>
      </c>
      <c r="G949" s="258">
        <f t="shared" si="17"/>
        <v>0.43999999999999995</v>
      </c>
      <c r="H949" s="259" t="s">
        <v>974</v>
      </c>
      <c r="J949" s="120"/>
      <c r="N949" s="197"/>
    </row>
    <row r="950" spans="1:14" ht="48.75" customHeight="1" x14ac:dyDescent="0.25">
      <c r="A950" s="874" t="s">
        <v>720</v>
      </c>
      <c r="B950" s="329" t="s">
        <v>941</v>
      </c>
      <c r="C950" s="366" t="s">
        <v>176</v>
      </c>
      <c r="D950" s="366">
        <v>20</v>
      </c>
      <c r="E950" s="257">
        <v>186</v>
      </c>
      <c r="F950" s="257">
        <v>92</v>
      </c>
      <c r="G950" s="367">
        <f t="shared" si="17"/>
        <v>0.4946236559139785</v>
      </c>
      <c r="H950" s="259" t="s">
        <v>975</v>
      </c>
      <c r="J950" s="120"/>
      <c r="N950" s="197"/>
    </row>
    <row r="951" spans="1:14" ht="48.75" customHeight="1" x14ac:dyDescent="0.25">
      <c r="A951" s="829"/>
      <c r="B951" s="329" t="s">
        <v>943</v>
      </c>
      <c r="C951" s="366" t="s">
        <v>944</v>
      </c>
      <c r="D951" s="366">
        <v>20</v>
      </c>
      <c r="E951" s="257">
        <v>0.17599999999999999</v>
      </c>
      <c r="F951" s="257">
        <v>0.14630000000000001</v>
      </c>
      <c r="G951" s="367">
        <f t="shared" si="17"/>
        <v>0.83125000000000016</v>
      </c>
      <c r="H951" s="259" t="s">
        <v>976</v>
      </c>
      <c r="J951" s="120"/>
      <c r="N951" s="197"/>
    </row>
    <row r="952" spans="1:14" ht="48.75" customHeight="1" x14ac:dyDescent="0.25">
      <c r="A952" s="829"/>
      <c r="B952" s="329" t="s">
        <v>946</v>
      </c>
      <c r="C952" s="366" t="s">
        <v>176</v>
      </c>
      <c r="D952" s="366">
        <v>20</v>
      </c>
      <c r="E952" s="257">
        <v>0.2</v>
      </c>
      <c r="F952" s="257">
        <v>0.08</v>
      </c>
      <c r="G952" s="367">
        <f t="shared" si="17"/>
        <v>0.39999999999999997</v>
      </c>
      <c r="H952" s="259" t="s">
        <v>977</v>
      </c>
      <c r="J952" s="120"/>
      <c r="N952" s="197"/>
    </row>
    <row r="953" spans="1:14" ht="48.75" customHeight="1" x14ac:dyDescent="0.25">
      <c r="A953" s="829"/>
      <c r="B953" s="329" t="s">
        <v>948</v>
      </c>
      <c r="C953" s="366" t="s">
        <v>176</v>
      </c>
      <c r="D953" s="366">
        <v>20</v>
      </c>
      <c r="E953" s="257">
        <v>22</v>
      </c>
      <c r="F953" s="268">
        <v>11</v>
      </c>
      <c r="G953" s="367">
        <f t="shared" si="17"/>
        <v>0.5</v>
      </c>
      <c r="H953" s="259" t="s">
        <v>978</v>
      </c>
      <c r="J953" s="120"/>
      <c r="N953" s="197"/>
    </row>
    <row r="954" spans="1:14" ht="48.75" customHeight="1" x14ac:dyDescent="0.25">
      <c r="A954" s="823"/>
      <c r="B954" s="329" t="s">
        <v>950</v>
      </c>
      <c r="C954" s="366" t="s">
        <v>176</v>
      </c>
      <c r="D954" s="366">
        <v>20</v>
      </c>
      <c r="E954" s="257">
        <v>0.1</v>
      </c>
      <c r="F954" s="257">
        <v>5.1999999999999998E-2</v>
      </c>
      <c r="G954" s="258">
        <f t="shared" si="17"/>
        <v>0.51999999999999991</v>
      </c>
      <c r="H954" s="259" t="s">
        <v>979</v>
      </c>
      <c r="J954" s="120"/>
      <c r="N954" s="197"/>
    </row>
    <row r="955" spans="1:14" ht="48.75" customHeight="1" x14ac:dyDescent="0.25">
      <c r="A955" s="892" t="s">
        <v>707</v>
      </c>
      <c r="B955" s="329" t="s">
        <v>941</v>
      </c>
      <c r="C955" s="366" t="s">
        <v>176</v>
      </c>
      <c r="D955" s="366">
        <v>20</v>
      </c>
      <c r="E955" s="257">
        <v>186</v>
      </c>
      <c r="F955" s="268">
        <v>109</v>
      </c>
      <c r="G955" s="371">
        <f t="shared" si="17"/>
        <v>0.58602150537634412</v>
      </c>
      <c r="H955" s="270" t="s">
        <v>980</v>
      </c>
      <c r="J955" s="120"/>
      <c r="N955" s="197"/>
    </row>
    <row r="956" spans="1:14" ht="48.75" customHeight="1" x14ac:dyDescent="0.25">
      <c r="A956" s="829"/>
      <c r="B956" s="329" t="s">
        <v>943</v>
      </c>
      <c r="C956" s="366" t="s">
        <v>944</v>
      </c>
      <c r="D956" s="366">
        <v>20</v>
      </c>
      <c r="E956" s="257">
        <v>0.17599999999999999</v>
      </c>
      <c r="F956" s="268">
        <v>0.20530000000000001</v>
      </c>
      <c r="G956" s="371">
        <f t="shared" si="17"/>
        <v>1.1664772727272728</v>
      </c>
      <c r="H956" s="270" t="s">
        <v>981</v>
      </c>
      <c r="J956" s="120"/>
      <c r="N956" s="197"/>
    </row>
    <row r="957" spans="1:14" ht="48.75" customHeight="1" x14ac:dyDescent="0.25">
      <c r="A957" s="829"/>
      <c r="B957" s="329" t="s">
        <v>946</v>
      </c>
      <c r="C957" s="366" t="s">
        <v>176</v>
      </c>
      <c r="D957" s="366">
        <v>20</v>
      </c>
      <c r="E957" s="257">
        <v>0.2</v>
      </c>
      <c r="F957" s="268">
        <v>0.1</v>
      </c>
      <c r="G957" s="371">
        <f t="shared" si="17"/>
        <v>0.5</v>
      </c>
      <c r="H957" s="270" t="s">
        <v>982</v>
      </c>
      <c r="J957" s="120"/>
      <c r="N957" s="197"/>
    </row>
    <row r="958" spans="1:14" ht="48.75" customHeight="1" x14ac:dyDescent="0.25">
      <c r="A958" s="829"/>
      <c r="B958" s="329" t="s">
        <v>948</v>
      </c>
      <c r="C958" s="366" t="s">
        <v>176</v>
      </c>
      <c r="D958" s="366">
        <v>20</v>
      </c>
      <c r="E958" s="257">
        <v>22</v>
      </c>
      <c r="F958" s="268">
        <v>12.98</v>
      </c>
      <c r="G958" s="371">
        <f t="shared" si="17"/>
        <v>0.59</v>
      </c>
      <c r="H958" s="270" t="s">
        <v>983</v>
      </c>
      <c r="J958" s="120"/>
      <c r="N958" s="197"/>
    </row>
    <row r="959" spans="1:14" ht="48.75" customHeight="1" x14ac:dyDescent="0.25">
      <c r="A959" s="823"/>
      <c r="B959" s="329" t="s">
        <v>950</v>
      </c>
      <c r="C959" s="366" t="s">
        <v>176</v>
      </c>
      <c r="D959" s="366">
        <v>20</v>
      </c>
      <c r="E959" s="257">
        <v>0.1</v>
      </c>
      <c r="F959" s="268">
        <v>0.06</v>
      </c>
      <c r="G959" s="269">
        <f t="shared" si="17"/>
        <v>0.6</v>
      </c>
      <c r="H959" s="270" t="s">
        <v>984</v>
      </c>
      <c r="J959" s="120"/>
      <c r="N959" s="197"/>
    </row>
    <row r="960" spans="1:14" ht="48.75" customHeight="1" x14ac:dyDescent="0.25">
      <c r="A960" s="892" t="s">
        <v>708</v>
      </c>
      <c r="B960" s="329" t="s">
        <v>941</v>
      </c>
      <c r="C960" s="366" t="s">
        <v>176</v>
      </c>
      <c r="D960" s="366">
        <v>20</v>
      </c>
      <c r="E960" s="257">
        <v>186</v>
      </c>
      <c r="F960" s="268">
        <v>126</v>
      </c>
      <c r="G960" s="371">
        <f t="shared" si="17"/>
        <v>0.67741935483870963</v>
      </c>
      <c r="H960" s="270" t="s">
        <v>980</v>
      </c>
      <c r="J960" s="120"/>
      <c r="N960" s="197"/>
    </row>
    <row r="961" spans="1:14" ht="48.75" customHeight="1" x14ac:dyDescent="0.25">
      <c r="A961" s="829"/>
      <c r="B961" s="329" t="s">
        <v>943</v>
      </c>
      <c r="C961" s="366" t="s">
        <v>944</v>
      </c>
      <c r="D961" s="366">
        <v>20</v>
      </c>
      <c r="E961" s="257">
        <v>0.17599999999999999</v>
      </c>
      <c r="F961" s="268">
        <v>0.2364</v>
      </c>
      <c r="G961" s="371">
        <f t="shared" si="17"/>
        <v>1.3431818181818183</v>
      </c>
      <c r="H961" s="270" t="s">
        <v>985</v>
      </c>
      <c r="J961" s="120"/>
      <c r="N961" s="197"/>
    </row>
    <row r="962" spans="1:14" ht="48.75" customHeight="1" x14ac:dyDescent="0.25">
      <c r="A962" s="829"/>
      <c r="B962" s="329" t="s">
        <v>946</v>
      </c>
      <c r="C962" s="366" t="s">
        <v>176</v>
      </c>
      <c r="D962" s="366">
        <v>20</v>
      </c>
      <c r="E962" s="257">
        <v>0.2</v>
      </c>
      <c r="F962" s="268">
        <v>0.11</v>
      </c>
      <c r="G962" s="371">
        <f t="shared" si="17"/>
        <v>0.54999999999999993</v>
      </c>
      <c r="H962" s="270" t="s">
        <v>986</v>
      </c>
      <c r="J962" s="120"/>
      <c r="N962" s="197"/>
    </row>
    <row r="963" spans="1:14" ht="48.75" customHeight="1" x14ac:dyDescent="0.25">
      <c r="A963" s="829"/>
      <c r="B963" s="329" t="s">
        <v>948</v>
      </c>
      <c r="C963" s="366" t="s">
        <v>176</v>
      </c>
      <c r="D963" s="366">
        <v>20</v>
      </c>
      <c r="E963" s="257">
        <v>22</v>
      </c>
      <c r="F963" s="268">
        <v>14.96</v>
      </c>
      <c r="G963" s="371">
        <f t="shared" si="17"/>
        <v>0.68</v>
      </c>
      <c r="H963" s="270" t="s">
        <v>987</v>
      </c>
      <c r="J963" s="120"/>
      <c r="N963" s="197"/>
    </row>
    <row r="964" spans="1:14" ht="48.75" customHeight="1" x14ac:dyDescent="0.25">
      <c r="A964" s="823"/>
      <c r="B964" s="329" t="s">
        <v>950</v>
      </c>
      <c r="C964" s="366" t="s">
        <v>176</v>
      </c>
      <c r="D964" s="366">
        <v>20</v>
      </c>
      <c r="E964" s="257">
        <v>0.1</v>
      </c>
      <c r="F964" s="268">
        <v>0.08</v>
      </c>
      <c r="G964" s="269">
        <f t="shared" si="17"/>
        <v>0.79999999999999993</v>
      </c>
      <c r="H964" s="270" t="s">
        <v>988</v>
      </c>
      <c r="J964" s="120"/>
      <c r="N964" s="197"/>
    </row>
    <row r="965" spans="1:14" ht="48.75" customHeight="1" x14ac:dyDescent="0.25">
      <c r="A965" s="892" t="s">
        <v>709</v>
      </c>
      <c r="B965" s="329" t="s">
        <v>941</v>
      </c>
      <c r="C965" s="366" t="s">
        <v>176</v>
      </c>
      <c r="D965" s="366">
        <v>20</v>
      </c>
      <c r="E965" s="257">
        <v>186</v>
      </c>
      <c r="F965" s="268">
        <v>143</v>
      </c>
      <c r="G965" s="371">
        <f t="shared" si="17"/>
        <v>0.76881720430107525</v>
      </c>
      <c r="H965" s="270" t="s">
        <v>980</v>
      </c>
      <c r="J965" s="120"/>
      <c r="N965" s="197"/>
    </row>
    <row r="966" spans="1:14" ht="48.75" customHeight="1" x14ac:dyDescent="0.25">
      <c r="A966" s="829"/>
      <c r="B966" s="329" t="s">
        <v>943</v>
      </c>
      <c r="C966" s="366" t="s">
        <v>944</v>
      </c>
      <c r="D966" s="366">
        <v>20</v>
      </c>
      <c r="E966" s="257">
        <v>0.35</v>
      </c>
      <c r="F966" s="268">
        <v>0.26590000000000003</v>
      </c>
      <c r="G966" s="371">
        <f t="shared" si="17"/>
        <v>0.75971428571428579</v>
      </c>
      <c r="H966" s="270" t="s">
        <v>989</v>
      </c>
      <c r="J966" s="120"/>
      <c r="N966" s="197"/>
    </row>
    <row r="967" spans="1:14" ht="48.75" customHeight="1" x14ac:dyDescent="0.25">
      <c r="A967" s="829"/>
      <c r="B967" s="329" t="s">
        <v>946</v>
      </c>
      <c r="C967" s="366" t="s">
        <v>176</v>
      </c>
      <c r="D967" s="366">
        <v>20</v>
      </c>
      <c r="E967" s="257">
        <v>0.2</v>
      </c>
      <c r="F967" s="268">
        <v>0.12</v>
      </c>
      <c r="G967" s="371">
        <f t="shared" si="17"/>
        <v>0.6</v>
      </c>
      <c r="H967" s="270" t="s">
        <v>990</v>
      </c>
      <c r="J967" s="120"/>
      <c r="N967" s="197"/>
    </row>
    <row r="968" spans="1:14" ht="48.75" customHeight="1" x14ac:dyDescent="0.25">
      <c r="A968" s="829"/>
      <c r="B968" s="329" t="s">
        <v>948</v>
      </c>
      <c r="C968" s="366" t="s">
        <v>176</v>
      </c>
      <c r="D968" s="366">
        <v>20</v>
      </c>
      <c r="E968" s="257">
        <v>22</v>
      </c>
      <c r="F968" s="268">
        <v>16.940000000000001</v>
      </c>
      <c r="G968" s="371">
        <f t="shared" si="17"/>
        <v>0.77</v>
      </c>
      <c r="H968" s="270" t="s">
        <v>991</v>
      </c>
      <c r="J968" s="120"/>
      <c r="N968" s="197"/>
    </row>
    <row r="969" spans="1:14" ht="48.75" customHeight="1" x14ac:dyDescent="0.25">
      <c r="A969" s="823"/>
      <c r="B969" s="329" t="s">
        <v>950</v>
      </c>
      <c r="C969" s="366" t="s">
        <v>176</v>
      </c>
      <c r="D969" s="366">
        <v>20</v>
      </c>
      <c r="E969" s="257">
        <v>0.1</v>
      </c>
      <c r="F969" s="268">
        <v>8.5000000000000006E-2</v>
      </c>
      <c r="G969" s="269">
        <f t="shared" si="17"/>
        <v>0.85</v>
      </c>
      <c r="H969" s="270" t="s">
        <v>992</v>
      </c>
      <c r="J969" s="120"/>
      <c r="N969" s="197"/>
    </row>
    <row r="970" spans="1:14" ht="48.75" customHeight="1" x14ac:dyDescent="0.25">
      <c r="A970" s="892" t="s">
        <v>710</v>
      </c>
      <c r="B970" s="329" t="s">
        <v>941</v>
      </c>
      <c r="C970" s="366" t="s">
        <v>176</v>
      </c>
      <c r="D970" s="366">
        <v>20</v>
      </c>
      <c r="E970" s="257">
        <v>186</v>
      </c>
      <c r="F970" s="257">
        <v>160</v>
      </c>
      <c r="G970" s="367">
        <f t="shared" si="17"/>
        <v>0.86021505376344087</v>
      </c>
      <c r="H970" s="372" t="s">
        <v>980</v>
      </c>
      <c r="J970" s="120"/>
      <c r="N970" s="197"/>
    </row>
    <row r="971" spans="1:14" ht="48.75" customHeight="1" x14ac:dyDescent="0.25">
      <c r="A971" s="829"/>
      <c r="B971" s="329" t="s">
        <v>943</v>
      </c>
      <c r="C971" s="366" t="s">
        <v>944</v>
      </c>
      <c r="D971" s="366">
        <v>20</v>
      </c>
      <c r="E971" s="257">
        <v>0.35</v>
      </c>
      <c r="F971" s="257">
        <v>0.29509999999999997</v>
      </c>
      <c r="G971" s="367">
        <f t="shared" si="17"/>
        <v>0.84314285714285708</v>
      </c>
      <c r="H971" s="373" t="s">
        <v>993</v>
      </c>
      <c r="J971" s="120"/>
      <c r="N971" s="197"/>
    </row>
    <row r="972" spans="1:14" ht="48.75" customHeight="1" x14ac:dyDescent="0.25">
      <c r="A972" s="829"/>
      <c r="B972" s="329" t="s">
        <v>946</v>
      </c>
      <c r="C972" s="366" t="s">
        <v>176</v>
      </c>
      <c r="D972" s="366">
        <v>20</v>
      </c>
      <c r="E972" s="257">
        <v>0.2</v>
      </c>
      <c r="F972" s="257">
        <v>0.18</v>
      </c>
      <c r="G972" s="367">
        <f t="shared" si="17"/>
        <v>0.89999999999999991</v>
      </c>
      <c r="H972" s="259" t="s">
        <v>994</v>
      </c>
      <c r="J972" s="120"/>
      <c r="N972" s="197"/>
    </row>
    <row r="973" spans="1:14" ht="48.75" customHeight="1" x14ac:dyDescent="0.25">
      <c r="A973" s="829"/>
      <c r="B973" s="329" t="s">
        <v>948</v>
      </c>
      <c r="C973" s="366" t="s">
        <v>176</v>
      </c>
      <c r="D973" s="366">
        <v>20</v>
      </c>
      <c r="E973" s="257">
        <v>22</v>
      </c>
      <c r="F973" s="257">
        <v>18.920000000000002</v>
      </c>
      <c r="G973" s="367">
        <f t="shared" si="17"/>
        <v>0.8600000000000001</v>
      </c>
      <c r="H973" s="259" t="s">
        <v>995</v>
      </c>
      <c r="J973" s="120"/>
      <c r="N973" s="197"/>
    </row>
    <row r="974" spans="1:14" ht="48.75" customHeight="1" x14ac:dyDescent="0.25">
      <c r="A974" s="823"/>
      <c r="B974" s="329" t="s">
        <v>950</v>
      </c>
      <c r="C974" s="366" t="s">
        <v>176</v>
      </c>
      <c r="D974" s="366">
        <v>20</v>
      </c>
      <c r="E974" s="257">
        <v>0.1</v>
      </c>
      <c r="F974" s="257">
        <v>0.09</v>
      </c>
      <c r="G974" s="258">
        <f t="shared" si="17"/>
        <v>0.89999999999999991</v>
      </c>
      <c r="H974" s="259" t="s">
        <v>996</v>
      </c>
      <c r="J974" s="120"/>
      <c r="N974" s="197"/>
    </row>
    <row r="975" spans="1:14" ht="48.75" customHeight="1" x14ac:dyDescent="0.25">
      <c r="A975" s="892" t="s">
        <v>712</v>
      </c>
      <c r="B975" s="329" t="s">
        <v>941</v>
      </c>
      <c r="C975" s="366" t="s">
        <v>176</v>
      </c>
      <c r="D975" s="366">
        <v>20</v>
      </c>
      <c r="E975" s="257">
        <v>186</v>
      </c>
      <c r="F975" s="257">
        <v>175</v>
      </c>
      <c r="G975" s="367">
        <f t="shared" si="17"/>
        <v>0.94086021505376349</v>
      </c>
      <c r="H975" s="372" t="s">
        <v>997</v>
      </c>
      <c r="J975" s="120"/>
      <c r="N975" s="197"/>
    </row>
    <row r="976" spans="1:14" ht="48.75" customHeight="1" x14ac:dyDescent="0.25">
      <c r="A976" s="829"/>
      <c r="B976" s="329" t="s">
        <v>943</v>
      </c>
      <c r="C976" s="366" t="s">
        <v>944</v>
      </c>
      <c r="D976" s="366">
        <v>20</v>
      </c>
      <c r="E976" s="257">
        <v>0.35</v>
      </c>
      <c r="F976" s="257">
        <v>0.32419999999999999</v>
      </c>
      <c r="G976" s="367">
        <f t="shared" si="17"/>
        <v>0.92628571428571427</v>
      </c>
      <c r="H976" s="373" t="s">
        <v>998</v>
      </c>
      <c r="J976" s="120"/>
      <c r="N976" s="197"/>
    </row>
    <row r="977" spans="1:14" ht="48.75" customHeight="1" x14ac:dyDescent="0.25">
      <c r="A977" s="829"/>
      <c r="B977" s="329" t="s">
        <v>946</v>
      </c>
      <c r="C977" s="366" t="s">
        <v>176</v>
      </c>
      <c r="D977" s="366">
        <v>20</v>
      </c>
      <c r="E977" s="257">
        <v>0.2</v>
      </c>
      <c r="F977" s="257">
        <v>0.19</v>
      </c>
      <c r="G977" s="367">
        <f t="shared" si="17"/>
        <v>0.95</v>
      </c>
      <c r="H977" s="259" t="s">
        <v>999</v>
      </c>
      <c r="J977" s="120"/>
      <c r="N977" s="197"/>
    </row>
    <row r="978" spans="1:14" ht="48.75" customHeight="1" x14ac:dyDescent="0.25">
      <c r="A978" s="829"/>
      <c r="B978" s="329" t="s">
        <v>948</v>
      </c>
      <c r="C978" s="366" t="s">
        <v>176</v>
      </c>
      <c r="D978" s="366">
        <v>20</v>
      </c>
      <c r="E978" s="257">
        <v>22</v>
      </c>
      <c r="F978" s="257">
        <v>20.9</v>
      </c>
      <c r="G978" s="367">
        <f t="shared" si="17"/>
        <v>0.95</v>
      </c>
      <c r="H978" s="259" t="s">
        <v>1000</v>
      </c>
      <c r="J978" s="120"/>
      <c r="N978" s="197"/>
    </row>
    <row r="979" spans="1:14" ht="48.75" customHeight="1" x14ac:dyDescent="0.25">
      <c r="A979" s="823"/>
      <c r="B979" s="329" t="s">
        <v>950</v>
      </c>
      <c r="C979" s="366" t="s">
        <v>176</v>
      </c>
      <c r="D979" s="366">
        <v>20</v>
      </c>
      <c r="E979" s="257">
        <v>0.1</v>
      </c>
      <c r="F979" s="257">
        <v>9.5000000000000001E-2</v>
      </c>
      <c r="G979" s="258">
        <f t="shared" si="17"/>
        <v>0.95</v>
      </c>
      <c r="H979" s="259" t="s">
        <v>1001</v>
      </c>
      <c r="J979" s="120"/>
      <c r="N979" s="197"/>
    </row>
    <row r="980" spans="1:14" ht="48.75" customHeight="1" x14ac:dyDescent="0.25">
      <c r="A980" s="892" t="s">
        <v>713</v>
      </c>
      <c r="B980" s="329" t="s">
        <v>941</v>
      </c>
      <c r="C980" s="366" t="s">
        <v>176</v>
      </c>
      <c r="D980" s="366">
        <v>20</v>
      </c>
      <c r="E980" s="257">
        <v>186</v>
      </c>
      <c r="F980" s="257">
        <v>191</v>
      </c>
      <c r="G980" s="367">
        <f t="shared" si="17"/>
        <v>1.0268817204301075</v>
      </c>
      <c r="H980" s="372" t="s">
        <v>1002</v>
      </c>
      <c r="J980" s="120"/>
      <c r="N980" s="197"/>
    </row>
    <row r="981" spans="1:14" ht="48.75" customHeight="1" x14ac:dyDescent="0.25">
      <c r="A981" s="829"/>
      <c r="B981" s="329" t="s">
        <v>943</v>
      </c>
      <c r="C981" s="366" t="s">
        <v>944</v>
      </c>
      <c r="D981" s="366">
        <v>20</v>
      </c>
      <c r="E981" s="257">
        <v>0.35</v>
      </c>
      <c r="F981" s="257">
        <v>0.35399999999999998</v>
      </c>
      <c r="G981" s="367">
        <f t="shared" si="17"/>
        <v>1.0114285714285713</v>
      </c>
      <c r="H981" s="373" t="s">
        <v>1003</v>
      </c>
      <c r="J981" s="120"/>
      <c r="N981" s="197"/>
    </row>
    <row r="982" spans="1:14" ht="48" customHeight="1" x14ac:dyDescent="0.25">
      <c r="A982" s="829"/>
      <c r="B982" s="329" t="s">
        <v>946</v>
      </c>
      <c r="C982" s="366" t="s">
        <v>176</v>
      </c>
      <c r="D982" s="366">
        <v>20</v>
      </c>
      <c r="E982" s="257">
        <v>0.2</v>
      </c>
      <c r="F982" s="257">
        <v>0.2</v>
      </c>
      <c r="G982" s="367">
        <f t="shared" si="17"/>
        <v>1</v>
      </c>
      <c r="H982" s="259" t="s">
        <v>1004</v>
      </c>
      <c r="J982" s="120"/>
      <c r="N982" s="197"/>
    </row>
    <row r="983" spans="1:14" ht="48" customHeight="1" x14ac:dyDescent="0.25">
      <c r="A983" s="829"/>
      <c r="B983" s="329" t="s">
        <v>948</v>
      </c>
      <c r="C983" s="366" t="s">
        <v>176</v>
      </c>
      <c r="D983" s="366">
        <v>20</v>
      </c>
      <c r="E983" s="257">
        <v>22</v>
      </c>
      <c r="F983" s="257">
        <v>22</v>
      </c>
      <c r="G983" s="367">
        <f t="shared" si="17"/>
        <v>1</v>
      </c>
      <c r="H983" s="259" t="s">
        <v>1005</v>
      </c>
      <c r="J983" s="120"/>
      <c r="N983" s="197"/>
    </row>
    <row r="984" spans="1:14" ht="48" customHeight="1" x14ac:dyDescent="0.25">
      <c r="A984" s="823"/>
      <c r="B984" s="329" t="s">
        <v>950</v>
      </c>
      <c r="C984" s="366" t="s">
        <v>176</v>
      </c>
      <c r="D984" s="366">
        <v>20</v>
      </c>
      <c r="E984" s="257">
        <v>0.1</v>
      </c>
      <c r="F984" s="257">
        <v>0.1</v>
      </c>
      <c r="G984" s="258">
        <f t="shared" si="17"/>
        <v>1</v>
      </c>
      <c r="H984" s="259" t="s">
        <v>1006</v>
      </c>
      <c r="J984" s="120"/>
      <c r="N984" s="197"/>
    </row>
    <row r="985" spans="1:14" ht="15.75" customHeight="1" x14ac:dyDescent="0.25">
      <c r="A985" s="209"/>
      <c r="B985" s="202"/>
      <c r="C985" s="203"/>
      <c r="D985" s="203"/>
      <c r="E985" s="175"/>
      <c r="F985" s="175"/>
      <c r="G985" s="175" t="e">
        <f t="shared" si="17"/>
        <v>#DIV/0!</v>
      </c>
      <c r="H985" s="204"/>
      <c r="J985" s="120"/>
      <c r="N985" s="197"/>
    </row>
    <row r="986" spans="1:14" ht="12.75" customHeight="1" x14ac:dyDescent="0.25">
      <c r="A986" s="213"/>
      <c r="B986" s="238"/>
      <c r="C986" s="239"/>
      <c r="D986" s="239"/>
      <c r="E986" s="240"/>
      <c r="F986" s="240"/>
      <c r="G986" s="240" t="e">
        <f t="shared" si="17"/>
        <v>#DIV/0!</v>
      </c>
      <c r="H986" s="374"/>
      <c r="J986" s="120"/>
      <c r="N986" s="197"/>
    </row>
    <row r="987" spans="1:14" ht="15.75" customHeight="1" x14ac:dyDescent="0.25">
      <c r="B987" s="196"/>
      <c r="C987" s="197"/>
      <c r="D987" s="197"/>
      <c r="J987" s="120"/>
      <c r="N987" s="197"/>
    </row>
    <row r="988" spans="1:14" ht="15.75" customHeight="1" x14ac:dyDescent="0.3">
      <c r="A988" s="877" t="s">
        <v>1007</v>
      </c>
      <c r="B988" s="695"/>
      <c r="C988" s="695"/>
      <c r="D988" s="695"/>
      <c r="E988" s="695"/>
      <c r="F988" s="695"/>
      <c r="G988" s="695"/>
      <c r="H988" s="736"/>
      <c r="J988" s="120"/>
      <c r="N988" s="197"/>
    </row>
    <row r="989" spans="1:14" ht="54.75" customHeight="1" x14ac:dyDescent="0.25">
      <c r="A989" s="198" t="s">
        <v>26</v>
      </c>
      <c r="B989" s="199" t="s">
        <v>937</v>
      </c>
      <c r="C989" s="359" t="s">
        <v>729</v>
      </c>
      <c r="D989" s="359" t="s">
        <v>817</v>
      </c>
      <c r="E989" s="359" t="s">
        <v>1008</v>
      </c>
      <c r="F989" s="359" t="s">
        <v>1009</v>
      </c>
      <c r="G989" s="359" t="s">
        <v>1010</v>
      </c>
      <c r="H989" s="200" t="s">
        <v>923</v>
      </c>
      <c r="J989" s="120"/>
      <c r="N989" s="197"/>
    </row>
    <row r="990" spans="1:14" ht="48.75" customHeight="1" x14ac:dyDescent="0.25">
      <c r="A990" s="892" t="s">
        <v>715</v>
      </c>
      <c r="B990" s="329" t="s">
        <v>941</v>
      </c>
      <c r="C990" s="366" t="s">
        <v>176</v>
      </c>
      <c r="D990" s="366">
        <v>20</v>
      </c>
      <c r="E990" s="257">
        <v>250</v>
      </c>
      <c r="F990" s="257">
        <v>0</v>
      </c>
      <c r="G990" s="367">
        <f t="shared" ref="G990:G1044" si="18">F990/E990</f>
        <v>0</v>
      </c>
      <c r="H990" s="372" t="s">
        <v>1011</v>
      </c>
      <c r="J990" s="120"/>
      <c r="N990" s="197"/>
    </row>
    <row r="991" spans="1:14" ht="48.75" customHeight="1" x14ac:dyDescent="0.25">
      <c r="A991" s="829"/>
      <c r="B991" s="329" t="s">
        <v>943</v>
      </c>
      <c r="C991" s="366" t="s">
        <v>944</v>
      </c>
      <c r="D991" s="366">
        <v>20</v>
      </c>
      <c r="E991" s="257">
        <v>0.5</v>
      </c>
      <c r="F991" s="257">
        <v>4.0000000000000001E-3</v>
      </c>
      <c r="G991" s="367">
        <f t="shared" si="18"/>
        <v>8.0000000000000002E-3</v>
      </c>
      <c r="H991" s="373" t="s">
        <v>1012</v>
      </c>
      <c r="J991" s="120"/>
      <c r="N991" s="197"/>
    </row>
    <row r="992" spans="1:14" ht="48" customHeight="1" x14ac:dyDescent="0.25">
      <c r="A992" s="829"/>
      <c r="B992" s="329" t="s">
        <v>946</v>
      </c>
      <c r="C992" s="366" t="s">
        <v>176</v>
      </c>
      <c r="D992" s="366">
        <v>20</v>
      </c>
      <c r="E992" s="257">
        <v>0.3</v>
      </c>
      <c r="F992" s="257">
        <v>0.01</v>
      </c>
      <c r="G992" s="367">
        <f t="shared" si="18"/>
        <v>3.3333333333333333E-2</v>
      </c>
      <c r="H992" s="259" t="s">
        <v>1013</v>
      </c>
      <c r="J992" s="120"/>
      <c r="N992" s="197"/>
    </row>
    <row r="993" spans="1:14" ht="48" customHeight="1" x14ac:dyDescent="0.25">
      <c r="A993" s="829"/>
      <c r="B993" s="329" t="s">
        <v>948</v>
      </c>
      <c r="C993" s="366" t="s">
        <v>176</v>
      </c>
      <c r="D993" s="366">
        <v>20</v>
      </c>
      <c r="E993" s="257">
        <v>33</v>
      </c>
      <c r="F993" s="257">
        <v>0.99</v>
      </c>
      <c r="G993" s="367">
        <f t="shared" si="18"/>
        <v>0.03</v>
      </c>
      <c r="H993" s="259" t="s">
        <v>1014</v>
      </c>
      <c r="J993" s="120"/>
      <c r="N993" s="197"/>
    </row>
    <row r="994" spans="1:14" ht="48" customHeight="1" x14ac:dyDescent="0.25">
      <c r="A994" s="823"/>
      <c r="B994" s="329" t="s">
        <v>950</v>
      </c>
      <c r="C994" s="366" t="s">
        <v>176</v>
      </c>
      <c r="D994" s="366">
        <v>20</v>
      </c>
      <c r="E994" s="257">
        <v>0.1</v>
      </c>
      <c r="F994" s="257">
        <v>0.01</v>
      </c>
      <c r="G994" s="258">
        <f t="shared" si="18"/>
        <v>9.9999999999999992E-2</v>
      </c>
      <c r="H994" s="259" t="s">
        <v>1015</v>
      </c>
      <c r="J994" s="120"/>
      <c r="N994" s="197"/>
    </row>
    <row r="995" spans="1:14" ht="48.75" customHeight="1" x14ac:dyDescent="0.25">
      <c r="A995" s="892" t="s">
        <v>716</v>
      </c>
      <c r="B995" s="329" t="s">
        <v>941</v>
      </c>
      <c r="C995" s="366" t="s">
        <v>176</v>
      </c>
      <c r="D995" s="366">
        <v>20</v>
      </c>
      <c r="E995" s="257">
        <v>250</v>
      </c>
      <c r="F995" s="257">
        <v>24</v>
      </c>
      <c r="G995" s="367">
        <f t="shared" si="18"/>
        <v>9.6000000000000002E-2</v>
      </c>
      <c r="H995" s="256" t="s">
        <v>1016</v>
      </c>
      <c r="J995" s="120"/>
      <c r="N995" s="197"/>
    </row>
    <row r="996" spans="1:14" ht="48.75" customHeight="1" x14ac:dyDescent="0.25">
      <c r="A996" s="829"/>
      <c r="B996" s="329" t="s">
        <v>943</v>
      </c>
      <c r="C996" s="366" t="s">
        <v>944</v>
      </c>
      <c r="D996" s="366">
        <v>20</v>
      </c>
      <c r="E996" s="257">
        <v>0.5</v>
      </c>
      <c r="F996" s="257">
        <v>0.46400000000000002</v>
      </c>
      <c r="G996" s="367">
        <f t="shared" si="18"/>
        <v>0.92800000000000005</v>
      </c>
      <c r="H996" s="256" t="s">
        <v>1017</v>
      </c>
      <c r="J996" s="120"/>
      <c r="N996" s="197"/>
    </row>
    <row r="997" spans="1:14" ht="48" customHeight="1" x14ac:dyDescent="0.25">
      <c r="A997" s="829"/>
      <c r="B997" s="329" t="s">
        <v>946</v>
      </c>
      <c r="C997" s="366" t="s">
        <v>176</v>
      </c>
      <c r="D997" s="366">
        <v>20</v>
      </c>
      <c r="E997" s="257">
        <v>0.3</v>
      </c>
      <c r="F997" s="257">
        <v>0.02</v>
      </c>
      <c r="G997" s="367">
        <f t="shared" si="18"/>
        <v>6.6666666666666666E-2</v>
      </c>
      <c r="H997" s="256" t="s">
        <v>1018</v>
      </c>
      <c r="J997" s="120"/>
      <c r="N997" s="197"/>
    </row>
    <row r="998" spans="1:14" ht="48" customHeight="1" x14ac:dyDescent="0.25">
      <c r="A998" s="829"/>
      <c r="B998" s="329" t="s">
        <v>948</v>
      </c>
      <c r="C998" s="366" t="s">
        <v>176</v>
      </c>
      <c r="D998" s="366">
        <v>20</v>
      </c>
      <c r="E998" s="257">
        <v>33</v>
      </c>
      <c r="F998" s="257">
        <v>3.96</v>
      </c>
      <c r="G998" s="367">
        <f t="shared" si="18"/>
        <v>0.12</v>
      </c>
      <c r="H998" s="256" t="s">
        <v>1019</v>
      </c>
      <c r="J998" s="120"/>
      <c r="N998" s="197"/>
    </row>
    <row r="999" spans="1:14" ht="48" customHeight="1" x14ac:dyDescent="0.25">
      <c r="A999" s="823"/>
      <c r="B999" s="329" t="s">
        <v>950</v>
      </c>
      <c r="C999" s="366" t="s">
        <v>176</v>
      </c>
      <c r="D999" s="366">
        <v>20</v>
      </c>
      <c r="E999" s="257">
        <v>0.1</v>
      </c>
      <c r="F999" s="257">
        <v>0.02</v>
      </c>
      <c r="G999" s="258">
        <f t="shared" si="18"/>
        <v>0.19999999999999998</v>
      </c>
      <c r="H999" s="256" t="s">
        <v>1015</v>
      </c>
      <c r="J999" s="120"/>
      <c r="N999" s="197"/>
    </row>
    <row r="1000" spans="1:14" ht="117" customHeight="1" x14ac:dyDescent="0.25">
      <c r="A1000" s="874" t="s">
        <v>717</v>
      </c>
      <c r="B1000" s="329" t="s">
        <v>941</v>
      </c>
      <c r="C1000" s="366" t="s">
        <v>176</v>
      </c>
      <c r="D1000" s="366">
        <v>20</v>
      </c>
      <c r="E1000" s="257">
        <v>250</v>
      </c>
      <c r="F1000" s="257">
        <v>48</v>
      </c>
      <c r="G1000" s="367">
        <f t="shared" si="18"/>
        <v>0.192</v>
      </c>
      <c r="H1000" s="256" t="s">
        <v>1020</v>
      </c>
      <c r="J1000" s="120"/>
      <c r="N1000" s="197"/>
    </row>
    <row r="1001" spans="1:14" ht="117" customHeight="1" x14ac:dyDescent="0.25">
      <c r="A1001" s="829"/>
      <c r="B1001" s="329" t="s">
        <v>943</v>
      </c>
      <c r="C1001" s="366" t="s">
        <v>944</v>
      </c>
      <c r="D1001" s="366">
        <v>20</v>
      </c>
      <c r="E1001" s="257">
        <v>0.5</v>
      </c>
      <c r="F1001" s="257">
        <v>9.5600000000000004E-2</v>
      </c>
      <c r="G1001" s="367">
        <f t="shared" si="18"/>
        <v>0.19120000000000001</v>
      </c>
      <c r="H1001" s="256" t="s">
        <v>1021</v>
      </c>
      <c r="J1001" s="120"/>
      <c r="N1001" s="197"/>
    </row>
    <row r="1002" spans="1:14" ht="117" customHeight="1" x14ac:dyDescent="0.25">
      <c r="A1002" s="829"/>
      <c r="B1002" s="329" t="s">
        <v>946</v>
      </c>
      <c r="C1002" s="366" t="s">
        <v>176</v>
      </c>
      <c r="D1002" s="366">
        <v>20</v>
      </c>
      <c r="E1002" s="257">
        <v>0.3</v>
      </c>
      <c r="F1002" s="257">
        <v>0.04</v>
      </c>
      <c r="G1002" s="367">
        <f t="shared" si="18"/>
        <v>0.13333333333333333</v>
      </c>
      <c r="H1002" s="256" t="s">
        <v>1022</v>
      </c>
      <c r="J1002" s="120"/>
      <c r="N1002" s="197"/>
    </row>
    <row r="1003" spans="1:14" ht="117" customHeight="1" x14ac:dyDescent="0.25">
      <c r="A1003" s="829"/>
      <c r="B1003" s="329" t="s">
        <v>948</v>
      </c>
      <c r="C1003" s="366" t="s">
        <v>176</v>
      </c>
      <c r="D1003" s="366">
        <v>20</v>
      </c>
      <c r="E1003" s="257">
        <v>33</v>
      </c>
      <c r="F1003" s="257">
        <v>6.93</v>
      </c>
      <c r="G1003" s="367">
        <f t="shared" si="18"/>
        <v>0.21</v>
      </c>
      <c r="H1003" s="256" t="s">
        <v>1023</v>
      </c>
      <c r="J1003" s="120"/>
      <c r="N1003" s="197"/>
    </row>
    <row r="1004" spans="1:14" ht="117" customHeight="1" x14ac:dyDescent="0.25">
      <c r="A1004" s="823"/>
      <c r="B1004" s="329" t="s">
        <v>950</v>
      </c>
      <c r="C1004" s="366" t="s">
        <v>176</v>
      </c>
      <c r="D1004" s="366">
        <v>20</v>
      </c>
      <c r="E1004" s="257">
        <v>0.1</v>
      </c>
      <c r="F1004" s="257">
        <v>3.2000000000000001E-2</v>
      </c>
      <c r="G1004" s="258">
        <f t="shared" si="18"/>
        <v>0.32</v>
      </c>
      <c r="H1004" s="256" t="s">
        <v>1024</v>
      </c>
      <c r="J1004" s="120"/>
      <c r="N1004" s="197"/>
    </row>
    <row r="1005" spans="1:14" ht="117" customHeight="1" x14ac:dyDescent="0.25">
      <c r="A1005" s="874" t="s">
        <v>718</v>
      </c>
      <c r="B1005" s="329" t="s">
        <v>941</v>
      </c>
      <c r="C1005" s="366" t="s">
        <v>176</v>
      </c>
      <c r="D1005" s="366">
        <v>20</v>
      </c>
      <c r="E1005" s="257">
        <v>250</v>
      </c>
      <c r="F1005" s="257">
        <v>72</v>
      </c>
      <c r="G1005" s="367">
        <f t="shared" si="18"/>
        <v>0.28799999999999998</v>
      </c>
      <c r="H1005" s="256" t="s">
        <v>1025</v>
      </c>
      <c r="J1005" s="120"/>
      <c r="N1005" s="197"/>
    </row>
    <row r="1006" spans="1:14" ht="117" customHeight="1" x14ac:dyDescent="0.25">
      <c r="A1006" s="829"/>
      <c r="B1006" s="329" t="s">
        <v>943</v>
      </c>
      <c r="C1006" s="366" t="s">
        <v>944</v>
      </c>
      <c r="D1006" s="366">
        <v>20</v>
      </c>
      <c r="E1006" s="257">
        <v>0.5</v>
      </c>
      <c r="F1006" s="257">
        <v>0.1404</v>
      </c>
      <c r="G1006" s="367">
        <f t="shared" si="18"/>
        <v>0.28079999999999999</v>
      </c>
      <c r="H1006" s="256" t="s">
        <v>1026</v>
      </c>
      <c r="J1006" s="120"/>
      <c r="N1006" s="197"/>
    </row>
    <row r="1007" spans="1:14" ht="117" customHeight="1" x14ac:dyDescent="0.25">
      <c r="A1007" s="829"/>
      <c r="B1007" s="329" t="s">
        <v>946</v>
      </c>
      <c r="C1007" s="366" t="s">
        <v>176</v>
      </c>
      <c r="D1007" s="366">
        <v>20</v>
      </c>
      <c r="E1007" s="257">
        <v>0.3</v>
      </c>
      <c r="F1007" s="257">
        <v>0.08</v>
      </c>
      <c r="G1007" s="367">
        <f t="shared" si="18"/>
        <v>0.26666666666666666</v>
      </c>
      <c r="H1007" s="256" t="s">
        <v>1027</v>
      </c>
      <c r="J1007" s="120"/>
      <c r="N1007" s="197"/>
    </row>
    <row r="1008" spans="1:14" ht="117" customHeight="1" x14ac:dyDescent="0.25">
      <c r="A1008" s="829"/>
      <c r="B1008" s="329" t="s">
        <v>948</v>
      </c>
      <c r="C1008" s="366" t="s">
        <v>176</v>
      </c>
      <c r="D1008" s="366">
        <v>20</v>
      </c>
      <c r="E1008" s="257">
        <v>33</v>
      </c>
      <c r="F1008" s="257">
        <v>9.9</v>
      </c>
      <c r="G1008" s="367">
        <f t="shared" si="18"/>
        <v>0.3</v>
      </c>
      <c r="H1008" s="256" t="s">
        <v>1028</v>
      </c>
      <c r="J1008" s="120"/>
      <c r="N1008" s="197"/>
    </row>
    <row r="1009" spans="1:14" ht="117" customHeight="1" x14ac:dyDescent="0.25">
      <c r="A1009" s="823"/>
      <c r="B1009" s="329" t="s">
        <v>950</v>
      </c>
      <c r="C1009" s="366" t="s">
        <v>176</v>
      </c>
      <c r="D1009" s="366">
        <v>20</v>
      </c>
      <c r="E1009" s="257">
        <v>0.1</v>
      </c>
      <c r="F1009" s="257">
        <v>4.4999999999999998E-2</v>
      </c>
      <c r="G1009" s="258">
        <f t="shared" si="18"/>
        <v>0.44999999999999996</v>
      </c>
      <c r="H1009" s="256" t="s">
        <v>1024</v>
      </c>
      <c r="J1009" s="120"/>
      <c r="N1009" s="197"/>
    </row>
    <row r="1010" spans="1:14" ht="117" customHeight="1" x14ac:dyDescent="0.25">
      <c r="A1010" s="874" t="s">
        <v>719</v>
      </c>
      <c r="B1010" s="329" t="s">
        <v>941</v>
      </c>
      <c r="C1010" s="366" t="s">
        <v>176</v>
      </c>
      <c r="D1010" s="366">
        <v>20</v>
      </c>
      <c r="E1010" s="257">
        <v>250</v>
      </c>
      <c r="F1010" s="257">
        <v>96</v>
      </c>
      <c r="G1010" s="367">
        <f t="shared" si="18"/>
        <v>0.38400000000000001</v>
      </c>
      <c r="H1010" s="256" t="s">
        <v>1029</v>
      </c>
      <c r="J1010" s="120"/>
      <c r="N1010" s="197"/>
    </row>
    <row r="1011" spans="1:14" ht="117" customHeight="1" x14ac:dyDescent="0.25">
      <c r="A1011" s="829"/>
      <c r="B1011" s="329" t="s">
        <v>943</v>
      </c>
      <c r="C1011" s="366" t="s">
        <v>944</v>
      </c>
      <c r="D1011" s="366">
        <v>20</v>
      </c>
      <c r="E1011" s="257">
        <v>0.5</v>
      </c>
      <c r="F1011" s="257">
        <v>0.18609999999999999</v>
      </c>
      <c r="G1011" s="367">
        <f t="shared" si="18"/>
        <v>0.37219999999999998</v>
      </c>
      <c r="H1011" s="256" t="s">
        <v>1030</v>
      </c>
      <c r="J1011" s="120"/>
      <c r="N1011" s="197"/>
    </row>
    <row r="1012" spans="1:14" ht="117" customHeight="1" x14ac:dyDescent="0.25">
      <c r="A1012" s="829"/>
      <c r="B1012" s="329" t="s">
        <v>946</v>
      </c>
      <c r="C1012" s="366" t="s">
        <v>176</v>
      </c>
      <c r="D1012" s="366">
        <v>20</v>
      </c>
      <c r="E1012" s="257">
        <v>0.3</v>
      </c>
      <c r="F1012" s="257">
        <v>0.08</v>
      </c>
      <c r="G1012" s="367">
        <f t="shared" si="18"/>
        <v>0.26666666666666666</v>
      </c>
      <c r="H1012" s="256" t="s">
        <v>1031</v>
      </c>
      <c r="J1012" s="120"/>
      <c r="N1012" s="197"/>
    </row>
    <row r="1013" spans="1:14" ht="117" customHeight="1" x14ac:dyDescent="0.25">
      <c r="A1013" s="829"/>
      <c r="B1013" s="329" t="s">
        <v>948</v>
      </c>
      <c r="C1013" s="366" t="s">
        <v>176</v>
      </c>
      <c r="D1013" s="366">
        <v>20</v>
      </c>
      <c r="E1013" s="257">
        <v>33</v>
      </c>
      <c r="F1013" s="257">
        <v>12.87</v>
      </c>
      <c r="G1013" s="367">
        <f t="shared" si="18"/>
        <v>0.38999999999999996</v>
      </c>
      <c r="H1013" s="256" t="s">
        <v>1032</v>
      </c>
      <c r="J1013" s="120"/>
      <c r="N1013" s="197"/>
    </row>
    <row r="1014" spans="1:14" ht="117" customHeight="1" x14ac:dyDescent="0.25">
      <c r="A1014" s="823"/>
      <c r="B1014" s="329" t="s">
        <v>950</v>
      </c>
      <c r="C1014" s="366" t="s">
        <v>176</v>
      </c>
      <c r="D1014" s="366">
        <v>20</v>
      </c>
      <c r="E1014" s="257">
        <v>0.1</v>
      </c>
      <c r="F1014" s="257">
        <v>5.8000000000000003E-2</v>
      </c>
      <c r="G1014" s="258">
        <f t="shared" si="18"/>
        <v>0.57999999999999996</v>
      </c>
      <c r="H1014" s="256" t="s">
        <v>1033</v>
      </c>
      <c r="J1014" s="120"/>
      <c r="N1014" s="197"/>
    </row>
    <row r="1015" spans="1:14" ht="117" customHeight="1" x14ac:dyDescent="0.25">
      <c r="A1015" s="874" t="s">
        <v>720</v>
      </c>
      <c r="B1015" s="329" t="s">
        <v>941</v>
      </c>
      <c r="C1015" s="366" t="s">
        <v>176</v>
      </c>
      <c r="D1015" s="366">
        <v>20</v>
      </c>
      <c r="E1015" s="257">
        <v>250</v>
      </c>
      <c r="F1015" s="257">
        <v>120</v>
      </c>
      <c r="G1015" s="367">
        <f t="shared" si="18"/>
        <v>0.48</v>
      </c>
      <c r="H1015" s="256" t="s">
        <v>1034</v>
      </c>
      <c r="J1015" s="120"/>
      <c r="N1015" s="197"/>
    </row>
    <row r="1016" spans="1:14" ht="117" customHeight="1" x14ac:dyDescent="0.25">
      <c r="A1016" s="829"/>
      <c r="B1016" s="329" t="s">
        <v>943</v>
      </c>
      <c r="C1016" s="366" t="s">
        <v>944</v>
      </c>
      <c r="D1016" s="366">
        <v>20</v>
      </c>
      <c r="E1016" s="257">
        <v>0.5</v>
      </c>
      <c r="F1016" s="257">
        <v>0.23119999999999999</v>
      </c>
      <c r="G1016" s="367">
        <f t="shared" si="18"/>
        <v>0.46239999999999998</v>
      </c>
      <c r="H1016" s="256" t="s">
        <v>1035</v>
      </c>
      <c r="J1016" s="120"/>
      <c r="N1016" s="197"/>
    </row>
    <row r="1017" spans="1:14" ht="117" customHeight="1" x14ac:dyDescent="0.25">
      <c r="A1017" s="829"/>
      <c r="B1017" s="329" t="s">
        <v>946</v>
      </c>
      <c r="C1017" s="366" t="s">
        <v>176</v>
      </c>
      <c r="D1017" s="366">
        <v>20</v>
      </c>
      <c r="E1017" s="257">
        <v>0.3</v>
      </c>
      <c r="F1017" s="257">
        <v>0.18</v>
      </c>
      <c r="G1017" s="367">
        <f t="shared" si="18"/>
        <v>0.6</v>
      </c>
      <c r="H1017" s="256" t="s">
        <v>1036</v>
      </c>
      <c r="J1017" s="120"/>
      <c r="N1017" s="197"/>
    </row>
    <row r="1018" spans="1:14" ht="117" customHeight="1" x14ac:dyDescent="0.25">
      <c r="A1018" s="829"/>
      <c r="B1018" s="329" t="s">
        <v>948</v>
      </c>
      <c r="C1018" s="366" t="s">
        <v>176</v>
      </c>
      <c r="D1018" s="366">
        <v>20</v>
      </c>
      <c r="E1018" s="257">
        <v>33</v>
      </c>
      <c r="F1018" s="257">
        <v>15.84</v>
      </c>
      <c r="G1018" s="367">
        <f t="shared" si="18"/>
        <v>0.48</v>
      </c>
      <c r="H1018" s="256" t="s">
        <v>1037</v>
      </c>
      <c r="J1018" s="120"/>
      <c r="N1018" s="197"/>
    </row>
    <row r="1019" spans="1:14" ht="117" customHeight="1" x14ac:dyDescent="0.25">
      <c r="A1019" s="823"/>
      <c r="B1019" s="329" t="s">
        <v>950</v>
      </c>
      <c r="C1019" s="366" t="s">
        <v>176</v>
      </c>
      <c r="D1019" s="366">
        <v>20</v>
      </c>
      <c r="E1019" s="257">
        <v>0.1</v>
      </c>
      <c r="F1019" s="257">
        <v>7.0999999999999994E-2</v>
      </c>
      <c r="G1019" s="258">
        <f t="shared" si="18"/>
        <v>0.70999999999999985</v>
      </c>
      <c r="H1019" s="256" t="s">
        <v>1038</v>
      </c>
      <c r="J1019" s="120"/>
      <c r="N1019" s="197"/>
    </row>
    <row r="1020" spans="1:14" ht="117" customHeight="1" x14ac:dyDescent="0.25">
      <c r="A1020" s="874" t="s">
        <v>707</v>
      </c>
      <c r="B1020" s="329" t="s">
        <v>941</v>
      </c>
      <c r="C1020" s="366" t="s">
        <v>176</v>
      </c>
      <c r="D1020" s="366">
        <v>20</v>
      </c>
      <c r="E1020" s="257">
        <v>250</v>
      </c>
      <c r="F1020" s="257">
        <v>144</v>
      </c>
      <c r="G1020" s="367">
        <f t="shared" si="18"/>
        <v>0.57599999999999996</v>
      </c>
      <c r="H1020" s="256" t="s">
        <v>1039</v>
      </c>
      <c r="J1020" s="120"/>
      <c r="N1020" s="197"/>
    </row>
    <row r="1021" spans="1:14" ht="117" customHeight="1" x14ac:dyDescent="0.25">
      <c r="A1021" s="829"/>
      <c r="B1021" s="329" t="s">
        <v>943</v>
      </c>
      <c r="C1021" s="366" t="s">
        <v>944</v>
      </c>
      <c r="D1021" s="366">
        <v>20</v>
      </c>
      <c r="E1021" s="257">
        <v>0.5</v>
      </c>
      <c r="F1021" s="257">
        <v>0.2767</v>
      </c>
      <c r="G1021" s="367">
        <f t="shared" si="18"/>
        <v>0.5534</v>
      </c>
      <c r="H1021" s="256" t="s">
        <v>1040</v>
      </c>
      <c r="J1021" s="120"/>
      <c r="N1021" s="197"/>
    </row>
    <row r="1022" spans="1:14" ht="117" customHeight="1" x14ac:dyDescent="0.25">
      <c r="A1022" s="829"/>
      <c r="B1022" s="329" t="s">
        <v>946</v>
      </c>
      <c r="C1022" s="366" t="s">
        <v>176</v>
      </c>
      <c r="D1022" s="366">
        <v>20</v>
      </c>
      <c r="E1022" s="257">
        <v>0.3</v>
      </c>
      <c r="F1022" s="257">
        <v>0.2</v>
      </c>
      <c r="G1022" s="367">
        <f t="shared" si="18"/>
        <v>0.66666666666666674</v>
      </c>
      <c r="H1022" s="256" t="s">
        <v>1041</v>
      </c>
      <c r="J1022" s="120"/>
      <c r="N1022" s="197"/>
    </row>
    <row r="1023" spans="1:14" ht="117" customHeight="1" x14ac:dyDescent="0.25">
      <c r="A1023" s="829"/>
      <c r="B1023" s="329" t="s">
        <v>948</v>
      </c>
      <c r="C1023" s="366" t="s">
        <v>176</v>
      </c>
      <c r="D1023" s="366">
        <v>20</v>
      </c>
      <c r="E1023" s="257">
        <v>33</v>
      </c>
      <c r="F1023" s="257">
        <v>18.809999999999999</v>
      </c>
      <c r="G1023" s="367">
        <f t="shared" si="18"/>
        <v>0.56999999999999995</v>
      </c>
      <c r="H1023" s="256" t="s">
        <v>1042</v>
      </c>
      <c r="J1023" s="120"/>
      <c r="N1023" s="197"/>
    </row>
    <row r="1024" spans="1:14" ht="117" customHeight="1" x14ac:dyDescent="0.25">
      <c r="A1024" s="823"/>
      <c r="B1024" s="329" t="s">
        <v>950</v>
      </c>
      <c r="C1024" s="366" t="s">
        <v>176</v>
      </c>
      <c r="D1024" s="366">
        <v>20</v>
      </c>
      <c r="E1024" s="257">
        <v>0.1</v>
      </c>
      <c r="F1024" s="257">
        <v>8.4000000000000005E-2</v>
      </c>
      <c r="G1024" s="258">
        <f t="shared" si="18"/>
        <v>0.84</v>
      </c>
      <c r="H1024" s="256" t="s">
        <v>1043</v>
      </c>
      <c r="J1024" s="120"/>
      <c r="N1024" s="197"/>
    </row>
    <row r="1025" spans="1:14" ht="15.75" customHeight="1" x14ac:dyDescent="0.25">
      <c r="A1025" s="874" t="s">
        <v>709</v>
      </c>
      <c r="B1025" s="329" t="s">
        <v>941</v>
      </c>
      <c r="C1025" s="366" t="s">
        <v>176</v>
      </c>
      <c r="D1025" s="366">
        <v>20</v>
      </c>
      <c r="E1025" s="257">
        <v>250</v>
      </c>
      <c r="F1025" s="257">
        <v>192</v>
      </c>
      <c r="G1025" s="367">
        <f t="shared" si="18"/>
        <v>0.76800000000000002</v>
      </c>
      <c r="H1025" s="256" t="s">
        <v>1044</v>
      </c>
      <c r="J1025" s="120"/>
      <c r="N1025" s="197"/>
    </row>
    <row r="1026" spans="1:14" ht="15.75" customHeight="1" x14ac:dyDescent="0.25">
      <c r="A1026" s="829"/>
      <c r="B1026" s="329" t="s">
        <v>943</v>
      </c>
      <c r="C1026" s="366" t="s">
        <v>944</v>
      </c>
      <c r="D1026" s="366">
        <v>20</v>
      </c>
      <c r="E1026" s="257">
        <v>0.5</v>
      </c>
      <c r="F1026" s="257">
        <v>0.37019999999999997</v>
      </c>
      <c r="G1026" s="367">
        <f t="shared" si="18"/>
        <v>0.74039999999999995</v>
      </c>
      <c r="H1026" s="256" t="s">
        <v>1045</v>
      </c>
      <c r="J1026" s="120"/>
      <c r="N1026" s="197"/>
    </row>
    <row r="1027" spans="1:14" ht="15.75" customHeight="1" x14ac:dyDescent="0.25">
      <c r="A1027" s="829"/>
      <c r="B1027" s="329" t="s">
        <v>946</v>
      </c>
      <c r="C1027" s="366" t="s">
        <v>176</v>
      </c>
      <c r="D1027" s="366">
        <v>20</v>
      </c>
      <c r="E1027" s="257">
        <v>0.3</v>
      </c>
      <c r="F1027" s="257">
        <v>0.35</v>
      </c>
      <c r="G1027" s="367">
        <f t="shared" si="18"/>
        <v>1.1666666666666667</v>
      </c>
      <c r="H1027" s="256" t="s">
        <v>1046</v>
      </c>
      <c r="J1027" s="120"/>
      <c r="N1027" s="197"/>
    </row>
    <row r="1028" spans="1:14" ht="15.75" customHeight="1" x14ac:dyDescent="0.25">
      <c r="A1028" s="829"/>
      <c r="B1028" s="329" t="s">
        <v>948</v>
      </c>
      <c r="C1028" s="366" t="s">
        <v>176</v>
      </c>
      <c r="D1028" s="366">
        <v>20</v>
      </c>
      <c r="E1028" s="257">
        <v>33</v>
      </c>
      <c r="F1028" s="257">
        <v>25.41</v>
      </c>
      <c r="G1028" s="367">
        <f t="shared" si="18"/>
        <v>0.77</v>
      </c>
      <c r="H1028" s="256" t="s">
        <v>1047</v>
      </c>
      <c r="J1028" s="120"/>
      <c r="N1028" s="197"/>
    </row>
    <row r="1029" spans="1:14" ht="15.75" customHeight="1" x14ac:dyDescent="0.25">
      <c r="A1029" s="872"/>
      <c r="B1029" s="329" t="s">
        <v>950</v>
      </c>
      <c r="C1029" s="366" t="s">
        <v>176</v>
      </c>
      <c r="D1029" s="366">
        <v>20</v>
      </c>
      <c r="E1029" s="257">
        <v>0.15</v>
      </c>
      <c r="F1029" s="257">
        <v>0.112</v>
      </c>
      <c r="G1029" s="258">
        <f t="shared" si="18"/>
        <v>0.7466666666666667</v>
      </c>
      <c r="H1029" s="256" t="s">
        <v>1048</v>
      </c>
      <c r="J1029" s="120"/>
      <c r="N1029" s="197"/>
    </row>
    <row r="1030" spans="1:14" ht="15.75" customHeight="1" x14ac:dyDescent="0.25">
      <c r="A1030" s="874" t="s">
        <v>710</v>
      </c>
      <c r="B1030" s="329" t="s">
        <v>941</v>
      </c>
      <c r="C1030" s="366" t="s">
        <v>176</v>
      </c>
      <c r="D1030" s="366">
        <v>20</v>
      </c>
      <c r="E1030" s="257">
        <v>250</v>
      </c>
      <c r="F1030" s="257">
        <v>216</v>
      </c>
      <c r="G1030" s="367">
        <f t="shared" si="18"/>
        <v>0.86399999999999999</v>
      </c>
      <c r="H1030" s="256" t="s">
        <v>1049</v>
      </c>
      <c r="J1030" s="120"/>
      <c r="N1030" s="197"/>
    </row>
    <row r="1031" spans="1:14" ht="15.75" customHeight="1" x14ac:dyDescent="0.25">
      <c r="A1031" s="829"/>
      <c r="B1031" s="329" t="s">
        <v>943</v>
      </c>
      <c r="C1031" s="366" t="s">
        <v>944</v>
      </c>
      <c r="D1031" s="366">
        <v>20</v>
      </c>
      <c r="E1031" s="257">
        <v>0.5</v>
      </c>
      <c r="F1031" s="257">
        <v>0.41520000000000001</v>
      </c>
      <c r="G1031" s="367">
        <f t="shared" si="18"/>
        <v>0.83040000000000003</v>
      </c>
      <c r="H1031" s="256" t="s">
        <v>1050</v>
      </c>
      <c r="J1031" s="120"/>
      <c r="N1031" s="197"/>
    </row>
    <row r="1032" spans="1:14" ht="15.75" customHeight="1" x14ac:dyDescent="0.25">
      <c r="A1032" s="829"/>
      <c r="B1032" s="329" t="s">
        <v>946</v>
      </c>
      <c r="C1032" s="366" t="s">
        <v>176</v>
      </c>
      <c r="D1032" s="366">
        <v>20</v>
      </c>
      <c r="E1032" s="257">
        <v>0.3</v>
      </c>
      <c r="F1032" s="257">
        <v>0.4</v>
      </c>
      <c r="G1032" s="367">
        <f t="shared" si="18"/>
        <v>1.3333333333333335</v>
      </c>
      <c r="H1032" s="256" t="s">
        <v>1051</v>
      </c>
      <c r="J1032" s="120"/>
      <c r="N1032" s="197"/>
    </row>
    <row r="1033" spans="1:14" ht="15.75" customHeight="1" x14ac:dyDescent="0.25">
      <c r="A1033" s="829"/>
      <c r="B1033" s="329" t="s">
        <v>948</v>
      </c>
      <c r="C1033" s="366" t="s">
        <v>176</v>
      </c>
      <c r="D1033" s="366">
        <v>20</v>
      </c>
      <c r="E1033" s="257">
        <v>33</v>
      </c>
      <c r="F1033" s="257">
        <v>28.71</v>
      </c>
      <c r="G1033" s="367">
        <f t="shared" si="18"/>
        <v>0.87</v>
      </c>
      <c r="H1033" s="256" t="s">
        <v>1052</v>
      </c>
      <c r="J1033" s="120"/>
      <c r="N1033" s="197"/>
    </row>
    <row r="1034" spans="1:14" ht="15.75" customHeight="1" x14ac:dyDescent="0.25">
      <c r="A1034" s="872"/>
      <c r="B1034" s="329" t="s">
        <v>950</v>
      </c>
      <c r="C1034" s="366" t="s">
        <v>176</v>
      </c>
      <c r="D1034" s="366">
        <v>20</v>
      </c>
      <c r="E1034" s="257">
        <v>0.15</v>
      </c>
      <c r="F1034" s="257">
        <v>0.13</v>
      </c>
      <c r="G1034" s="258">
        <f t="shared" si="18"/>
        <v>0.8666666666666667</v>
      </c>
      <c r="H1034" s="256" t="s">
        <v>1048</v>
      </c>
      <c r="J1034" s="120"/>
      <c r="N1034" s="197"/>
    </row>
    <row r="1035" spans="1:14" ht="15.75" customHeight="1" x14ac:dyDescent="0.25">
      <c r="A1035" s="874" t="s">
        <v>712</v>
      </c>
      <c r="B1035" s="329" t="s">
        <v>941</v>
      </c>
      <c r="C1035" s="366" t="s">
        <v>176</v>
      </c>
      <c r="D1035" s="366">
        <v>20</v>
      </c>
      <c r="E1035" s="257">
        <v>250</v>
      </c>
      <c r="F1035" s="257">
        <v>239</v>
      </c>
      <c r="G1035" s="367">
        <f t="shared" si="18"/>
        <v>0.95599999999999996</v>
      </c>
      <c r="H1035" s="256" t="s">
        <v>1053</v>
      </c>
      <c r="J1035" s="120"/>
      <c r="N1035" s="197"/>
    </row>
    <row r="1036" spans="1:14" ht="15.75" customHeight="1" x14ac:dyDescent="0.25">
      <c r="A1036" s="829"/>
      <c r="B1036" s="329" t="s">
        <v>943</v>
      </c>
      <c r="C1036" s="366" t="s">
        <v>944</v>
      </c>
      <c r="D1036" s="366">
        <v>20</v>
      </c>
      <c r="E1036" s="257">
        <v>0.5</v>
      </c>
      <c r="F1036" s="375">
        <v>0.4602</v>
      </c>
      <c r="G1036" s="367">
        <f t="shared" si="18"/>
        <v>0.9204</v>
      </c>
      <c r="H1036" s="256" t="s">
        <v>1054</v>
      </c>
      <c r="J1036" s="120"/>
      <c r="N1036" s="197"/>
    </row>
    <row r="1037" spans="1:14" ht="15.75" customHeight="1" x14ac:dyDescent="0.25">
      <c r="A1037" s="829"/>
      <c r="B1037" s="329" t="s">
        <v>946</v>
      </c>
      <c r="C1037" s="366" t="s">
        <v>176</v>
      </c>
      <c r="D1037" s="366">
        <v>20</v>
      </c>
      <c r="E1037" s="257">
        <v>0.3</v>
      </c>
      <c r="F1037" s="257">
        <v>0.28999999999999998</v>
      </c>
      <c r="G1037" s="367">
        <f t="shared" si="18"/>
        <v>0.96666666666666667</v>
      </c>
      <c r="H1037" s="256" t="s">
        <v>1055</v>
      </c>
      <c r="J1037" s="120"/>
      <c r="N1037" s="197"/>
    </row>
    <row r="1038" spans="1:14" ht="15.75" customHeight="1" x14ac:dyDescent="0.25">
      <c r="A1038" s="829"/>
      <c r="B1038" s="329" t="s">
        <v>948</v>
      </c>
      <c r="C1038" s="366" t="s">
        <v>176</v>
      </c>
      <c r="D1038" s="366">
        <v>20</v>
      </c>
      <c r="E1038" s="257">
        <v>33</v>
      </c>
      <c r="F1038" s="257">
        <v>32.01</v>
      </c>
      <c r="G1038" s="367">
        <f t="shared" si="18"/>
        <v>0.97</v>
      </c>
      <c r="H1038" s="256" t="s">
        <v>1056</v>
      </c>
      <c r="J1038" s="120"/>
      <c r="N1038" s="197"/>
    </row>
    <row r="1039" spans="1:14" ht="15.75" customHeight="1" x14ac:dyDescent="0.25">
      <c r="A1039" s="872"/>
      <c r="B1039" s="329" t="s">
        <v>950</v>
      </c>
      <c r="C1039" s="366" t="s">
        <v>176</v>
      </c>
      <c r="D1039" s="366">
        <v>20</v>
      </c>
      <c r="E1039" s="257">
        <v>0.15</v>
      </c>
      <c r="F1039" s="257">
        <v>0.14000000000000001</v>
      </c>
      <c r="G1039" s="258">
        <f t="shared" si="18"/>
        <v>0.93333333333333346</v>
      </c>
      <c r="H1039" s="256" t="s">
        <v>1057</v>
      </c>
      <c r="J1039" s="120"/>
      <c r="N1039" s="197"/>
    </row>
    <row r="1040" spans="1:14" ht="15.75" customHeight="1" x14ac:dyDescent="0.25">
      <c r="A1040" s="874" t="s">
        <v>713</v>
      </c>
      <c r="B1040" s="329" t="s">
        <v>941</v>
      </c>
      <c r="C1040" s="366" t="s">
        <v>176</v>
      </c>
      <c r="D1040" s="366">
        <v>20</v>
      </c>
      <c r="E1040" s="257">
        <v>250</v>
      </c>
      <c r="F1040" s="257">
        <v>259</v>
      </c>
      <c r="G1040" s="367">
        <f t="shared" si="18"/>
        <v>1.036</v>
      </c>
      <c r="H1040" s="256" t="s">
        <v>1058</v>
      </c>
      <c r="J1040" s="120"/>
      <c r="N1040" s="197"/>
    </row>
    <row r="1041" spans="1:14" ht="15.75" customHeight="1" x14ac:dyDescent="0.25">
      <c r="A1041" s="829"/>
      <c r="B1041" s="329" t="s">
        <v>943</v>
      </c>
      <c r="C1041" s="366" t="s">
        <v>944</v>
      </c>
      <c r="D1041" s="366">
        <v>20</v>
      </c>
      <c r="E1041" s="257">
        <v>0.5</v>
      </c>
      <c r="F1041" s="375">
        <v>0.50619999999999998</v>
      </c>
      <c r="G1041" s="367">
        <f t="shared" si="18"/>
        <v>1.0124</v>
      </c>
      <c r="H1041" s="256" t="s">
        <v>1059</v>
      </c>
      <c r="J1041" s="120"/>
      <c r="N1041" s="197"/>
    </row>
    <row r="1042" spans="1:14" ht="15.75" customHeight="1" x14ac:dyDescent="0.25">
      <c r="A1042" s="829"/>
      <c r="B1042" s="329" t="s">
        <v>946</v>
      </c>
      <c r="C1042" s="366" t="s">
        <v>176</v>
      </c>
      <c r="D1042" s="366">
        <v>20</v>
      </c>
      <c r="E1042" s="257">
        <v>0.3</v>
      </c>
      <c r="F1042" s="257">
        <v>0.3</v>
      </c>
      <c r="G1042" s="367">
        <f t="shared" si="18"/>
        <v>1</v>
      </c>
      <c r="H1042" s="256" t="s">
        <v>1060</v>
      </c>
      <c r="J1042" s="120"/>
      <c r="N1042" s="197"/>
    </row>
    <row r="1043" spans="1:14" ht="15.75" customHeight="1" x14ac:dyDescent="0.25">
      <c r="A1043" s="829"/>
      <c r="B1043" s="329" t="s">
        <v>948</v>
      </c>
      <c r="C1043" s="366" t="s">
        <v>176</v>
      </c>
      <c r="D1043" s="366">
        <v>20</v>
      </c>
      <c r="E1043" s="257">
        <v>33</v>
      </c>
      <c r="F1043" s="257">
        <v>33</v>
      </c>
      <c r="G1043" s="367">
        <f t="shared" si="18"/>
        <v>1</v>
      </c>
      <c r="H1043" s="256" t="s">
        <v>1061</v>
      </c>
      <c r="J1043" s="120"/>
      <c r="N1043" s="197"/>
    </row>
    <row r="1044" spans="1:14" ht="15.75" customHeight="1" x14ac:dyDescent="0.25">
      <c r="A1044" s="872"/>
      <c r="B1044" s="329" t="s">
        <v>950</v>
      </c>
      <c r="C1044" s="366" t="s">
        <v>176</v>
      </c>
      <c r="D1044" s="366">
        <v>20</v>
      </c>
      <c r="E1044" s="257">
        <v>0.15</v>
      </c>
      <c r="F1044" s="257">
        <v>0.15</v>
      </c>
      <c r="G1044" s="258">
        <f t="shared" si="18"/>
        <v>1</v>
      </c>
      <c r="H1044" s="256" t="s">
        <v>1062</v>
      </c>
      <c r="J1044" s="120"/>
      <c r="N1044" s="197"/>
    </row>
    <row r="1045" spans="1:14" ht="15.75" customHeight="1" x14ac:dyDescent="0.25">
      <c r="B1045" s="196"/>
      <c r="C1045" s="197"/>
      <c r="D1045" s="197"/>
      <c r="J1045" s="120"/>
      <c r="N1045" s="197"/>
    </row>
    <row r="1046" spans="1:14" ht="15.75" customHeight="1" x14ac:dyDescent="0.3">
      <c r="A1046" s="877" t="s">
        <v>1063</v>
      </c>
      <c r="B1046" s="695"/>
      <c r="C1046" s="695"/>
      <c r="D1046" s="695"/>
      <c r="E1046" s="695"/>
      <c r="F1046" s="695"/>
      <c r="G1046" s="695"/>
      <c r="H1046" s="736"/>
      <c r="J1046" s="120"/>
      <c r="N1046" s="197"/>
    </row>
    <row r="1047" spans="1:14" ht="52.5" customHeight="1" x14ac:dyDescent="0.25">
      <c r="A1047" s="198" t="s">
        <v>27</v>
      </c>
      <c r="B1047" s="199" t="s">
        <v>937</v>
      </c>
      <c r="C1047" s="359" t="s">
        <v>729</v>
      </c>
      <c r="D1047" s="359" t="s">
        <v>863</v>
      </c>
      <c r="E1047" s="359" t="s">
        <v>1064</v>
      </c>
      <c r="F1047" s="359" t="s">
        <v>1065</v>
      </c>
      <c r="G1047" s="359" t="s">
        <v>1066</v>
      </c>
      <c r="H1047" s="200" t="s">
        <v>923</v>
      </c>
      <c r="J1047" s="120"/>
      <c r="N1047" s="197"/>
    </row>
    <row r="1048" spans="1:14" ht="87" customHeight="1" x14ac:dyDescent="0.25">
      <c r="A1048" s="882" t="s">
        <v>715</v>
      </c>
      <c r="B1048" s="329" t="s">
        <v>941</v>
      </c>
      <c r="C1048" s="366" t="s">
        <v>176</v>
      </c>
      <c r="D1048" s="366">
        <v>20</v>
      </c>
      <c r="E1048" s="257">
        <v>330</v>
      </c>
      <c r="F1048" s="175">
        <v>5</v>
      </c>
      <c r="G1048" s="376">
        <f t="shared" ref="G1048:G1107" si="19">F1048/E1048</f>
        <v>1.5151515151515152E-2</v>
      </c>
      <c r="H1048" s="243" t="s">
        <v>867</v>
      </c>
      <c r="J1048" s="120"/>
      <c r="N1048" s="197"/>
    </row>
    <row r="1049" spans="1:14" ht="87" customHeight="1" x14ac:dyDescent="0.25">
      <c r="A1049" s="822"/>
      <c r="B1049" s="329" t="s">
        <v>943</v>
      </c>
      <c r="C1049" s="366" t="s">
        <v>944</v>
      </c>
      <c r="D1049" s="366">
        <v>20</v>
      </c>
      <c r="E1049" s="257">
        <v>0.6</v>
      </c>
      <c r="F1049" s="175">
        <v>0</v>
      </c>
      <c r="G1049" s="376">
        <f t="shared" si="19"/>
        <v>0</v>
      </c>
      <c r="H1049" s="243" t="s">
        <v>1067</v>
      </c>
      <c r="J1049" s="120"/>
      <c r="N1049" s="197"/>
    </row>
    <row r="1050" spans="1:14" ht="87" customHeight="1" x14ac:dyDescent="0.25">
      <c r="A1050" s="822"/>
      <c r="B1050" s="329" t="s">
        <v>946</v>
      </c>
      <c r="C1050" s="366" t="s">
        <v>176</v>
      </c>
      <c r="D1050" s="366">
        <v>20</v>
      </c>
      <c r="E1050" s="257">
        <v>0.3</v>
      </c>
      <c r="F1050" s="175">
        <v>0.02</v>
      </c>
      <c r="G1050" s="376">
        <f t="shared" si="19"/>
        <v>6.6666666666666666E-2</v>
      </c>
      <c r="H1050" s="243" t="s">
        <v>1068</v>
      </c>
      <c r="J1050" s="120"/>
      <c r="N1050" s="197"/>
    </row>
    <row r="1051" spans="1:14" ht="87" customHeight="1" x14ac:dyDescent="0.25">
      <c r="A1051" s="822"/>
      <c r="B1051" s="329" t="s">
        <v>948</v>
      </c>
      <c r="C1051" s="366" t="s">
        <v>176</v>
      </c>
      <c r="D1051" s="366">
        <v>20</v>
      </c>
      <c r="E1051" s="257">
        <v>33</v>
      </c>
      <c r="F1051" s="175">
        <v>1.65</v>
      </c>
      <c r="G1051" s="376">
        <f t="shared" si="19"/>
        <v>4.9999999999999996E-2</v>
      </c>
      <c r="H1051" s="243" t="s">
        <v>1069</v>
      </c>
      <c r="J1051" s="120"/>
      <c r="N1051" s="197"/>
    </row>
    <row r="1052" spans="1:14" ht="87" customHeight="1" x14ac:dyDescent="0.25">
      <c r="A1052" s="883"/>
      <c r="B1052" s="329" t="s">
        <v>950</v>
      </c>
      <c r="C1052" s="366" t="s">
        <v>176</v>
      </c>
      <c r="D1052" s="366">
        <v>20</v>
      </c>
      <c r="E1052" s="257">
        <v>0.15</v>
      </c>
      <c r="F1052" s="257">
        <v>0.01</v>
      </c>
      <c r="G1052" s="376">
        <f t="shared" si="19"/>
        <v>6.6666666666666666E-2</v>
      </c>
      <c r="H1052" s="243" t="s">
        <v>1070</v>
      </c>
      <c r="J1052" s="120"/>
      <c r="N1052" s="197"/>
    </row>
    <row r="1053" spans="1:14" ht="56.25" customHeight="1" x14ac:dyDescent="0.25">
      <c r="A1053" s="874" t="s">
        <v>716</v>
      </c>
      <c r="B1053" s="329" t="s">
        <v>941</v>
      </c>
      <c r="C1053" s="366" t="s">
        <v>176</v>
      </c>
      <c r="D1053" s="366">
        <v>20</v>
      </c>
      <c r="E1053" s="257">
        <v>330</v>
      </c>
      <c r="F1053" s="175">
        <v>35</v>
      </c>
      <c r="G1053" s="376">
        <f t="shared" si="19"/>
        <v>0.10606060606060606</v>
      </c>
      <c r="H1053" s="243" t="s">
        <v>1071</v>
      </c>
      <c r="J1053" s="120"/>
      <c r="N1053" s="197"/>
    </row>
    <row r="1054" spans="1:14" ht="56.25" customHeight="1" x14ac:dyDescent="0.25">
      <c r="A1054" s="829"/>
      <c r="B1054" s="329" t="s">
        <v>943</v>
      </c>
      <c r="C1054" s="366" t="s">
        <v>944</v>
      </c>
      <c r="D1054" s="366">
        <v>20</v>
      </c>
      <c r="E1054" s="257">
        <v>0.6</v>
      </c>
      <c r="F1054" s="175">
        <v>0.06</v>
      </c>
      <c r="G1054" s="376">
        <f t="shared" si="19"/>
        <v>0.1</v>
      </c>
      <c r="H1054" s="243" t="s">
        <v>1072</v>
      </c>
      <c r="J1054" s="120"/>
      <c r="N1054" s="197"/>
    </row>
    <row r="1055" spans="1:14" ht="56.25" customHeight="1" x14ac:dyDescent="0.25">
      <c r="A1055" s="829"/>
      <c r="B1055" s="329" t="s">
        <v>946</v>
      </c>
      <c r="C1055" s="366" t="s">
        <v>176</v>
      </c>
      <c r="D1055" s="366">
        <v>20</v>
      </c>
      <c r="E1055" s="257">
        <v>0.3</v>
      </c>
      <c r="F1055" s="175">
        <v>0.04</v>
      </c>
      <c r="G1055" s="376">
        <f t="shared" si="19"/>
        <v>0.13333333333333333</v>
      </c>
      <c r="H1055" s="243" t="s">
        <v>1073</v>
      </c>
      <c r="J1055" s="120"/>
      <c r="N1055" s="197"/>
    </row>
    <row r="1056" spans="1:14" ht="56.25" customHeight="1" x14ac:dyDescent="0.25">
      <c r="A1056" s="829"/>
      <c r="B1056" s="329" t="s">
        <v>948</v>
      </c>
      <c r="C1056" s="366" t="s">
        <v>176</v>
      </c>
      <c r="D1056" s="366">
        <v>20</v>
      </c>
      <c r="E1056" s="257">
        <v>33</v>
      </c>
      <c r="F1056" s="175">
        <v>4.62</v>
      </c>
      <c r="G1056" s="376">
        <f t="shared" si="19"/>
        <v>0.14000000000000001</v>
      </c>
      <c r="H1056" s="243" t="s">
        <v>1074</v>
      </c>
      <c r="J1056" s="120"/>
      <c r="N1056" s="197"/>
    </row>
    <row r="1057" spans="1:14" ht="56.25" customHeight="1" x14ac:dyDescent="0.25">
      <c r="A1057" s="823"/>
      <c r="B1057" s="329" t="s">
        <v>950</v>
      </c>
      <c r="C1057" s="366" t="s">
        <v>176</v>
      </c>
      <c r="D1057" s="366">
        <v>20</v>
      </c>
      <c r="E1057" s="257">
        <v>0.15</v>
      </c>
      <c r="F1057" s="257">
        <v>0.02</v>
      </c>
      <c r="G1057" s="376">
        <f t="shared" si="19"/>
        <v>0.13333333333333333</v>
      </c>
      <c r="H1057" s="243" t="s">
        <v>1075</v>
      </c>
      <c r="J1057" s="120"/>
      <c r="N1057" s="197"/>
    </row>
    <row r="1058" spans="1:14" ht="56.25" customHeight="1" x14ac:dyDescent="0.25">
      <c r="A1058" s="874" t="s">
        <v>717</v>
      </c>
      <c r="B1058" s="329" t="s">
        <v>941</v>
      </c>
      <c r="C1058" s="366" t="s">
        <v>176</v>
      </c>
      <c r="D1058" s="366">
        <v>20</v>
      </c>
      <c r="E1058" s="257">
        <v>330</v>
      </c>
      <c r="F1058" s="175">
        <v>61</v>
      </c>
      <c r="G1058" s="376">
        <f t="shared" si="19"/>
        <v>0.18484848484848485</v>
      </c>
      <c r="H1058" s="243" t="s">
        <v>1076</v>
      </c>
      <c r="J1058" s="120"/>
      <c r="N1058" s="197"/>
    </row>
    <row r="1059" spans="1:14" ht="56.25" customHeight="1" x14ac:dyDescent="0.25">
      <c r="A1059" s="829"/>
      <c r="B1059" s="329" t="s">
        <v>943</v>
      </c>
      <c r="C1059" s="366" t="s">
        <v>944</v>
      </c>
      <c r="D1059" s="366">
        <v>20</v>
      </c>
      <c r="E1059" s="257">
        <v>0.6</v>
      </c>
      <c r="F1059" s="175">
        <v>0.125</v>
      </c>
      <c r="G1059" s="376">
        <f t="shared" si="19"/>
        <v>0.20833333333333334</v>
      </c>
      <c r="H1059" s="243" t="s">
        <v>1077</v>
      </c>
      <c r="J1059" s="120"/>
      <c r="N1059" s="197"/>
    </row>
    <row r="1060" spans="1:14" ht="56.25" customHeight="1" x14ac:dyDescent="0.25">
      <c r="A1060" s="829"/>
      <c r="B1060" s="329" t="s">
        <v>946</v>
      </c>
      <c r="C1060" s="366" t="s">
        <v>176</v>
      </c>
      <c r="D1060" s="366">
        <v>20</v>
      </c>
      <c r="E1060" s="257">
        <v>0.3</v>
      </c>
      <c r="F1060" s="175">
        <v>7.0000000000000007E-2</v>
      </c>
      <c r="G1060" s="376">
        <f t="shared" si="19"/>
        <v>0.23333333333333336</v>
      </c>
      <c r="H1060" s="243" t="s">
        <v>1078</v>
      </c>
      <c r="J1060" s="120"/>
      <c r="N1060" s="197"/>
    </row>
    <row r="1061" spans="1:14" ht="56.25" customHeight="1" x14ac:dyDescent="0.25">
      <c r="A1061" s="829"/>
      <c r="B1061" s="329" t="s">
        <v>948</v>
      </c>
      <c r="C1061" s="366" t="s">
        <v>176</v>
      </c>
      <c r="D1061" s="366">
        <v>20</v>
      </c>
      <c r="E1061" s="257">
        <v>33</v>
      </c>
      <c r="F1061" s="175">
        <v>7.59</v>
      </c>
      <c r="G1061" s="376">
        <f t="shared" si="19"/>
        <v>0.22999999999999998</v>
      </c>
      <c r="H1061" s="243" t="s">
        <v>1079</v>
      </c>
      <c r="J1061" s="120"/>
      <c r="N1061" s="197"/>
    </row>
    <row r="1062" spans="1:14" ht="56.25" customHeight="1" x14ac:dyDescent="0.25">
      <c r="A1062" s="823"/>
      <c r="B1062" s="329" t="s">
        <v>950</v>
      </c>
      <c r="C1062" s="366" t="s">
        <v>176</v>
      </c>
      <c r="D1062" s="366">
        <v>20</v>
      </c>
      <c r="E1062" s="257">
        <v>0.15</v>
      </c>
      <c r="F1062" s="257">
        <v>3.2000000000000001E-2</v>
      </c>
      <c r="G1062" s="376">
        <f t="shared" si="19"/>
        <v>0.21333333333333335</v>
      </c>
      <c r="H1062" s="243" t="s">
        <v>1080</v>
      </c>
      <c r="J1062" s="120"/>
      <c r="N1062" s="197"/>
    </row>
    <row r="1063" spans="1:14" ht="56.25" customHeight="1" x14ac:dyDescent="0.25">
      <c r="A1063" s="874" t="s">
        <v>718</v>
      </c>
      <c r="B1063" s="329" t="s">
        <v>941</v>
      </c>
      <c r="C1063" s="366" t="s">
        <v>176</v>
      </c>
      <c r="D1063" s="366">
        <v>20</v>
      </c>
      <c r="E1063" s="257">
        <v>330</v>
      </c>
      <c r="F1063" s="175">
        <v>96</v>
      </c>
      <c r="G1063" s="376">
        <f t="shared" si="19"/>
        <v>0.29090909090909089</v>
      </c>
      <c r="H1063" s="243" t="s">
        <v>1081</v>
      </c>
      <c r="J1063" s="120"/>
      <c r="N1063" s="197"/>
    </row>
    <row r="1064" spans="1:14" ht="56.25" customHeight="1" x14ac:dyDescent="0.25">
      <c r="A1064" s="829"/>
      <c r="B1064" s="329" t="s">
        <v>943</v>
      </c>
      <c r="C1064" s="366" t="s">
        <v>944</v>
      </c>
      <c r="D1064" s="366">
        <v>20</v>
      </c>
      <c r="E1064" s="257">
        <v>0.6</v>
      </c>
      <c r="F1064" s="175">
        <v>0.185</v>
      </c>
      <c r="G1064" s="376">
        <f t="shared" si="19"/>
        <v>0.30833333333333335</v>
      </c>
      <c r="H1064" s="243" t="s">
        <v>1082</v>
      </c>
      <c r="J1064" s="120"/>
      <c r="N1064" s="197"/>
    </row>
    <row r="1065" spans="1:14" ht="56.25" customHeight="1" x14ac:dyDescent="0.25">
      <c r="A1065" s="829"/>
      <c r="B1065" s="329" t="s">
        <v>946</v>
      </c>
      <c r="C1065" s="366" t="s">
        <v>176</v>
      </c>
      <c r="D1065" s="366">
        <v>20</v>
      </c>
      <c r="E1065" s="257">
        <v>0.3</v>
      </c>
      <c r="F1065" s="175">
        <v>0.11</v>
      </c>
      <c r="G1065" s="376">
        <f t="shared" si="19"/>
        <v>0.3666666666666667</v>
      </c>
      <c r="H1065" s="243" t="s">
        <v>1083</v>
      </c>
      <c r="J1065" s="120"/>
      <c r="N1065" s="197"/>
    </row>
    <row r="1066" spans="1:14" ht="56.25" customHeight="1" x14ac:dyDescent="0.25">
      <c r="A1066" s="829"/>
      <c r="B1066" s="329" t="s">
        <v>948</v>
      </c>
      <c r="C1066" s="366" t="s">
        <v>176</v>
      </c>
      <c r="D1066" s="366">
        <v>20</v>
      </c>
      <c r="E1066" s="257">
        <v>33</v>
      </c>
      <c r="F1066" s="175">
        <v>10.56</v>
      </c>
      <c r="G1066" s="376">
        <f t="shared" si="19"/>
        <v>0.32</v>
      </c>
      <c r="H1066" s="243" t="s">
        <v>1084</v>
      </c>
      <c r="J1066" s="120"/>
      <c r="N1066" s="197"/>
    </row>
    <row r="1067" spans="1:14" ht="56.25" customHeight="1" x14ac:dyDescent="0.25">
      <c r="A1067" s="823"/>
      <c r="B1067" s="329" t="s">
        <v>950</v>
      </c>
      <c r="C1067" s="366" t="s">
        <v>176</v>
      </c>
      <c r="D1067" s="366">
        <v>20</v>
      </c>
      <c r="E1067" s="257">
        <v>0.15</v>
      </c>
      <c r="F1067" s="257">
        <v>4.4999999999999998E-2</v>
      </c>
      <c r="G1067" s="376">
        <f t="shared" si="19"/>
        <v>0.3</v>
      </c>
      <c r="H1067" s="243" t="s">
        <v>1085</v>
      </c>
      <c r="J1067" s="120"/>
      <c r="N1067" s="197"/>
    </row>
    <row r="1068" spans="1:14" ht="56.25" customHeight="1" x14ac:dyDescent="0.25">
      <c r="A1068" s="874" t="s">
        <v>719</v>
      </c>
      <c r="B1068" s="329" t="s">
        <v>941</v>
      </c>
      <c r="C1068" s="366" t="s">
        <v>176</v>
      </c>
      <c r="D1068" s="366">
        <v>20</v>
      </c>
      <c r="E1068" s="257">
        <v>330</v>
      </c>
      <c r="F1068" s="175">
        <v>127</v>
      </c>
      <c r="G1068" s="376">
        <f t="shared" si="19"/>
        <v>0.38484848484848483</v>
      </c>
      <c r="H1068" s="243" t="s">
        <v>1086</v>
      </c>
      <c r="J1068" s="120"/>
      <c r="N1068" s="197"/>
    </row>
    <row r="1069" spans="1:14" ht="56.25" customHeight="1" x14ac:dyDescent="0.25">
      <c r="A1069" s="829"/>
      <c r="B1069" s="329" t="s">
        <v>943</v>
      </c>
      <c r="C1069" s="366" t="s">
        <v>944</v>
      </c>
      <c r="D1069" s="366">
        <v>20</v>
      </c>
      <c r="E1069" s="257">
        <v>0.6</v>
      </c>
      <c r="F1069" s="175">
        <v>0.245</v>
      </c>
      <c r="G1069" s="376">
        <f t="shared" si="19"/>
        <v>0.40833333333333333</v>
      </c>
      <c r="H1069" s="243" t="s">
        <v>1087</v>
      </c>
      <c r="J1069" s="120"/>
      <c r="N1069" s="197"/>
    </row>
    <row r="1070" spans="1:14" ht="56.25" customHeight="1" x14ac:dyDescent="0.25">
      <c r="A1070" s="829"/>
      <c r="B1070" s="329" t="s">
        <v>946</v>
      </c>
      <c r="C1070" s="366" t="s">
        <v>176</v>
      </c>
      <c r="D1070" s="366">
        <v>20</v>
      </c>
      <c r="E1070" s="257">
        <v>0.3</v>
      </c>
      <c r="F1070" s="175">
        <v>0.15</v>
      </c>
      <c r="G1070" s="376">
        <f t="shared" si="19"/>
        <v>0.5</v>
      </c>
      <c r="H1070" s="243" t="s">
        <v>1088</v>
      </c>
      <c r="J1070" s="120"/>
      <c r="N1070" s="197"/>
    </row>
    <row r="1071" spans="1:14" ht="56.25" customHeight="1" x14ac:dyDescent="0.25">
      <c r="A1071" s="829"/>
      <c r="B1071" s="329" t="s">
        <v>948</v>
      </c>
      <c r="C1071" s="366" t="s">
        <v>176</v>
      </c>
      <c r="D1071" s="366">
        <v>20</v>
      </c>
      <c r="E1071" s="257">
        <v>33</v>
      </c>
      <c r="F1071" s="175">
        <v>13.53</v>
      </c>
      <c r="G1071" s="376">
        <f t="shared" si="19"/>
        <v>0.41</v>
      </c>
      <c r="H1071" s="243" t="s">
        <v>1089</v>
      </c>
      <c r="J1071" s="120"/>
      <c r="N1071" s="197"/>
    </row>
    <row r="1072" spans="1:14" ht="56.25" customHeight="1" x14ac:dyDescent="0.25">
      <c r="A1072" s="823"/>
      <c r="B1072" s="329" t="s">
        <v>950</v>
      </c>
      <c r="C1072" s="366" t="s">
        <v>176</v>
      </c>
      <c r="D1072" s="366">
        <v>20</v>
      </c>
      <c r="E1072" s="257">
        <v>0.15</v>
      </c>
      <c r="F1072" s="257">
        <v>4.4999999999999998E-2</v>
      </c>
      <c r="G1072" s="376">
        <f t="shared" si="19"/>
        <v>0.3</v>
      </c>
      <c r="H1072" s="243" t="s">
        <v>1085</v>
      </c>
      <c r="J1072" s="120"/>
      <c r="N1072" s="197"/>
    </row>
    <row r="1073" spans="1:34" ht="56.25" customHeight="1" x14ac:dyDescent="0.25">
      <c r="A1073" s="874" t="s">
        <v>720</v>
      </c>
      <c r="B1073" s="329" t="s">
        <v>941</v>
      </c>
      <c r="C1073" s="366" t="s">
        <v>176</v>
      </c>
      <c r="D1073" s="366">
        <v>20</v>
      </c>
      <c r="E1073" s="257">
        <v>330</v>
      </c>
      <c r="F1073" s="175">
        <v>158</v>
      </c>
      <c r="G1073" s="376">
        <f t="shared" si="19"/>
        <v>0.47878787878787876</v>
      </c>
      <c r="H1073" s="243" t="s">
        <v>1090</v>
      </c>
      <c r="J1073" s="120"/>
      <c r="N1073" s="197"/>
    </row>
    <row r="1074" spans="1:34" ht="56.25" customHeight="1" x14ac:dyDescent="0.25">
      <c r="A1074" s="829"/>
      <c r="B1074" s="329" t="s">
        <v>943</v>
      </c>
      <c r="C1074" s="366" t="s">
        <v>944</v>
      </c>
      <c r="D1074" s="366">
        <v>20</v>
      </c>
      <c r="E1074" s="257">
        <v>0.6</v>
      </c>
      <c r="F1074" s="175">
        <v>0.30649999999999999</v>
      </c>
      <c r="G1074" s="376">
        <f t="shared" si="19"/>
        <v>0.51083333333333336</v>
      </c>
      <c r="H1074" s="243" t="s">
        <v>1091</v>
      </c>
      <c r="J1074" s="120"/>
      <c r="N1074" s="197"/>
    </row>
    <row r="1075" spans="1:34" ht="56.25" customHeight="1" x14ac:dyDescent="0.25">
      <c r="A1075" s="829"/>
      <c r="B1075" s="329" t="s">
        <v>946</v>
      </c>
      <c r="C1075" s="366" t="s">
        <v>176</v>
      </c>
      <c r="D1075" s="366">
        <v>20</v>
      </c>
      <c r="E1075" s="257">
        <v>0.3</v>
      </c>
      <c r="F1075" s="175">
        <v>0.18</v>
      </c>
      <c r="G1075" s="376">
        <f t="shared" si="19"/>
        <v>0.6</v>
      </c>
      <c r="H1075" s="243" t="s">
        <v>1092</v>
      </c>
      <c r="J1075" s="120"/>
      <c r="N1075" s="197"/>
    </row>
    <row r="1076" spans="1:34" ht="56.25" customHeight="1" x14ac:dyDescent="0.25">
      <c r="A1076" s="829"/>
      <c r="B1076" s="329" t="s">
        <v>948</v>
      </c>
      <c r="C1076" s="366" t="s">
        <v>176</v>
      </c>
      <c r="D1076" s="366">
        <v>20</v>
      </c>
      <c r="E1076" s="257">
        <v>33</v>
      </c>
      <c r="F1076" s="175">
        <v>16.5</v>
      </c>
      <c r="G1076" s="376">
        <f t="shared" si="19"/>
        <v>0.5</v>
      </c>
      <c r="H1076" s="243" t="s">
        <v>1089</v>
      </c>
      <c r="J1076" s="120"/>
      <c r="N1076" s="197"/>
    </row>
    <row r="1077" spans="1:34" ht="56.25" customHeight="1" x14ac:dyDescent="0.25">
      <c r="A1077" s="823"/>
      <c r="B1077" s="329" t="s">
        <v>950</v>
      </c>
      <c r="C1077" s="366" t="s">
        <v>176</v>
      </c>
      <c r="D1077" s="366">
        <v>20</v>
      </c>
      <c r="E1077" s="257">
        <v>0.15</v>
      </c>
      <c r="F1077" s="257">
        <v>7.0999999999999994E-2</v>
      </c>
      <c r="G1077" s="376">
        <f t="shared" si="19"/>
        <v>0.47333333333333333</v>
      </c>
      <c r="H1077" s="243" t="s">
        <v>1093</v>
      </c>
      <c r="J1077" s="120"/>
      <c r="N1077" s="197"/>
    </row>
    <row r="1078" spans="1:34" ht="56.25" customHeight="1" x14ac:dyDescent="0.25">
      <c r="A1078" s="893" t="s">
        <v>707</v>
      </c>
      <c r="B1078" s="345" t="s">
        <v>941</v>
      </c>
      <c r="C1078" s="377" t="s">
        <v>176</v>
      </c>
      <c r="D1078" s="377">
        <v>20</v>
      </c>
      <c r="E1078" s="268">
        <v>330</v>
      </c>
      <c r="F1078" s="170">
        <v>189</v>
      </c>
      <c r="G1078" s="378">
        <f t="shared" si="19"/>
        <v>0.57272727272727275</v>
      </c>
      <c r="H1078" s="278" t="s">
        <v>1094</v>
      </c>
      <c r="I1078" s="1"/>
      <c r="J1078" s="227"/>
      <c r="K1078" s="1"/>
      <c r="L1078" s="1"/>
      <c r="M1078" s="1"/>
      <c r="N1078" s="228"/>
      <c r="O1078" s="1"/>
      <c r="P1078" s="1"/>
      <c r="Q1078" s="1"/>
      <c r="R1078" s="1"/>
      <c r="S1078" s="1"/>
      <c r="T1078" s="1"/>
      <c r="U1078" s="1"/>
      <c r="V1078" s="1"/>
      <c r="W1078" s="1"/>
      <c r="X1078" s="1"/>
      <c r="Y1078" s="1"/>
      <c r="Z1078" s="1"/>
      <c r="AA1078" s="1"/>
      <c r="AB1078" s="1"/>
      <c r="AC1078" s="1"/>
      <c r="AD1078" s="1"/>
      <c r="AE1078" s="1"/>
      <c r="AF1078" s="1"/>
      <c r="AG1078" s="1"/>
      <c r="AH1078" s="1"/>
    </row>
    <row r="1079" spans="1:34" ht="56.25" customHeight="1" x14ac:dyDescent="0.25">
      <c r="A1079" s="829"/>
      <c r="B1079" s="345" t="s">
        <v>943</v>
      </c>
      <c r="C1079" s="377" t="s">
        <v>944</v>
      </c>
      <c r="D1079" s="377">
        <v>20</v>
      </c>
      <c r="E1079" s="268">
        <v>0.6</v>
      </c>
      <c r="F1079" s="170">
        <v>0.36399999999999999</v>
      </c>
      <c r="G1079" s="378">
        <f t="shared" si="19"/>
        <v>0.60666666666666669</v>
      </c>
      <c r="H1079" s="278" t="s">
        <v>1095</v>
      </c>
      <c r="I1079" s="1"/>
      <c r="J1079" s="227"/>
      <c r="K1079" s="1"/>
      <c r="L1079" s="1"/>
      <c r="M1079" s="1"/>
      <c r="N1079" s="228"/>
      <c r="O1079" s="1"/>
      <c r="P1079" s="1"/>
      <c r="Q1079" s="1"/>
      <c r="R1079" s="1"/>
      <c r="S1079" s="1"/>
      <c r="T1079" s="1"/>
      <c r="U1079" s="1"/>
      <c r="V1079" s="1"/>
      <c r="W1079" s="1"/>
      <c r="X1079" s="1"/>
      <c r="Y1079" s="1"/>
      <c r="Z1079" s="1"/>
      <c r="AA1079" s="1"/>
      <c r="AB1079" s="1"/>
      <c r="AC1079" s="1"/>
      <c r="AD1079" s="1"/>
      <c r="AE1079" s="1"/>
      <c r="AF1079" s="1"/>
      <c r="AG1079" s="1"/>
      <c r="AH1079" s="1"/>
    </row>
    <row r="1080" spans="1:34" ht="56.25" customHeight="1" x14ac:dyDescent="0.25">
      <c r="A1080" s="829"/>
      <c r="B1080" s="345" t="s">
        <v>946</v>
      </c>
      <c r="C1080" s="377" t="s">
        <v>176</v>
      </c>
      <c r="D1080" s="377">
        <v>20</v>
      </c>
      <c r="E1080" s="268">
        <v>0.3</v>
      </c>
      <c r="F1080" s="170">
        <v>0.2</v>
      </c>
      <c r="G1080" s="378">
        <f t="shared" si="19"/>
        <v>0.66666666666666674</v>
      </c>
      <c r="H1080" s="278" t="s">
        <v>1096</v>
      </c>
      <c r="I1080" s="1"/>
      <c r="J1080" s="227"/>
      <c r="K1080" s="1"/>
      <c r="L1080" s="1"/>
      <c r="M1080" s="1"/>
      <c r="N1080" s="228"/>
      <c r="O1080" s="1"/>
      <c r="P1080" s="1"/>
      <c r="Q1080" s="1"/>
      <c r="R1080" s="1"/>
      <c r="S1080" s="1"/>
      <c r="T1080" s="1"/>
      <c r="U1080" s="1"/>
      <c r="V1080" s="1"/>
      <c r="W1080" s="1"/>
      <c r="X1080" s="1"/>
      <c r="Y1080" s="1"/>
      <c r="Z1080" s="1"/>
      <c r="AA1080" s="1"/>
      <c r="AB1080" s="1"/>
      <c r="AC1080" s="1"/>
      <c r="AD1080" s="1"/>
      <c r="AE1080" s="1"/>
      <c r="AF1080" s="1"/>
      <c r="AG1080" s="1"/>
      <c r="AH1080" s="1"/>
    </row>
    <row r="1081" spans="1:34" ht="56.25" customHeight="1" x14ac:dyDescent="0.25">
      <c r="A1081" s="829"/>
      <c r="B1081" s="345" t="s">
        <v>948</v>
      </c>
      <c r="C1081" s="377" t="s">
        <v>176</v>
      </c>
      <c r="D1081" s="377">
        <v>20</v>
      </c>
      <c r="E1081" s="268">
        <v>33</v>
      </c>
      <c r="F1081" s="170">
        <v>19.47</v>
      </c>
      <c r="G1081" s="378">
        <f t="shared" si="19"/>
        <v>0.59</v>
      </c>
      <c r="H1081" s="278" t="s">
        <v>1097</v>
      </c>
      <c r="I1081" s="1"/>
      <c r="J1081" s="227"/>
      <c r="K1081" s="1"/>
      <c r="L1081" s="1"/>
      <c r="M1081" s="1"/>
      <c r="N1081" s="228"/>
      <c r="O1081" s="1"/>
      <c r="P1081" s="1"/>
      <c r="Q1081" s="1"/>
      <c r="R1081" s="1"/>
      <c r="S1081" s="1"/>
      <c r="T1081" s="1"/>
      <c r="U1081" s="1"/>
      <c r="V1081" s="1"/>
      <c r="W1081" s="1"/>
      <c r="X1081" s="1"/>
      <c r="Y1081" s="1"/>
      <c r="Z1081" s="1"/>
      <c r="AA1081" s="1"/>
      <c r="AB1081" s="1"/>
      <c r="AC1081" s="1"/>
      <c r="AD1081" s="1"/>
      <c r="AE1081" s="1"/>
      <c r="AF1081" s="1"/>
      <c r="AG1081" s="1"/>
      <c r="AH1081" s="1"/>
    </row>
    <row r="1082" spans="1:34" ht="56.25" customHeight="1" x14ac:dyDescent="0.25">
      <c r="A1082" s="823"/>
      <c r="B1082" s="345" t="s">
        <v>950</v>
      </c>
      <c r="C1082" s="377" t="s">
        <v>176</v>
      </c>
      <c r="D1082" s="377">
        <v>20</v>
      </c>
      <c r="E1082" s="268">
        <v>0.15</v>
      </c>
      <c r="F1082" s="268">
        <v>8.4000000000000005E-2</v>
      </c>
      <c r="G1082" s="378">
        <f t="shared" si="19"/>
        <v>0.56000000000000005</v>
      </c>
      <c r="H1082" s="278" t="s">
        <v>1098</v>
      </c>
      <c r="I1082" s="1"/>
      <c r="J1082" s="227"/>
      <c r="K1082" s="1"/>
      <c r="L1082" s="1"/>
      <c r="M1082" s="1"/>
      <c r="N1082" s="228"/>
      <c r="O1082" s="1"/>
      <c r="P1082" s="1"/>
      <c r="Q1082" s="1"/>
      <c r="R1082" s="1"/>
      <c r="S1082" s="1"/>
      <c r="T1082" s="1"/>
      <c r="U1082" s="1"/>
      <c r="V1082" s="1"/>
      <c r="W1082" s="1"/>
      <c r="X1082" s="1"/>
      <c r="Y1082" s="1"/>
      <c r="Z1082" s="1"/>
      <c r="AA1082" s="1"/>
      <c r="AB1082" s="1"/>
      <c r="AC1082" s="1"/>
      <c r="AD1082" s="1"/>
      <c r="AE1082" s="1"/>
      <c r="AF1082" s="1"/>
      <c r="AG1082" s="1"/>
      <c r="AH1082" s="1"/>
    </row>
    <row r="1083" spans="1:34" ht="56.25" customHeight="1" x14ac:dyDescent="0.25">
      <c r="A1083" s="874" t="s">
        <v>708</v>
      </c>
      <c r="B1083" s="329" t="s">
        <v>941</v>
      </c>
      <c r="C1083" s="366" t="s">
        <v>176</v>
      </c>
      <c r="D1083" s="366">
        <v>20</v>
      </c>
      <c r="E1083" s="257">
        <v>330</v>
      </c>
      <c r="F1083" s="175">
        <v>220</v>
      </c>
      <c r="G1083" s="376">
        <f t="shared" si="19"/>
        <v>0.66666666666666663</v>
      </c>
      <c r="H1083" s="243" t="s">
        <v>1099</v>
      </c>
      <c r="J1083" s="120"/>
      <c r="N1083" s="197"/>
    </row>
    <row r="1084" spans="1:34" ht="56.25" customHeight="1" x14ac:dyDescent="0.25">
      <c r="A1084" s="829"/>
      <c r="B1084" s="329" t="s">
        <v>943</v>
      </c>
      <c r="C1084" s="366" t="s">
        <v>944</v>
      </c>
      <c r="D1084" s="366">
        <v>20</v>
      </c>
      <c r="E1084" s="257">
        <v>0.6</v>
      </c>
      <c r="F1084" s="175">
        <v>0.43109999999999998</v>
      </c>
      <c r="G1084" s="376">
        <f t="shared" si="19"/>
        <v>0.71850000000000003</v>
      </c>
      <c r="H1084" s="243" t="s">
        <v>1100</v>
      </c>
      <c r="J1084" s="120"/>
      <c r="N1084" s="197"/>
    </row>
    <row r="1085" spans="1:34" ht="56.25" customHeight="1" x14ac:dyDescent="0.25">
      <c r="A1085" s="829"/>
      <c r="B1085" s="329" t="s">
        <v>946</v>
      </c>
      <c r="C1085" s="366" t="s">
        <v>176</v>
      </c>
      <c r="D1085" s="366">
        <v>20</v>
      </c>
      <c r="E1085" s="257">
        <v>0.3</v>
      </c>
      <c r="F1085" s="175">
        <v>0.24</v>
      </c>
      <c r="G1085" s="376">
        <f t="shared" si="19"/>
        <v>0.8</v>
      </c>
      <c r="H1085" s="243" t="s">
        <v>1101</v>
      </c>
      <c r="J1085" s="120"/>
      <c r="N1085" s="197"/>
    </row>
    <row r="1086" spans="1:34" ht="56.25" customHeight="1" x14ac:dyDescent="0.25">
      <c r="A1086" s="829"/>
      <c r="B1086" s="329" t="s">
        <v>948</v>
      </c>
      <c r="C1086" s="366" t="s">
        <v>176</v>
      </c>
      <c r="D1086" s="366">
        <v>20</v>
      </c>
      <c r="E1086" s="257">
        <v>33</v>
      </c>
      <c r="F1086" s="175">
        <v>22.44</v>
      </c>
      <c r="G1086" s="376">
        <f t="shared" si="19"/>
        <v>0.68</v>
      </c>
      <c r="H1086" s="243" t="s">
        <v>1102</v>
      </c>
      <c r="J1086" s="120"/>
      <c r="N1086" s="197"/>
    </row>
    <row r="1087" spans="1:34" ht="56.25" customHeight="1" x14ac:dyDescent="0.25">
      <c r="A1087" s="823"/>
      <c r="B1087" s="329" t="s">
        <v>950</v>
      </c>
      <c r="C1087" s="366" t="s">
        <v>176</v>
      </c>
      <c r="D1087" s="366">
        <v>20</v>
      </c>
      <c r="E1087" s="257">
        <v>0.15</v>
      </c>
      <c r="F1087" s="257">
        <v>9.9000000000000005E-2</v>
      </c>
      <c r="G1087" s="376">
        <f t="shared" si="19"/>
        <v>0.66</v>
      </c>
      <c r="H1087" s="243" t="s">
        <v>1103</v>
      </c>
      <c r="J1087" s="120"/>
      <c r="N1087" s="197"/>
    </row>
    <row r="1088" spans="1:34" ht="56.25" customHeight="1" x14ac:dyDescent="0.25">
      <c r="A1088" s="893" t="s">
        <v>709</v>
      </c>
      <c r="B1088" s="345" t="s">
        <v>941</v>
      </c>
      <c r="C1088" s="377" t="s">
        <v>176</v>
      </c>
      <c r="D1088" s="377">
        <v>20</v>
      </c>
      <c r="E1088" s="268">
        <v>330</v>
      </c>
      <c r="F1088" s="170">
        <v>251</v>
      </c>
      <c r="G1088" s="378">
        <f t="shared" si="19"/>
        <v>0.76060606060606062</v>
      </c>
      <c r="H1088" s="278" t="s">
        <v>1104</v>
      </c>
      <c r="I1088" s="1"/>
      <c r="J1088" s="227"/>
      <c r="K1088" s="1"/>
      <c r="L1088" s="1"/>
      <c r="M1088" s="1"/>
      <c r="N1088" s="228"/>
      <c r="O1088" s="1"/>
      <c r="P1088" s="1"/>
      <c r="Q1088" s="1"/>
      <c r="R1088" s="1"/>
      <c r="S1088" s="1"/>
      <c r="T1088" s="1"/>
      <c r="U1088" s="1"/>
      <c r="V1088" s="1"/>
      <c r="W1088" s="1"/>
      <c r="X1088" s="1"/>
      <c r="Y1088" s="1"/>
      <c r="Z1088" s="1"/>
      <c r="AA1088" s="1"/>
      <c r="AB1088" s="1"/>
      <c r="AC1088" s="1"/>
      <c r="AD1088" s="1"/>
      <c r="AE1088" s="1"/>
      <c r="AF1088" s="1"/>
      <c r="AG1088" s="1"/>
      <c r="AH1088" s="1"/>
    </row>
    <row r="1089" spans="1:34" ht="56.25" customHeight="1" x14ac:dyDescent="0.25">
      <c r="A1089" s="829"/>
      <c r="B1089" s="345" t="s">
        <v>943</v>
      </c>
      <c r="C1089" s="377" t="s">
        <v>944</v>
      </c>
      <c r="D1089" s="377">
        <v>20</v>
      </c>
      <c r="E1089" s="268">
        <v>0.6</v>
      </c>
      <c r="F1089" s="170">
        <v>0.48959999999999998</v>
      </c>
      <c r="G1089" s="378">
        <f t="shared" si="19"/>
        <v>0.81599999999999995</v>
      </c>
      <c r="H1089" s="278" t="s">
        <v>1105</v>
      </c>
      <c r="I1089" s="1"/>
      <c r="J1089" s="227"/>
      <c r="K1089" s="1"/>
      <c r="L1089" s="1"/>
      <c r="M1089" s="1"/>
      <c r="N1089" s="228"/>
      <c r="O1089" s="1"/>
      <c r="P1089" s="1"/>
      <c r="Q1089" s="1"/>
      <c r="R1089" s="1"/>
      <c r="S1089" s="1"/>
      <c r="T1089" s="1"/>
      <c r="U1089" s="1"/>
      <c r="V1089" s="1"/>
      <c r="W1089" s="1"/>
      <c r="X1089" s="1"/>
      <c r="Y1089" s="1"/>
      <c r="Z1089" s="1"/>
      <c r="AA1089" s="1"/>
      <c r="AB1089" s="1"/>
      <c r="AC1089" s="1"/>
      <c r="AD1089" s="1"/>
      <c r="AE1089" s="1"/>
      <c r="AF1089" s="1"/>
      <c r="AG1089" s="1"/>
      <c r="AH1089" s="1"/>
    </row>
    <row r="1090" spans="1:34" ht="56.25" customHeight="1" x14ac:dyDescent="0.25">
      <c r="A1090" s="829"/>
      <c r="B1090" s="354" t="s">
        <v>946</v>
      </c>
      <c r="C1090" s="379" t="s">
        <v>176</v>
      </c>
      <c r="D1090" s="379">
        <v>20</v>
      </c>
      <c r="E1090" s="380">
        <v>0.3</v>
      </c>
      <c r="F1090" s="300">
        <v>0.27</v>
      </c>
      <c r="G1090" s="381">
        <f t="shared" si="19"/>
        <v>0.90000000000000013</v>
      </c>
      <c r="H1090" s="302" t="s">
        <v>1106</v>
      </c>
      <c r="I1090" s="303"/>
      <c r="J1090" s="382"/>
      <c r="K1090" s="303"/>
      <c r="L1090" s="303"/>
      <c r="M1090" s="303"/>
      <c r="N1090" s="383"/>
      <c r="O1090" s="303"/>
      <c r="P1090" s="303"/>
      <c r="Q1090" s="303"/>
      <c r="R1090" s="303"/>
      <c r="S1090" s="303"/>
      <c r="T1090" s="303"/>
      <c r="U1090" s="303"/>
      <c r="V1090" s="303"/>
      <c r="W1090" s="303"/>
      <c r="X1090" s="303"/>
      <c r="Y1090" s="303"/>
      <c r="Z1090" s="303"/>
      <c r="AA1090" s="303"/>
      <c r="AB1090" s="303"/>
      <c r="AC1090" s="303"/>
      <c r="AD1090" s="303"/>
      <c r="AE1090" s="303"/>
      <c r="AF1090" s="303"/>
      <c r="AG1090" s="303"/>
      <c r="AH1090" s="303"/>
    </row>
    <row r="1091" spans="1:34" ht="56.25" customHeight="1" x14ac:dyDescent="0.25">
      <c r="A1091" s="829"/>
      <c r="B1091" s="354" t="s">
        <v>948</v>
      </c>
      <c r="C1091" s="379" t="s">
        <v>176</v>
      </c>
      <c r="D1091" s="379">
        <v>20</v>
      </c>
      <c r="E1091" s="380">
        <v>33</v>
      </c>
      <c r="F1091" s="300">
        <v>25.41</v>
      </c>
      <c r="G1091" s="381">
        <f t="shared" si="19"/>
        <v>0.77</v>
      </c>
      <c r="H1091" s="302" t="s">
        <v>1107</v>
      </c>
      <c r="I1091" s="303"/>
      <c r="J1091" s="382"/>
      <c r="K1091" s="303"/>
      <c r="L1091" s="303"/>
      <c r="M1091" s="303"/>
      <c r="N1091" s="383"/>
      <c r="O1091" s="303"/>
      <c r="P1091" s="303"/>
      <c r="Q1091" s="303"/>
      <c r="R1091" s="303"/>
      <c r="S1091" s="303"/>
      <c r="T1091" s="303"/>
      <c r="U1091" s="303"/>
      <c r="V1091" s="303"/>
      <c r="W1091" s="303"/>
      <c r="X1091" s="303"/>
      <c r="Y1091" s="303"/>
      <c r="Z1091" s="303"/>
      <c r="AA1091" s="303"/>
      <c r="AB1091" s="303"/>
      <c r="AC1091" s="303"/>
      <c r="AD1091" s="303"/>
      <c r="AE1091" s="303"/>
      <c r="AF1091" s="303"/>
      <c r="AG1091" s="303"/>
      <c r="AH1091" s="303"/>
    </row>
    <row r="1092" spans="1:34" ht="56.25" customHeight="1" x14ac:dyDescent="0.25">
      <c r="A1092" s="823"/>
      <c r="B1092" s="354" t="s">
        <v>950</v>
      </c>
      <c r="C1092" s="379" t="s">
        <v>176</v>
      </c>
      <c r="D1092" s="379">
        <v>20</v>
      </c>
      <c r="E1092" s="380">
        <v>0.15</v>
      </c>
      <c r="F1092" s="380">
        <v>0.112</v>
      </c>
      <c r="G1092" s="381">
        <f t="shared" si="19"/>
        <v>0.7466666666666667</v>
      </c>
      <c r="H1092" s="302" t="s">
        <v>1108</v>
      </c>
      <c r="I1092" s="303"/>
      <c r="J1092" s="382"/>
      <c r="K1092" s="303"/>
      <c r="L1092" s="303"/>
      <c r="M1092" s="303"/>
      <c r="N1092" s="383"/>
      <c r="O1092" s="303"/>
      <c r="P1092" s="303"/>
      <c r="Q1092" s="303"/>
      <c r="R1092" s="303"/>
      <c r="S1092" s="303"/>
      <c r="T1092" s="303"/>
      <c r="U1092" s="303"/>
      <c r="V1092" s="303"/>
      <c r="W1092" s="303"/>
      <c r="X1092" s="303"/>
      <c r="Y1092" s="303"/>
      <c r="Z1092" s="303"/>
      <c r="AA1092" s="303"/>
      <c r="AB1092" s="303"/>
      <c r="AC1092" s="303"/>
      <c r="AD1092" s="303"/>
      <c r="AE1092" s="303"/>
      <c r="AF1092" s="303"/>
      <c r="AG1092" s="303"/>
      <c r="AH1092" s="303"/>
    </row>
    <row r="1093" spans="1:34" ht="56.25" customHeight="1" x14ac:dyDescent="0.25">
      <c r="A1093" s="895" t="s">
        <v>710</v>
      </c>
      <c r="B1093" s="354" t="s">
        <v>941</v>
      </c>
      <c r="C1093" s="379" t="s">
        <v>176</v>
      </c>
      <c r="D1093" s="379">
        <v>20</v>
      </c>
      <c r="E1093" s="380">
        <v>330</v>
      </c>
      <c r="F1093" s="300">
        <v>302</v>
      </c>
      <c r="G1093" s="381">
        <f t="shared" si="19"/>
        <v>0.91515151515151516</v>
      </c>
      <c r="H1093" s="302" t="s">
        <v>1109</v>
      </c>
      <c r="I1093" s="303"/>
      <c r="J1093" s="382"/>
      <c r="K1093" s="303"/>
      <c r="L1093" s="303"/>
      <c r="M1093" s="303"/>
      <c r="N1093" s="383"/>
      <c r="O1093" s="303"/>
      <c r="P1093" s="303"/>
      <c r="Q1093" s="303"/>
      <c r="R1093" s="303"/>
      <c r="S1093" s="303"/>
      <c r="T1093" s="303"/>
      <c r="U1093" s="303"/>
      <c r="V1093" s="303"/>
      <c r="W1093" s="303"/>
      <c r="X1093" s="303"/>
      <c r="Y1093" s="303"/>
      <c r="Z1093" s="303"/>
      <c r="AA1093" s="303"/>
      <c r="AB1093" s="303"/>
      <c r="AC1093" s="303"/>
      <c r="AD1093" s="303"/>
      <c r="AE1093" s="303"/>
      <c r="AF1093" s="303"/>
      <c r="AG1093" s="303"/>
      <c r="AH1093" s="303"/>
    </row>
    <row r="1094" spans="1:34" ht="56.25" customHeight="1" x14ac:dyDescent="0.25">
      <c r="A1094" s="829"/>
      <c r="B1094" s="354" t="s">
        <v>943</v>
      </c>
      <c r="C1094" s="379" t="s">
        <v>944</v>
      </c>
      <c r="D1094" s="379">
        <v>20</v>
      </c>
      <c r="E1094" s="380">
        <v>0.6</v>
      </c>
      <c r="F1094" s="300">
        <v>0.57299999999999995</v>
      </c>
      <c r="G1094" s="381">
        <f t="shared" si="19"/>
        <v>0.95499999999999996</v>
      </c>
      <c r="H1094" s="302" t="s">
        <v>1110</v>
      </c>
      <c r="I1094" s="303"/>
      <c r="J1094" s="382"/>
      <c r="K1094" s="303"/>
      <c r="L1094" s="303"/>
      <c r="M1094" s="303"/>
      <c r="N1094" s="383"/>
      <c r="O1094" s="303"/>
      <c r="P1094" s="303"/>
      <c r="Q1094" s="303"/>
      <c r="R1094" s="303"/>
      <c r="S1094" s="303"/>
      <c r="T1094" s="303"/>
      <c r="U1094" s="303"/>
      <c r="V1094" s="303"/>
      <c r="W1094" s="303"/>
      <c r="X1094" s="303"/>
      <c r="Y1094" s="303"/>
      <c r="Z1094" s="303"/>
      <c r="AA1094" s="303"/>
      <c r="AB1094" s="303"/>
      <c r="AC1094" s="303"/>
      <c r="AD1094" s="303"/>
      <c r="AE1094" s="303"/>
      <c r="AF1094" s="303"/>
      <c r="AG1094" s="303"/>
      <c r="AH1094" s="303"/>
    </row>
    <row r="1095" spans="1:34" ht="56.25" customHeight="1" x14ac:dyDescent="0.25">
      <c r="A1095" s="829"/>
      <c r="B1095" s="354" t="s">
        <v>946</v>
      </c>
      <c r="C1095" s="379" t="s">
        <v>176</v>
      </c>
      <c r="D1095" s="379">
        <v>20</v>
      </c>
      <c r="E1095" s="380">
        <v>0.3</v>
      </c>
      <c r="F1095" s="300">
        <v>0.29499999999999998</v>
      </c>
      <c r="G1095" s="381">
        <f t="shared" si="19"/>
        <v>0.98333333333333328</v>
      </c>
      <c r="H1095" s="302" t="s">
        <v>1111</v>
      </c>
      <c r="I1095" s="303"/>
      <c r="J1095" s="382"/>
      <c r="K1095" s="303"/>
      <c r="L1095" s="303"/>
      <c r="M1095" s="303"/>
      <c r="N1095" s="383"/>
      <c r="O1095" s="303"/>
      <c r="P1095" s="303"/>
      <c r="Q1095" s="303"/>
      <c r="R1095" s="303"/>
      <c r="S1095" s="303"/>
      <c r="T1095" s="303"/>
      <c r="U1095" s="303"/>
      <c r="V1095" s="303"/>
      <c r="W1095" s="303"/>
      <c r="X1095" s="303"/>
      <c r="Y1095" s="303"/>
      <c r="Z1095" s="303"/>
      <c r="AA1095" s="303"/>
      <c r="AB1095" s="303"/>
      <c r="AC1095" s="303"/>
      <c r="AD1095" s="303"/>
      <c r="AE1095" s="303"/>
      <c r="AF1095" s="303"/>
      <c r="AG1095" s="303"/>
      <c r="AH1095" s="303"/>
    </row>
    <row r="1096" spans="1:34" ht="56.25" customHeight="1" x14ac:dyDescent="0.25">
      <c r="A1096" s="829"/>
      <c r="B1096" s="354" t="s">
        <v>948</v>
      </c>
      <c r="C1096" s="379" t="s">
        <v>176</v>
      </c>
      <c r="D1096" s="379">
        <v>20</v>
      </c>
      <c r="E1096" s="380">
        <v>33</v>
      </c>
      <c r="F1096" s="300">
        <v>31.35</v>
      </c>
      <c r="G1096" s="381">
        <f t="shared" si="19"/>
        <v>0.95000000000000007</v>
      </c>
      <c r="H1096" s="302" t="s">
        <v>1112</v>
      </c>
      <c r="I1096" s="303"/>
      <c r="J1096" s="382"/>
      <c r="K1096" s="303"/>
      <c r="L1096" s="303"/>
      <c r="M1096" s="303"/>
      <c r="N1096" s="383"/>
      <c r="O1096" s="303"/>
      <c r="P1096" s="303"/>
      <c r="Q1096" s="303"/>
      <c r="R1096" s="303"/>
      <c r="S1096" s="303"/>
      <c r="T1096" s="303"/>
      <c r="U1096" s="303"/>
      <c r="V1096" s="303"/>
      <c r="W1096" s="303"/>
      <c r="X1096" s="303"/>
      <c r="Y1096" s="303"/>
      <c r="Z1096" s="303"/>
      <c r="AA1096" s="303"/>
      <c r="AB1096" s="303"/>
      <c r="AC1096" s="303"/>
      <c r="AD1096" s="303"/>
      <c r="AE1096" s="303"/>
      <c r="AF1096" s="303"/>
      <c r="AG1096" s="303"/>
      <c r="AH1096" s="303"/>
    </row>
    <row r="1097" spans="1:34" ht="56.25" customHeight="1" x14ac:dyDescent="0.25">
      <c r="A1097" s="823"/>
      <c r="B1097" s="354" t="s">
        <v>950</v>
      </c>
      <c r="C1097" s="379" t="s">
        <v>176</v>
      </c>
      <c r="D1097" s="379">
        <v>20</v>
      </c>
      <c r="E1097" s="380">
        <v>0.15</v>
      </c>
      <c r="F1097" s="380">
        <v>0.14799999999999999</v>
      </c>
      <c r="G1097" s="381">
        <f t="shared" si="19"/>
        <v>0.98666666666666669</v>
      </c>
      <c r="H1097" s="302" t="s">
        <v>1113</v>
      </c>
      <c r="I1097" s="303"/>
      <c r="J1097" s="382"/>
      <c r="K1097" s="303"/>
      <c r="L1097" s="303"/>
      <c r="M1097" s="303"/>
      <c r="N1097" s="383"/>
      <c r="O1097" s="303"/>
      <c r="P1097" s="303"/>
      <c r="Q1097" s="303"/>
      <c r="R1097" s="303"/>
      <c r="S1097" s="303"/>
      <c r="T1097" s="303"/>
      <c r="U1097" s="303"/>
      <c r="V1097" s="303"/>
      <c r="W1097" s="303"/>
      <c r="X1097" s="303"/>
      <c r="Y1097" s="303"/>
      <c r="Z1097" s="303"/>
      <c r="AA1097" s="303"/>
      <c r="AB1097" s="303"/>
      <c r="AC1097" s="303"/>
      <c r="AD1097" s="303"/>
      <c r="AE1097" s="303"/>
      <c r="AF1097" s="303"/>
      <c r="AG1097" s="303"/>
      <c r="AH1097" s="303"/>
    </row>
    <row r="1098" spans="1:34" ht="56.25" customHeight="1" x14ac:dyDescent="0.25">
      <c r="A1098" s="895" t="s">
        <v>712</v>
      </c>
      <c r="B1098" s="354" t="s">
        <v>941</v>
      </c>
      <c r="C1098" s="379" t="s">
        <v>176</v>
      </c>
      <c r="D1098" s="379">
        <v>20</v>
      </c>
      <c r="E1098" s="380">
        <v>330</v>
      </c>
      <c r="F1098" s="300">
        <v>302</v>
      </c>
      <c r="G1098" s="381">
        <f t="shared" si="19"/>
        <v>0.91515151515151516</v>
      </c>
      <c r="H1098" s="302" t="s">
        <v>1109</v>
      </c>
      <c r="I1098" s="303"/>
      <c r="J1098" s="382"/>
      <c r="K1098" s="303"/>
      <c r="L1098" s="303"/>
      <c r="M1098" s="303"/>
      <c r="N1098" s="383"/>
      <c r="O1098" s="303"/>
      <c r="P1098" s="303"/>
      <c r="Q1098" s="303"/>
      <c r="R1098" s="303"/>
      <c r="S1098" s="303"/>
      <c r="T1098" s="303"/>
      <c r="U1098" s="303"/>
      <c r="V1098" s="303"/>
      <c r="W1098" s="303"/>
      <c r="X1098" s="303"/>
      <c r="Y1098" s="303"/>
      <c r="Z1098" s="303"/>
      <c r="AA1098" s="303"/>
      <c r="AB1098" s="303"/>
      <c r="AC1098" s="303"/>
      <c r="AD1098" s="303"/>
      <c r="AE1098" s="303"/>
      <c r="AF1098" s="303"/>
      <c r="AG1098" s="303"/>
      <c r="AH1098" s="303"/>
    </row>
    <row r="1099" spans="1:34" ht="56.25" customHeight="1" x14ac:dyDescent="0.25">
      <c r="A1099" s="829"/>
      <c r="B1099" s="354" t="s">
        <v>943</v>
      </c>
      <c r="C1099" s="379" t="s">
        <v>944</v>
      </c>
      <c r="D1099" s="379">
        <v>20</v>
      </c>
      <c r="E1099" s="380">
        <v>0.6</v>
      </c>
      <c r="F1099" s="300">
        <v>0.57299999999999995</v>
      </c>
      <c r="G1099" s="381">
        <f t="shared" si="19"/>
        <v>0.95499999999999996</v>
      </c>
      <c r="H1099" s="302" t="s">
        <v>1110</v>
      </c>
      <c r="I1099" s="303"/>
      <c r="J1099" s="382"/>
      <c r="K1099" s="303"/>
      <c r="L1099" s="303"/>
      <c r="M1099" s="303"/>
      <c r="N1099" s="383"/>
      <c r="O1099" s="303"/>
      <c r="P1099" s="303"/>
      <c r="Q1099" s="303"/>
      <c r="R1099" s="303"/>
      <c r="S1099" s="303"/>
      <c r="T1099" s="303"/>
      <c r="U1099" s="303"/>
      <c r="V1099" s="303"/>
      <c r="W1099" s="303"/>
      <c r="X1099" s="303"/>
      <c r="Y1099" s="303"/>
      <c r="Z1099" s="303"/>
      <c r="AA1099" s="303"/>
      <c r="AB1099" s="303"/>
      <c r="AC1099" s="303"/>
      <c r="AD1099" s="303"/>
      <c r="AE1099" s="303"/>
      <c r="AF1099" s="303"/>
      <c r="AG1099" s="303"/>
      <c r="AH1099" s="303"/>
    </row>
    <row r="1100" spans="1:34" ht="56.25" customHeight="1" x14ac:dyDescent="0.25">
      <c r="A1100" s="829"/>
      <c r="B1100" s="354" t="s">
        <v>946</v>
      </c>
      <c r="C1100" s="379" t="s">
        <v>176</v>
      </c>
      <c r="D1100" s="379">
        <v>20</v>
      </c>
      <c r="E1100" s="380">
        <v>0.3</v>
      </c>
      <c r="F1100" s="300">
        <v>0.29499999999999998</v>
      </c>
      <c r="G1100" s="381">
        <f t="shared" si="19"/>
        <v>0.98333333333333328</v>
      </c>
      <c r="H1100" s="302" t="s">
        <v>1111</v>
      </c>
      <c r="I1100" s="303"/>
      <c r="J1100" s="382"/>
      <c r="K1100" s="303"/>
      <c r="L1100" s="303"/>
      <c r="M1100" s="303"/>
      <c r="N1100" s="383"/>
      <c r="O1100" s="303"/>
      <c r="P1100" s="303"/>
      <c r="Q1100" s="303"/>
      <c r="R1100" s="303"/>
      <c r="S1100" s="303"/>
      <c r="T1100" s="303"/>
      <c r="U1100" s="303"/>
      <c r="V1100" s="303"/>
      <c r="W1100" s="303"/>
      <c r="X1100" s="303"/>
      <c r="Y1100" s="303"/>
      <c r="Z1100" s="303"/>
      <c r="AA1100" s="303"/>
      <c r="AB1100" s="303"/>
      <c r="AC1100" s="303"/>
      <c r="AD1100" s="303"/>
      <c r="AE1100" s="303"/>
      <c r="AF1100" s="303"/>
      <c r="AG1100" s="303"/>
      <c r="AH1100" s="303"/>
    </row>
    <row r="1101" spans="1:34" ht="56.25" customHeight="1" x14ac:dyDescent="0.25">
      <c r="A1101" s="829"/>
      <c r="B1101" s="354" t="s">
        <v>948</v>
      </c>
      <c r="C1101" s="379" t="s">
        <v>176</v>
      </c>
      <c r="D1101" s="379">
        <v>20</v>
      </c>
      <c r="E1101" s="380">
        <v>33</v>
      </c>
      <c r="F1101" s="300">
        <v>31.35</v>
      </c>
      <c r="G1101" s="381">
        <f t="shared" si="19"/>
        <v>0.95000000000000007</v>
      </c>
      <c r="H1101" s="302" t="s">
        <v>1112</v>
      </c>
      <c r="I1101" s="303"/>
      <c r="J1101" s="382"/>
      <c r="K1101" s="303"/>
      <c r="L1101" s="303"/>
      <c r="M1101" s="303"/>
      <c r="N1101" s="383"/>
      <c r="O1101" s="303"/>
      <c r="P1101" s="303"/>
      <c r="Q1101" s="303"/>
      <c r="R1101" s="303"/>
      <c r="S1101" s="303"/>
      <c r="T1101" s="303"/>
      <c r="U1101" s="303"/>
      <c r="V1101" s="303"/>
      <c r="W1101" s="303"/>
      <c r="X1101" s="303"/>
      <c r="Y1101" s="303"/>
      <c r="Z1101" s="303"/>
      <c r="AA1101" s="303"/>
      <c r="AB1101" s="303"/>
      <c r="AC1101" s="303"/>
      <c r="AD1101" s="303"/>
      <c r="AE1101" s="303"/>
      <c r="AF1101" s="303"/>
      <c r="AG1101" s="303"/>
      <c r="AH1101" s="303"/>
    </row>
    <row r="1102" spans="1:34" ht="56.25" customHeight="1" x14ac:dyDescent="0.25">
      <c r="A1102" s="823"/>
      <c r="B1102" s="354" t="s">
        <v>950</v>
      </c>
      <c r="C1102" s="379" t="s">
        <v>176</v>
      </c>
      <c r="D1102" s="379">
        <v>20</v>
      </c>
      <c r="E1102" s="380">
        <v>0.15</v>
      </c>
      <c r="F1102" s="380">
        <v>0.14799999999999999</v>
      </c>
      <c r="G1102" s="381">
        <f t="shared" si="19"/>
        <v>0.98666666666666669</v>
      </c>
      <c r="H1102" s="302" t="s">
        <v>1113</v>
      </c>
      <c r="I1102" s="303"/>
      <c r="J1102" s="382"/>
      <c r="K1102" s="303"/>
      <c r="L1102" s="303"/>
      <c r="M1102" s="303"/>
      <c r="N1102" s="383"/>
      <c r="O1102" s="303"/>
      <c r="P1102" s="303"/>
      <c r="Q1102" s="303"/>
      <c r="R1102" s="303"/>
      <c r="S1102" s="303"/>
      <c r="T1102" s="303"/>
      <c r="U1102" s="303"/>
      <c r="V1102" s="303"/>
      <c r="W1102" s="303"/>
      <c r="X1102" s="303"/>
      <c r="Y1102" s="303"/>
      <c r="Z1102" s="303"/>
      <c r="AA1102" s="303"/>
      <c r="AB1102" s="303"/>
      <c r="AC1102" s="303"/>
      <c r="AD1102" s="303"/>
      <c r="AE1102" s="303"/>
      <c r="AF1102" s="303"/>
      <c r="AG1102" s="303"/>
      <c r="AH1102" s="303"/>
    </row>
    <row r="1103" spans="1:34" s="569" customFormat="1" ht="56.25" customHeight="1" x14ac:dyDescent="0.25">
      <c r="A1103" s="896" t="s">
        <v>713</v>
      </c>
      <c r="B1103" s="612" t="s">
        <v>941</v>
      </c>
      <c r="C1103" s="620" t="s">
        <v>176</v>
      </c>
      <c r="D1103" s="620">
        <v>20</v>
      </c>
      <c r="E1103" s="621">
        <v>330</v>
      </c>
      <c r="F1103" s="596">
        <v>322</v>
      </c>
      <c r="G1103" s="622">
        <f t="shared" si="19"/>
        <v>0.97575757575757571</v>
      </c>
      <c r="H1103" s="598" t="s">
        <v>1114</v>
      </c>
      <c r="I1103" s="599"/>
      <c r="J1103" s="623"/>
      <c r="K1103" s="599"/>
      <c r="L1103" s="599"/>
      <c r="M1103" s="599"/>
      <c r="N1103" s="624"/>
      <c r="O1103" s="599"/>
      <c r="P1103" s="599"/>
      <c r="Q1103" s="599"/>
      <c r="R1103" s="599"/>
      <c r="S1103" s="599"/>
      <c r="T1103" s="599"/>
      <c r="U1103" s="599"/>
      <c r="V1103" s="599"/>
      <c r="W1103" s="599"/>
      <c r="X1103" s="599"/>
      <c r="Y1103" s="599"/>
      <c r="Z1103" s="599"/>
      <c r="AA1103" s="599"/>
      <c r="AB1103" s="599"/>
      <c r="AC1103" s="599"/>
      <c r="AD1103" s="599"/>
      <c r="AE1103" s="599"/>
      <c r="AF1103" s="599"/>
      <c r="AG1103" s="599"/>
      <c r="AH1103" s="599"/>
    </row>
    <row r="1104" spans="1:34" s="569" customFormat="1" ht="56.25" customHeight="1" x14ac:dyDescent="0.25">
      <c r="A1104" s="897"/>
      <c r="B1104" s="612" t="s">
        <v>943</v>
      </c>
      <c r="C1104" s="620" t="s">
        <v>944</v>
      </c>
      <c r="D1104" s="620">
        <v>20</v>
      </c>
      <c r="E1104" s="621">
        <v>0.6</v>
      </c>
      <c r="F1104" s="596">
        <v>0.59219999999999995</v>
      </c>
      <c r="G1104" s="622">
        <f t="shared" si="19"/>
        <v>0.98699999999999999</v>
      </c>
      <c r="H1104" s="598" t="s">
        <v>1115</v>
      </c>
      <c r="I1104" s="599"/>
      <c r="J1104" s="623"/>
      <c r="K1104" s="599"/>
      <c r="L1104" s="599"/>
      <c r="M1104" s="599"/>
      <c r="N1104" s="624"/>
      <c r="O1104" s="599"/>
      <c r="P1104" s="599"/>
      <c r="Q1104" s="599"/>
      <c r="R1104" s="599"/>
      <c r="S1104" s="599"/>
      <c r="T1104" s="599"/>
      <c r="U1104" s="599"/>
      <c r="V1104" s="599"/>
      <c r="W1104" s="599"/>
      <c r="X1104" s="599"/>
      <c r="Y1104" s="599"/>
      <c r="Z1104" s="599"/>
      <c r="AA1104" s="599"/>
      <c r="AB1104" s="599"/>
      <c r="AC1104" s="599"/>
      <c r="AD1104" s="599"/>
      <c r="AE1104" s="599"/>
      <c r="AF1104" s="599"/>
      <c r="AG1104" s="599"/>
      <c r="AH1104" s="599"/>
    </row>
    <row r="1105" spans="1:34" s="569" customFormat="1" ht="56.25" customHeight="1" x14ac:dyDescent="0.25">
      <c r="A1105" s="897"/>
      <c r="B1105" s="612" t="s">
        <v>946</v>
      </c>
      <c r="C1105" s="620" t="s">
        <v>176</v>
      </c>
      <c r="D1105" s="620">
        <v>20</v>
      </c>
      <c r="E1105" s="621">
        <v>0.3</v>
      </c>
      <c r="F1105" s="596">
        <v>0.3</v>
      </c>
      <c r="G1105" s="622">
        <f t="shared" si="19"/>
        <v>1</v>
      </c>
      <c r="H1105" s="598" t="s">
        <v>1116</v>
      </c>
      <c r="I1105" s="599"/>
      <c r="J1105" s="623"/>
      <c r="K1105" s="599"/>
      <c r="L1105" s="599"/>
      <c r="M1105" s="599"/>
      <c r="N1105" s="624"/>
      <c r="O1105" s="599"/>
      <c r="P1105" s="599"/>
      <c r="Q1105" s="599"/>
      <c r="R1105" s="599"/>
      <c r="S1105" s="599"/>
      <c r="T1105" s="599"/>
      <c r="U1105" s="599"/>
      <c r="V1105" s="599"/>
      <c r="W1105" s="599"/>
      <c r="X1105" s="599"/>
      <c r="Y1105" s="599"/>
      <c r="Z1105" s="599"/>
      <c r="AA1105" s="599"/>
      <c r="AB1105" s="599"/>
      <c r="AC1105" s="599"/>
      <c r="AD1105" s="599"/>
      <c r="AE1105" s="599"/>
      <c r="AF1105" s="599"/>
      <c r="AG1105" s="599"/>
      <c r="AH1105" s="599"/>
    </row>
    <row r="1106" spans="1:34" s="569" customFormat="1" ht="56.25" customHeight="1" x14ac:dyDescent="0.25">
      <c r="A1106" s="897"/>
      <c r="B1106" s="612" t="s">
        <v>948</v>
      </c>
      <c r="C1106" s="620" t="s">
        <v>176</v>
      </c>
      <c r="D1106" s="620">
        <v>20</v>
      </c>
      <c r="E1106" s="621">
        <v>33</v>
      </c>
      <c r="F1106" s="596">
        <v>33</v>
      </c>
      <c r="G1106" s="622">
        <f t="shared" si="19"/>
        <v>1</v>
      </c>
      <c r="H1106" s="598" t="s">
        <v>1117</v>
      </c>
      <c r="I1106" s="599"/>
      <c r="J1106" s="623"/>
      <c r="K1106" s="599"/>
      <c r="L1106" s="599"/>
      <c r="M1106" s="599"/>
      <c r="N1106" s="624"/>
      <c r="O1106" s="599"/>
      <c r="P1106" s="599"/>
      <c r="Q1106" s="599"/>
      <c r="R1106" s="599"/>
      <c r="S1106" s="599"/>
      <c r="T1106" s="599"/>
      <c r="U1106" s="599"/>
      <c r="V1106" s="599"/>
      <c r="W1106" s="599"/>
      <c r="X1106" s="599"/>
      <c r="Y1106" s="599"/>
      <c r="Z1106" s="599"/>
      <c r="AA1106" s="599"/>
      <c r="AB1106" s="599"/>
      <c r="AC1106" s="599"/>
      <c r="AD1106" s="599"/>
      <c r="AE1106" s="599"/>
      <c r="AF1106" s="599"/>
      <c r="AG1106" s="599"/>
      <c r="AH1106" s="599"/>
    </row>
    <row r="1107" spans="1:34" s="569" customFormat="1" ht="56.25" customHeight="1" thickBot="1" x14ac:dyDescent="0.3">
      <c r="A1107" s="819"/>
      <c r="B1107" s="612" t="s">
        <v>950</v>
      </c>
      <c r="C1107" s="620" t="s">
        <v>176</v>
      </c>
      <c r="D1107" s="620">
        <v>20</v>
      </c>
      <c r="E1107" s="621">
        <v>0.15</v>
      </c>
      <c r="F1107" s="621">
        <v>0.15</v>
      </c>
      <c r="G1107" s="622">
        <f t="shared" si="19"/>
        <v>1</v>
      </c>
      <c r="H1107" s="598" t="s">
        <v>1113</v>
      </c>
      <c r="I1107" s="599"/>
      <c r="J1107" s="623"/>
      <c r="K1107" s="599"/>
      <c r="L1107" s="599"/>
      <c r="M1107" s="599"/>
      <c r="N1107" s="624"/>
      <c r="O1107" s="599"/>
      <c r="P1107" s="599"/>
      <c r="Q1107" s="599"/>
      <c r="R1107" s="599"/>
      <c r="S1107" s="599"/>
      <c r="T1107" s="599"/>
      <c r="U1107" s="599"/>
      <c r="V1107" s="599"/>
      <c r="W1107" s="599"/>
      <c r="X1107" s="599"/>
      <c r="Y1107" s="599"/>
      <c r="Z1107" s="599"/>
      <c r="AA1107" s="599"/>
      <c r="AB1107" s="599"/>
      <c r="AC1107" s="599"/>
      <c r="AD1107" s="599"/>
      <c r="AE1107" s="599"/>
      <c r="AF1107" s="599"/>
      <c r="AG1107" s="599"/>
      <c r="AH1107" s="599"/>
    </row>
    <row r="1108" spans="1:34" ht="15.75" customHeight="1" x14ac:dyDescent="0.3">
      <c r="A1108" s="877" t="s">
        <v>1118</v>
      </c>
      <c r="B1108" s="695"/>
      <c r="C1108" s="695"/>
      <c r="D1108" s="695"/>
      <c r="E1108" s="695"/>
      <c r="F1108" s="695"/>
      <c r="G1108" s="695"/>
      <c r="H1108" s="736"/>
      <c r="J1108" s="120"/>
      <c r="N1108" s="197"/>
    </row>
    <row r="1109" spans="1:34" ht="63.75" customHeight="1" x14ac:dyDescent="0.25">
      <c r="A1109" s="198" t="s">
        <v>28</v>
      </c>
      <c r="B1109" s="199" t="s">
        <v>937</v>
      </c>
      <c r="C1109" s="359" t="s">
        <v>729</v>
      </c>
      <c r="D1109" s="359" t="s">
        <v>915</v>
      </c>
      <c r="E1109" s="359" t="s">
        <v>1119</v>
      </c>
      <c r="F1109" s="359" t="s">
        <v>1120</v>
      </c>
      <c r="G1109" s="359" t="s">
        <v>1121</v>
      </c>
      <c r="H1109" s="200" t="s">
        <v>923</v>
      </c>
      <c r="J1109" s="120"/>
      <c r="N1109" s="197"/>
    </row>
    <row r="1110" spans="1:34" s="569" customFormat="1" ht="56.25" customHeight="1" x14ac:dyDescent="0.25">
      <c r="A1110" s="896" t="s">
        <v>715</v>
      </c>
      <c r="B1110" s="612" t="s">
        <v>941</v>
      </c>
      <c r="C1110" s="620" t="s">
        <v>176</v>
      </c>
      <c r="D1110" s="620">
        <v>20</v>
      </c>
      <c r="E1110" s="621">
        <v>148</v>
      </c>
      <c r="F1110" s="621">
        <v>22</v>
      </c>
      <c r="G1110" s="622">
        <f t="shared" ref="G1110:G1124" si="20">F1110/E1110</f>
        <v>0.14864864864864866</v>
      </c>
      <c r="H1110" s="598" t="s">
        <v>1465</v>
      </c>
      <c r="I1110" s="599"/>
      <c r="J1110" s="623"/>
      <c r="K1110" s="599"/>
      <c r="L1110" s="599"/>
      <c r="M1110" s="599"/>
      <c r="N1110" s="624"/>
      <c r="O1110" s="599"/>
      <c r="P1110" s="599"/>
      <c r="Q1110" s="599"/>
      <c r="R1110" s="599"/>
      <c r="S1110" s="599"/>
      <c r="T1110" s="599"/>
      <c r="U1110" s="599"/>
      <c r="V1110" s="599"/>
      <c r="W1110" s="599"/>
      <c r="X1110" s="599"/>
      <c r="Y1110" s="599"/>
      <c r="Z1110" s="599"/>
      <c r="AA1110" s="599"/>
      <c r="AB1110" s="599"/>
      <c r="AC1110" s="599"/>
      <c r="AD1110" s="599"/>
      <c r="AE1110" s="599"/>
      <c r="AF1110" s="599"/>
      <c r="AG1110" s="599"/>
      <c r="AH1110" s="599"/>
    </row>
    <row r="1111" spans="1:34" s="569" customFormat="1" ht="56.25" customHeight="1" x14ac:dyDescent="0.25">
      <c r="A1111" s="897"/>
      <c r="B1111" s="612" t="s">
        <v>943</v>
      </c>
      <c r="C1111" s="620" t="s">
        <v>944</v>
      </c>
      <c r="D1111" s="620">
        <v>20</v>
      </c>
      <c r="E1111" s="621">
        <v>0.3</v>
      </c>
      <c r="F1111" s="621">
        <v>5.2200000000000003E-2</v>
      </c>
      <c r="G1111" s="622">
        <f t="shared" si="20"/>
        <v>0.17400000000000002</v>
      </c>
      <c r="H1111" s="598" t="s">
        <v>1466</v>
      </c>
      <c r="I1111" s="599"/>
      <c r="J1111" s="623"/>
      <c r="K1111" s="599"/>
      <c r="L1111" s="599"/>
      <c r="M1111" s="599"/>
      <c r="N1111" s="624"/>
      <c r="O1111" s="599"/>
      <c r="P1111" s="599"/>
      <c r="Q1111" s="599"/>
      <c r="R1111" s="599"/>
      <c r="S1111" s="599"/>
      <c r="T1111" s="599"/>
      <c r="U1111" s="599"/>
      <c r="V1111" s="599"/>
      <c r="W1111" s="599"/>
      <c r="X1111" s="599"/>
      <c r="Y1111" s="599"/>
      <c r="Z1111" s="599"/>
      <c r="AA1111" s="599"/>
      <c r="AB1111" s="599"/>
      <c r="AC1111" s="599"/>
      <c r="AD1111" s="599"/>
      <c r="AE1111" s="599"/>
      <c r="AF1111" s="599"/>
      <c r="AG1111" s="599"/>
      <c r="AH1111" s="599"/>
    </row>
    <row r="1112" spans="1:34" s="569" customFormat="1" ht="56.25" customHeight="1" x14ac:dyDescent="0.25">
      <c r="A1112" s="897"/>
      <c r="B1112" s="612" t="s">
        <v>946</v>
      </c>
      <c r="C1112" s="620" t="s">
        <v>176</v>
      </c>
      <c r="D1112" s="620">
        <v>20</v>
      </c>
      <c r="E1112" s="621">
        <v>0.1</v>
      </c>
      <c r="F1112" s="621">
        <v>0.01</v>
      </c>
      <c r="G1112" s="622">
        <f t="shared" si="20"/>
        <v>9.9999999999999992E-2</v>
      </c>
      <c r="H1112" s="598" t="s">
        <v>1430</v>
      </c>
      <c r="I1112" s="599"/>
      <c r="J1112" s="623"/>
      <c r="K1112" s="599"/>
      <c r="L1112" s="599"/>
      <c r="M1112" s="599"/>
      <c r="N1112" s="624"/>
      <c r="O1112" s="599"/>
      <c r="P1112" s="599"/>
      <c r="Q1112" s="599"/>
      <c r="R1112" s="599"/>
      <c r="S1112" s="599"/>
      <c r="T1112" s="599"/>
      <c r="U1112" s="599"/>
      <c r="V1112" s="599"/>
      <c r="W1112" s="599"/>
      <c r="X1112" s="599"/>
      <c r="Y1112" s="599"/>
      <c r="Z1112" s="599"/>
      <c r="AA1112" s="599"/>
      <c r="AB1112" s="599"/>
      <c r="AC1112" s="599"/>
      <c r="AD1112" s="599"/>
      <c r="AE1112" s="599"/>
      <c r="AF1112" s="599"/>
      <c r="AG1112" s="599"/>
      <c r="AH1112" s="599"/>
    </row>
    <row r="1113" spans="1:34" s="569" customFormat="1" ht="56.25" customHeight="1" x14ac:dyDescent="0.25">
      <c r="A1113" s="897"/>
      <c r="B1113" s="612" t="s">
        <v>948</v>
      </c>
      <c r="C1113" s="620" t="s">
        <v>176</v>
      </c>
      <c r="D1113" s="620">
        <v>20</v>
      </c>
      <c r="E1113" s="621">
        <v>6</v>
      </c>
      <c r="F1113" s="621">
        <v>0.3</v>
      </c>
      <c r="G1113" s="622">
        <f t="shared" si="20"/>
        <v>4.9999999999999996E-2</v>
      </c>
      <c r="H1113" s="598" t="s">
        <v>1467</v>
      </c>
      <c r="I1113" s="599"/>
      <c r="J1113" s="623"/>
      <c r="K1113" s="599"/>
      <c r="L1113" s="599"/>
      <c r="M1113" s="599"/>
      <c r="N1113" s="624"/>
      <c r="O1113" s="599"/>
      <c r="P1113" s="599"/>
      <c r="Q1113" s="599"/>
      <c r="R1113" s="599"/>
      <c r="S1113" s="599"/>
      <c r="T1113" s="599"/>
      <c r="U1113" s="599"/>
      <c r="V1113" s="599"/>
      <c r="W1113" s="599"/>
      <c r="X1113" s="599"/>
      <c r="Y1113" s="599"/>
      <c r="Z1113" s="599"/>
      <c r="AA1113" s="599"/>
      <c r="AB1113" s="599"/>
      <c r="AC1113" s="599"/>
      <c r="AD1113" s="599"/>
      <c r="AE1113" s="599"/>
      <c r="AF1113" s="599"/>
      <c r="AG1113" s="599"/>
      <c r="AH1113" s="599"/>
    </row>
    <row r="1114" spans="1:34" s="569" customFormat="1" ht="56.25" customHeight="1" x14ac:dyDescent="0.25">
      <c r="A1114" s="819"/>
      <c r="B1114" s="612" t="s">
        <v>950</v>
      </c>
      <c r="C1114" s="620" t="s">
        <v>176</v>
      </c>
      <c r="D1114" s="620">
        <v>20</v>
      </c>
      <c r="E1114" s="621">
        <v>0.1</v>
      </c>
      <c r="F1114" s="621">
        <v>1.6E-2</v>
      </c>
      <c r="G1114" s="622">
        <f t="shared" si="20"/>
        <v>0.16</v>
      </c>
      <c r="H1114" s="598" t="s">
        <v>1468</v>
      </c>
      <c r="I1114" s="599"/>
      <c r="J1114" s="623"/>
      <c r="K1114" s="599"/>
      <c r="L1114" s="599"/>
      <c r="M1114" s="599"/>
      <c r="N1114" s="624"/>
      <c r="O1114" s="599"/>
      <c r="P1114" s="599"/>
      <c r="Q1114" s="599"/>
      <c r="R1114" s="599"/>
      <c r="S1114" s="599"/>
      <c r="T1114" s="599"/>
      <c r="U1114" s="599"/>
      <c r="V1114" s="599"/>
      <c r="W1114" s="599"/>
      <c r="X1114" s="599"/>
      <c r="Y1114" s="599"/>
      <c r="Z1114" s="599"/>
      <c r="AA1114" s="599"/>
      <c r="AB1114" s="599"/>
      <c r="AC1114" s="599"/>
      <c r="AD1114" s="599"/>
      <c r="AE1114" s="599"/>
      <c r="AF1114" s="599"/>
      <c r="AG1114" s="599"/>
      <c r="AH1114" s="599"/>
    </row>
    <row r="1115" spans="1:34" ht="56.25" customHeight="1" x14ac:dyDescent="0.25">
      <c r="A1115" s="874" t="s">
        <v>716</v>
      </c>
      <c r="B1115" s="329" t="s">
        <v>941</v>
      </c>
      <c r="C1115" s="366" t="s">
        <v>176</v>
      </c>
      <c r="D1115" s="366">
        <v>20</v>
      </c>
      <c r="E1115" s="257">
        <v>148</v>
      </c>
      <c r="F1115" s="257">
        <v>46</v>
      </c>
      <c r="G1115" s="376">
        <f t="shared" si="20"/>
        <v>0.3108108108108108</v>
      </c>
      <c r="H1115" s="243" t="s">
        <v>1488</v>
      </c>
      <c r="I1115" s="630"/>
      <c r="J1115" s="682"/>
      <c r="K1115" s="630"/>
      <c r="L1115" s="630"/>
      <c r="M1115" s="630"/>
      <c r="N1115" s="683"/>
      <c r="O1115" s="630"/>
      <c r="P1115" s="630"/>
      <c r="Q1115" s="630"/>
      <c r="R1115" s="630"/>
      <c r="S1115" s="630"/>
      <c r="T1115" s="630"/>
      <c r="U1115" s="630"/>
      <c r="V1115" s="630"/>
      <c r="W1115" s="630"/>
      <c r="X1115" s="630"/>
      <c r="Y1115" s="630"/>
      <c r="Z1115" s="630"/>
      <c r="AA1115" s="630"/>
      <c r="AB1115" s="630"/>
      <c r="AC1115" s="630"/>
      <c r="AD1115" s="630"/>
      <c r="AE1115" s="630"/>
      <c r="AF1115" s="630"/>
      <c r="AG1115" s="630"/>
      <c r="AH1115" s="630"/>
    </row>
    <row r="1116" spans="1:34" ht="56.25" customHeight="1" x14ac:dyDescent="0.25">
      <c r="A1116" s="829"/>
      <c r="B1116" s="329" t="s">
        <v>943</v>
      </c>
      <c r="C1116" s="366" t="s">
        <v>944</v>
      </c>
      <c r="D1116" s="366">
        <v>20</v>
      </c>
      <c r="E1116" s="257">
        <v>0.3</v>
      </c>
      <c r="F1116" s="257">
        <v>0.11</v>
      </c>
      <c r="G1116" s="376">
        <f t="shared" si="20"/>
        <v>0.3666666666666667</v>
      </c>
      <c r="H1116" s="243" t="s">
        <v>1489</v>
      </c>
      <c r="I1116" s="630"/>
      <c r="J1116" s="682"/>
      <c r="K1116" s="630"/>
      <c r="L1116" s="630"/>
      <c r="M1116" s="630"/>
      <c r="N1116" s="683"/>
      <c r="O1116" s="630"/>
      <c r="P1116" s="630"/>
      <c r="Q1116" s="630"/>
      <c r="R1116" s="630"/>
      <c r="S1116" s="630"/>
      <c r="T1116" s="630"/>
      <c r="U1116" s="630"/>
      <c r="V1116" s="630"/>
      <c r="W1116" s="630"/>
      <c r="X1116" s="630"/>
      <c r="Y1116" s="630"/>
      <c r="Z1116" s="630"/>
      <c r="AA1116" s="630"/>
      <c r="AB1116" s="630"/>
      <c r="AC1116" s="630"/>
      <c r="AD1116" s="630"/>
      <c r="AE1116" s="630"/>
      <c r="AF1116" s="630"/>
      <c r="AG1116" s="630"/>
      <c r="AH1116" s="630"/>
    </row>
    <row r="1117" spans="1:34" ht="56.25" customHeight="1" x14ac:dyDescent="0.25">
      <c r="A1117" s="829"/>
      <c r="B1117" s="329" t="s">
        <v>946</v>
      </c>
      <c r="C1117" s="366" t="s">
        <v>176</v>
      </c>
      <c r="D1117" s="366">
        <v>20</v>
      </c>
      <c r="E1117" s="257">
        <v>0.1</v>
      </c>
      <c r="F1117" s="257">
        <v>0.02</v>
      </c>
      <c r="G1117" s="376">
        <f t="shared" si="20"/>
        <v>0.19999999999999998</v>
      </c>
      <c r="H1117" s="243" t="s">
        <v>1490</v>
      </c>
      <c r="I1117" s="630"/>
      <c r="J1117" s="682"/>
      <c r="K1117" s="630"/>
      <c r="L1117" s="630"/>
      <c r="M1117" s="630"/>
      <c r="N1117" s="683"/>
      <c r="O1117" s="630"/>
      <c r="P1117" s="630"/>
      <c r="Q1117" s="630"/>
      <c r="R1117" s="630"/>
      <c r="S1117" s="630"/>
      <c r="T1117" s="630"/>
      <c r="U1117" s="630"/>
      <c r="V1117" s="630"/>
      <c r="W1117" s="630"/>
      <c r="X1117" s="630"/>
      <c r="Y1117" s="630"/>
      <c r="Z1117" s="630"/>
      <c r="AA1117" s="630"/>
      <c r="AB1117" s="630"/>
      <c r="AC1117" s="630"/>
      <c r="AD1117" s="630"/>
      <c r="AE1117" s="630"/>
      <c r="AF1117" s="630"/>
      <c r="AG1117" s="630"/>
      <c r="AH1117" s="630"/>
    </row>
    <row r="1118" spans="1:34" ht="56.25" customHeight="1" x14ac:dyDescent="0.25">
      <c r="A1118" s="829"/>
      <c r="B1118" s="329" t="s">
        <v>948</v>
      </c>
      <c r="C1118" s="366" t="s">
        <v>176</v>
      </c>
      <c r="D1118" s="366">
        <v>20</v>
      </c>
      <c r="E1118" s="257">
        <v>6</v>
      </c>
      <c r="F1118" s="257">
        <v>0.6</v>
      </c>
      <c r="G1118" s="376">
        <f t="shared" si="20"/>
        <v>9.9999999999999992E-2</v>
      </c>
      <c r="H1118" s="243" t="s">
        <v>1089</v>
      </c>
      <c r="I1118" s="630"/>
      <c r="J1118" s="682"/>
      <c r="K1118" s="630"/>
      <c r="L1118" s="630"/>
      <c r="M1118" s="630"/>
      <c r="N1118" s="683"/>
      <c r="O1118" s="630"/>
      <c r="P1118" s="630"/>
      <c r="Q1118" s="630"/>
      <c r="R1118" s="630"/>
      <c r="S1118" s="630"/>
      <c r="T1118" s="630"/>
      <c r="U1118" s="630"/>
      <c r="V1118" s="630"/>
      <c r="W1118" s="630"/>
      <c r="X1118" s="630"/>
      <c r="Y1118" s="630"/>
      <c r="Z1118" s="630"/>
      <c r="AA1118" s="630"/>
      <c r="AB1118" s="630"/>
      <c r="AC1118" s="630"/>
      <c r="AD1118" s="630"/>
      <c r="AE1118" s="630"/>
      <c r="AF1118" s="630"/>
      <c r="AG1118" s="630"/>
      <c r="AH1118" s="630"/>
    </row>
    <row r="1119" spans="1:34" ht="56.25" customHeight="1" x14ac:dyDescent="0.25">
      <c r="A1119" s="823"/>
      <c r="B1119" s="329" t="s">
        <v>950</v>
      </c>
      <c r="C1119" s="366" t="s">
        <v>176</v>
      </c>
      <c r="D1119" s="366">
        <v>20</v>
      </c>
      <c r="E1119" s="257">
        <v>0.1</v>
      </c>
      <c r="F1119" s="257">
        <v>1.7000000000000001E-2</v>
      </c>
      <c r="G1119" s="376">
        <f t="shared" si="20"/>
        <v>0.17</v>
      </c>
      <c r="H1119" s="243" t="s">
        <v>1491</v>
      </c>
      <c r="I1119" s="630"/>
      <c r="J1119" s="682"/>
      <c r="K1119" s="630"/>
      <c r="L1119" s="630"/>
      <c r="M1119" s="630"/>
      <c r="N1119" s="683"/>
      <c r="O1119" s="630"/>
      <c r="P1119" s="630"/>
      <c r="Q1119" s="630"/>
      <c r="R1119" s="630"/>
      <c r="S1119" s="630"/>
      <c r="T1119" s="630"/>
      <c r="U1119" s="630"/>
      <c r="V1119" s="630"/>
      <c r="W1119" s="630"/>
      <c r="X1119" s="630"/>
      <c r="Y1119" s="630"/>
      <c r="Z1119" s="630"/>
      <c r="AA1119" s="630"/>
      <c r="AB1119" s="630"/>
      <c r="AC1119" s="630"/>
      <c r="AD1119" s="630"/>
      <c r="AE1119" s="630"/>
      <c r="AF1119" s="630"/>
      <c r="AG1119" s="630"/>
      <c r="AH1119" s="630"/>
    </row>
    <row r="1120" spans="1:34" s="1186" customFormat="1" ht="75.599999999999994" customHeight="1" x14ac:dyDescent="0.25">
      <c r="A1120" s="1179" t="s">
        <v>717</v>
      </c>
      <c r="B1120" s="1180" t="s">
        <v>941</v>
      </c>
      <c r="C1120" s="1181" t="s">
        <v>176</v>
      </c>
      <c r="D1120" s="1181">
        <v>20</v>
      </c>
      <c r="E1120" s="1182">
        <v>148</v>
      </c>
      <c r="F1120" s="1183">
        <v>70</v>
      </c>
      <c r="G1120" s="1184">
        <f t="shared" si="20"/>
        <v>0.47297297297297297</v>
      </c>
      <c r="H1120" s="1185" t="s">
        <v>1592</v>
      </c>
      <c r="J1120" s="1187"/>
      <c r="N1120" s="1188"/>
    </row>
    <row r="1121" spans="1:34" s="1186" customFormat="1" ht="75.599999999999994" customHeight="1" x14ac:dyDescent="0.25">
      <c r="A1121" s="1189"/>
      <c r="B1121" s="1180" t="s">
        <v>943</v>
      </c>
      <c r="C1121" s="1181" t="s">
        <v>944</v>
      </c>
      <c r="D1121" s="1181">
        <v>20</v>
      </c>
      <c r="E1121" s="1182">
        <v>0.3</v>
      </c>
      <c r="F1121" s="1183">
        <v>0.16120000000000001</v>
      </c>
      <c r="G1121" s="1184">
        <f t="shared" si="20"/>
        <v>0.53733333333333344</v>
      </c>
      <c r="H1121" s="1185" t="s">
        <v>1593</v>
      </c>
      <c r="J1121" s="1187"/>
      <c r="N1121" s="1188"/>
    </row>
    <row r="1122" spans="1:34" s="1186" customFormat="1" ht="75.599999999999994" customHeight="1" x14ac:dyDescent="0.25">
      <c r="A1122" s="1189"/>
      <c r="B1122" s="1180" t="s">
        <v>946</v>
      </c>
      <c r="C1122" s="1181" t="s">
        <v>176</v>
      </c>
      <c r="D1122" s="1181">
        <v>20</v>
      </c>
      <c r="E1122" s="1182">
        <v>0.1</v>
      </c>
      <c r="F1122" s="1183">
        <v>7.0000000000000007E-2</v>
      </c>
      <c r="G1122" s="1184">
        <f t="shared" si="20"/>
        <v>0.70000000000000007</v>
      </c>
      <c r="H1122" s="1185" t="s">
        <v>1594</v>
      </c>
      <c r="J1122" s="1187"/>
      <c r="N1122" s="1188"/>
    </row>
    <row r="1123" spans="1:34" s="1186" customFormat="1" ht="75.599999999999994" customHeight="1" x14ac:dyDescent="0.25">
      <c r="A1123" s="1189"/>
      <c r="B1123" s="1180" t="s">
        <v>948</v>
      </c>
      <c r="C1123" s="1181" t="s">
        <v>176</v>
      </c>
      <c r="D1123" s="1181">
        <v>20</v>
      </c>
      <c r="E1123" s="1182">
        <v>6</v>
      </c>
      <c r="F1123" s="1183">
        <v>2.4</v>
      </c>
      <c r="G1123" s="1184">
        <f t="shared" si="20"/>
        <v>0.39999999999999997</v>
      </c>
      <c r="H1123" s="1185" t="s">
        <v>1595</v>
      </c>
      <c r="J1123" s="1187"/>
      <c r="N1123" s="1188"/>
    </row>
    <row r="1124" spans="1:34" s="1186" customFormat="1" ht="75.599999999999994" customHeight="1" x14ac:dyDescent="0.25">
      <c r="A1124" s="1190"/>
      <c r="B1124" s="1180" t="s">
        <v>950</v>
      </c>
      <c r="C1124" s="1181" t="s">
        <v>176</v>
      </c>
      <c r="D1124" s="1181">
        <v>20</v>
      </c>
      <c r="E1124" s="1182">
        <v>0.1</v>
      </c>
      <c r="F1124" s="1183">
        <v>0.05</v>
      </c>
      <c r="G1124" s="1184">
        <f t="shared" si="20"/>
        <v>0.5</v>
      </c>
      <c r="H1124" s="1185" t="s">
        <v>1596</v>
      </c>
      <c r="J1124" s="1187"/>
      <c r="N1124" s="1188"/>
    </row>
    <row r="1125" spans="1:34" ht="15.75" customHeight="1" x14ac:dyDescent="0.25">
      <c r="A1125" s="209" t="s">
        <v>712</v>
      </c>
      <c r="B1125" s="202"/>
      <c r="C1125" s="203"/>
      <c r="D1125" s="203"/>
      <c r="E1125" s="175"/>
      <c r="F1125" s="175"/>
      <c r="G1125" s="175" t="e">
        <f t="shared" ref="G1125:G1126" si="21">F1125/E1125</f>
        <v>#DIV/0!</v>
      </c>
      <c r="H1125" s="204"/>
      <c r="J1125" s="120"/>
      <c r="N1125" s="197"/>
    </row>
    <row r="1126" spans="1:34" ht="15.75" customHeight="1" thickBot="1" x14ac:dyDescent="0.3">
      <c r="A1126" s="213" t="s">
        <v>713</v>
      </c>
      <c r="B1126" s="238"/>
      <c r="C1126" s="239"/>
      <c r="D1126" s="239"/>
      <c r="E1126" s="240"/>
      <c r="F1126" s="240"/>
      <c r="G1126" s="240" t="e">
        <f t="shared" si="21"/>
        <v>#DIV/0!</v>
      </c>
      <c r="H1126" s="374"/>
      <c r="J1126" s="120"/>
      <c r="N1126" s="197"/>
    </row>
    <row r="1127" spans="1:34" ht="26.25" customHeight="1" x14ac:dyDescent="0.4">
      <c r="A1127" s="52" t="s">
        <v>195</v>
      </c>
      <c r="F1127" s="3"/>
      <c r="G1127" s="3"/>
      <c r="H1127" s="3"/>
      <c r="I1127" s="3"/>
      <c r="J1127" s="3"/>
      <c r="K1127" s="3"/>
      <c r="L1127" s="3"/>
      <c r="M1127" s="3"/>
      <c r="N1127" s="3"/>
      <c r="O1127" s="3"/>
      <c r="P1127" s="3"/>
      <c r="Q1127" s="3"/>
      <c r="R1127" s="3"/>
      <c r="S1127" s="3"/>
      <c r="T1127" s="3"/>
      <c r="U1127" s="3"/>
      <c r="V1127" s="53"/>
      <c r="W1127" s="54"/>
      <c r="X1127" s="55"/>
      <c r="Y1127" s="3"/>
      <c r="Z1127" s="54"/>
      <c r="AA1127" s="3"/>
      <c r="AB1127" s="3"/>
      <c r="AC1127" s="3"/>
      <c r="AD1127" s="3"/>
      <c r="AE1127" s="3"/>
      <c r="AF1127" s="3"/>
      <c r="AG1127" s="3"/>
      <c r="AH1127" s="3"/>
    </row>
    <row r="1128" spans="1:34" ht="26.25" customHeight="1" x14ac:dyDescent="0.25">
      <c r="A1128" s="60" t="s">
        <v>196</v>
      </c>
      <c r="B1128" s="726" t="s">
        <v>197</v>
      </c>
      <c r="C1128" s="727"/>
      <c r="D1128" s="727"/>
      <c r="E1128" s="727"/>
      <c r="F1128" s="727"/>
      <c r="G1128" s="728"/>
      <c r="H1128" s="732" t="s">
        <v>198</v>
      </c>
      <c r="I1128" s="727"/>
      <c r="J1128" s="727"/>
      <c r="K1128" s="727"/>
      <c r="L1128" s="727"/>
      <c r="M1128" s="727"/>
      <c r="N1128" s="727"/>
      <c r="O1128" s="727"/>
      <c r="P1128" s="728"/>
      <c r="Q1128" s="3"/>
      <c r="R1128" s="3"/>
      <c r="S1128" s="3"/>
      <c r="T1128" s="3"/>
      <c r="U1128" s="3"/>
      <c r="V1128" s="3"/>
      <c r="W1128" s="54"/>
      <c r="X1128" s="3"/>
      <c r="Y1128" s="3"/>
      <c r="Z1128" s="3"/>
      <c r="AA1128" s="3"/>
      <c r="AB1128" s="3"/>
      <c r="AC1128" s="3"/>
      <c r="AD1128" s="3"/>
      <c r="AE1128" s="3"/>
      <c r="AF1128" s="3"/>
      <c r="AG1128" s="3"/>
      <c r="AH1128" s="3"/>
    </row>
    <row r="1129" spans="1:34" ht="21" customHeight="1" x14ac:dyDescent="0.25">
      <c r="A1129" s="61">
        <v>13</v>
      </c>
      <c r="B1129" s="832" t="s">
        <v>199</v>
      </c>
      <c r="C1129" s="727"/>
      <c r="D1129" s="727"/>
      <c r="E1129" s="727"/>
      <c r="F1129" s="727"/>
      <c r="G1129" s="728"/>
      <c r="H1129" s="862" t="s">
        <v>200</v>
      </c>
      <c r="I1129" s="727"/>
      <c r="J1129" s="727"/>
      <c r="K1129" s="727"/>
      <c r="L1129" s="727"/>
      <c r="M1129" s="727"/>
      <c r="N1129" s="727"/>
      <c r="O1129" s="727"/>
      <c r="P1129" s="728"/>
      <c r="Q1129" s="3"/>
      <c r="R1129" s="3"/>
      <c r="S1129" s="3"/>
      <c r="T1129" s="3"/>
      <c r="U1129" s="3"/>
      <c r="V1129" s="894"/>
      <c r="W1129" s="689"/>
      <c r="X1129" s="689"/>
      <c r="Y1129" s="689"/>
      <c r="Z1129" s="689"/>
      <c r="AA1129" s="689"/>
      <c r="AB1129" s="689"/>
      <c r="AC1129" s="689"/>
      <c r="AD1129" s="689"/>
      <c r="AE1129" s="689"/>
      <c r="AF1129" s="689"/>
      <c r="AG1129" s="689"/>
      <c r="AH1129" s="689"/>
    </row>
    <row r="1130" spans="1:34" ht="15" customHeight="1" x14ac:dyDescent="0.25">
      <c r="A1130" s="61">
        <v>14</v>
      </c>
      <c r="B1130" s="832" t="s">
        <v>697</v>
      </c>
      <c r="C1130" s="727"/>
      <c r="D1130" s="727"/>
      <c r="E1130" s="727"/>
      <c r="F1130" s="727"/>
      <c r="G1130" s="728"/>
      <c r="H1130" s="862" t="s">
        <v>202</v>
      </c>
      <c r="I1130" s="727"/>
      <c r="J1130" s="727"/>
      <c r="K1130" s="727"/>
      <c r="L1130" s="727"/>
      <c r="M1130" s="727"/>
      <c r="N1130" s="727"/>
      <c r="O1130" s="727"/>
      <c r="P1130" s="728"/>
      <c r="Q1130" s="3"/>
      <c r="R1130" s="3"/>
      <c r="S1130" s="3"/>
      <c r="T1130" s="3"/>
      <c r="U1130" s="3"/>
      <c r="V1130" s="3"/>
      <c r="W1130" s="3"/>
      <c r="X1130" s="3"/>
      <c r="Y1130" s="3"/>
      <c r="Z1130" s="3"/>
      <c r="AA1130" s="3"/>
      <c r="AB1130" s="3"/>
      <c r="AC1130" s="3"/>
      <c r="AD1130" s="3"/>
      <c r="AE1130" s="3"/>
      <c r="AF1130" s="3"/>
      <c r="AG1130" s="3"/>
      <c r="AH1130" s="3"/>
    </row>
  </sheetData>
  <mergeCells count="464">
    <mergeCell ref="A893:A901"/>
    <mergeCell ref="B893:B895"/>
    <mergeCell ref="C893:C895"/>
    <mergeCell ref="B896:B899"/>
    <mergeCell ref="C896:C899"/>
    <mergeCell ref="A902:A910"/>
    <mergeCell ref="B902:B904"/>
    <mergeCell ref="C902:C904"/>
    <mergeCell ref="B905:B908"/>
    <mergeCell ref="C905:C908"/>
    <mergeCell ref="A875:A883"/>
    <mergeCell ref="B875:B877"/>
    <mergeCell ref="C875:C877"/>
    <mergeCell ref="B878:B881"/>
    <mergeCell ref="C878:C881"/>
    <mergeCell ref="A884:A892"/>
    <mergeCell ref="B884:B886"/>
    <mergeCell ref="C884:C886"/>
    <mergeCell ref="B887:B890"/>
    <mergeCell ref="C887:C890"/>
    <mergeCell ref="A258:A261"/>
    <mergeCell ref="A855:G855"/>
    <mergeCell ref="A857:A865"/>
    <mergeCell ref="B857:B859"/>
    <mergeCell ref="C857:C859"/>
    <mergeCell ref="B860:B863"/>
    <mergeCell ref="C860:C863"/>
    <mergeCell ref="A866:A874"/>
    <mergeCell ref="B866:B868"/>
    <mergeCell ref="C866:C868"/>
    <mergeCell ref="B869:B872"/>
    <mergeCell ref="C869:C872"/>
    <mergeCell ref="C836:C838"/>
    <mergeCell ref="B839:B842"/>
    <mergeCell ref="C839:C842"/>
    <mergeCell ref="B812:B815"/>
    <mergeCell ref="C812:C815"/>
    <mergeCell ref="A791:A799"/>
    <mergeCell ref="A800:A808"/>
    <mergeCell ref="B803:B806"/>
    <mergeCell ref="C803:C806"/>
    <mergeCell ref="A809:A817"/>
    <mergeCell ref="B809:B811"/>
    <mergeCell ref="C809:C811"/>
    <mergeCell ref="A917:A921"/>
    <mergeCell ref="B731:B734"/>
    <mergeCell ref="C731:C734"/>
    <mergeCell ref="A701:A709"/>
    <mergeCell ref="A710:A718"/>
    <mergeCell ref="A719:A727"/>
    <mergeCell ref="A728:A736"/>
    <mergeCell ref="A737:A745"/>
    <mergeCell ref="A746:A754"/>
    <mergeCell ref="A755:A763"/>
    <mergeCell ref="A912:H912"/>
    <mergeCell ref="B818:B820"/>
    <mergeCell ref="C818:C820"/>
    <mergeCell ref="B821:B824"/>
    <mergeCell ref="C821:C824"/>
    <mergeCell ref="C827:C829"/>
    <mergeCell ref="C830:C833"/>
    <mergeCell ref="B848:B851"/>
    <mergeCell ref="C848:C851"/>
    <mergeCell ref="B827:B829"/>
    <mergeCell ref="B830:B833"/>
    <mergeCell ref="A827:A835"/>
    <mergeCell ref="A836:A844"/>
    <mergeCell ref="B836:B838"/>
    <mergeCell ref="A923:H923"/>
    <mergeCell ref="A845:A853"/>
    <mergeCell ref="B845:B847"/>
    <mergeCell ref="C845:C847"/>
    <mergeCell ref="B650:B653"/>
    <mergeCell ref="C650:C653"/>
    <mergeCell ref="B656:B658"/>
    <mergeCell ref="C656:C658"/>
    <mergeCell ref="B659:B662"/>
    <mergeCell ref="C659:C662"/>
    <mergeCell ref="C665:C667"/>
    <mergeCell ref="B665:B667"/>
    <mergeCell ref="B668:B671"/>
    <mergeCell ref="C668:C671"/>
    <mergeCell ref="B674:B676"/>
    <mergeCell ref="C674:C676"/>
    <mergeCell ref="B677:B680"/>
    <mergeCell ref="C677:C680"/>
    <mergeCell ref="A692:A700"/>
    <mergeCell ref="B692:B694"/>
    <mergeCell ref="C692:C694"/>
    <mergeCell ref="B695:B698"/>
    <mergeCell ref="C695:C698"/>
    <mergeCell ref="A818:A826"/>
    <mergeCell ref="B800:B802"/>
    <mergeCell ref="C800:C802"/>
    <mergeCell ref="A764:A772"/>
    <mergeCell ref="A773:A781"/>
    <mergeCell ref="A782:A790"/>
    <mergeCell ref="B791:B793"/>
    <mergeCell ref="C791:C793"/>
    <mergeCell ref="B794:B797"/>
    <mergeCell ref="C794:C797"/>
    <mergeCell ref="B785:B788"/>
    <mergeCell ref="C785:C788"/>
    <mergeCell ref="B767:B770"/>
    <mergeCell ref="C767:C770"/>
    <mergeCell ref="B773:B775"/>
    <mergeCell ref="C773:C775"/>
    <mergeCell ref="B776:B779"/>
    <mergeCell ref="C776:C779"/>
    <mergeCell ref="C782:C784"/>
    <mergeCell ref="C749:C752"/>
    <mergeCell ref="B749:B752"/>
    <mergeCell ref="B755:B757"/>
    <mergeCell ref="C755:C757"/>
    <mergeCell ref="B758:B761"/>
    <mergeCell ref="C758:C761"/>
    <mergeCell ref="B764:B766"/>
    <mergeCell ref="C764:C766"/>
    <mergeCell ref="B782:B784"/>
    <mergeCell ref="B647:B649"/>
    <mergeCell ref="C647:C649"/>
    <mergeCell ref="B683:B685"/>
    <mergeCell ref="C683:C685"/>
    <mergeCell ref="B737:B739"/>
    <mergeCell ref="C737:C739"/>
    <mergeCell ref="B740:B743"/>
    <mergeCell ref="C740:C743"/>
    <mergeCell ref="B746:B748"/>
    <mergeCell ref="C746:C748"/>
    <mergeCell ref="C701:C703"/>
    <mergeCell ref="C704:C707"/>
    <mergeCell ref="B701:B703"/>
    <mergeCell ref="B704:B707"/>
    <mergeCell ref="B710:B712"/>
    <mergeCell ref="C710:C712"/>
    <mergeCell ref="B713:B716"/>
    <mergeCell ref="C713:C716"/>
    <mergeCell ref="C719:C721"/>
    <mergeCell ref="B719:B721"/>
    <mergeCell ref="B722:B725"/>
    <mergeCell ref="C722:C725"/>
    <mergeCell ref="B728:B730"/>
    <mergeCell ref="C728:C730"/>
    <mergeCell ref="C623:C626"/>
    <mergeCell ref="B629:B631"/>
    <mergeCell ref="C629:C631"/>
    <mergeCell ref="C632:C635"/>
    <mergeCell ref="B632:B635"/>
    <mergeCell ref="B638:B640"/>
    <mergeCell ref="C638:C640"/>
    <mergeCell ref="B641:B644"/>
    <mergeCell ref="C641:C644"/>
    <mergeCell ref="B1130:G1130"/>
    <mergeCell ref="H1130:P1130"/>
    <mergeCell ref="B554:B556"/>
    <mergeCell ref="C554:C556"/>
    <mergeCell ref="B557:B560"/>
    <mergeCell ref="C557:C560"/>
    <mergeCell ref="B563:B565"/>
    <mergeCell ref="C563:C565"/>
    <mergeCell ref="C566:C569"/>
    <mergeCell ref="B566:B569"/>
    <mergeCell ref="B575:B577"/>
    <mergeCell ref="C575:C577"/>
    <mergeCell ref="B578:B581"/>
    <mergeCell ref="C578:C581"/>
    <mergeCell ref="B584:B586"/>
    <mergeCell ref="C584:C586"/>
    <mergeCell ref="B587:B590"/>
    <mergeCell ref="C587:C590"/>
    <mergeCell ref="B593:B595"/>
    <mergeCell ref="C593:C595"/>
    <mergeCell ref="B596:B599"/>
    <mergeCell ref="C596:C599"/>
    <mergeCell ref="C602:C604"/>
    <mergeCell ref="B602:B604"/>
    <mergeCell ref="A1048:A1052"/>
    <mergeCell ref="A1053:A1057"/>
    <mergeCell ref="A1058:A1062"/>
    <mergeCell ref="A1063:A1067"/>
    <mergeCell ref="A1068:A1072"/>
    <mergeCell ref="A1073:A1077"/>
    <mergeCell ref="A1078:A1082"/>
    <mergeCell ref="H1129:P1129"/>
    <mergeCell ref="V1129:AH1129"/>
    <mergeCell ref="A1098:A1102"/>
    <mergeCell ref="A1103:A1107"/>
    <mergeCell ref="A1083:A1087"/>
    <mergeCell ref="A1088:A1092"/>
    <mergeCell ref="A1093:A1097"/>
    <mergeCell ref="A1108:H1108"/>
    <mergeCell ref="B1128:G1128"/>
    <mergeCell ref="H1128:P1128"/>
    <mergeCell ref="B1129:G1129"/>
    <mergeCell ref="A1110:A1114"/>
    <mergeCell ref="A1115:A1119"/>
    <mergeCell ref="A1120:A1124"/>
    <mergeCell ref="A1025:A1029"/>
    <mergeCell ref="A1030:A1034"/>
    <mergeCell ref="A1035:A1039"/>
    <mergeCell ref="A1040:A1044"/>
    <mergeCell ref="A1046:H1046"/>
    <mergeCell ref="A990:A994"/>
    <mergeCell ref="A995:A999"/>
    <mergeCell ref="A1000:A1004"/>
    <mergeCell ref="A1005:A1009"/>
    <mergeCell ref="A1010:A1014"/>
    <mergeCell ref="A1015:A1019"/>
    <mergeCell ref="A1020:A1024"/>
    <mergeCell ref="A960:A964"/>
    <mergeCell ref="A965:A969"/>
    <mergeCell ref="A970:A974"/>
    <mergeCell ref="A975:A979"/>
    <mergeCell ref="A980:A984"/>
    <mergeCell ref="A988:H988"/>
    <mergeCell ref="A925:A929"/>
    <mergeCell ref="A930:A934"/>
    <mergeCell ref="A935:A939"/>
    <mergeCell ref="A940:A944"/>
    <mergeCell ref="A945:A949"/>
    <mergeCell ref="A950:A954"/>
    <mergeCell ref="A955:A959"/>
    <mergeCell ref="A464:A472"/>
    <mergeCell ref="A473:A481"/>
    <mergeCell ref="B521:B524"/>
    <mergeCell ref="C521:C524"/>
    <mergeCell ref="B527:B529"/>
    <mergeCell ref="C527:C529"/>
    <mergeCell ref="B530:B533"/>
    <mergeCell ref="C530:C533"/>
    <mergeCell ref="C536:C538"/>
    <mergeCell ref="B536:B538"/>
    <mergeCell ref="B509:B511"/>
    <mergeCell ref="C509:C511"/>
    <mergeCell ref="B512:B515"/>
    <mergeCell ref="C512:C515"/>
    <mergeCell ref="B518:B520"/>
    <mergeCell ref="C518:C520"/>
    <mergeCell ref="C500:C502"/>
    <mergeCell ref="C503:C506"/>
    <mergeCell ref="B503:B506"/>
    <mergeCell ref="B464:B466"/>
    <mergeCell ref="C464:C466"/>
    <mergeCell ref="B467:B470"/>
    <mergeCell ref="C467:C470"/>
    <mergeCell ref="C473:C475"/>
    <mergeCell ref="B449:B452"/>
    <mergeCell ref="C449:C452"/>
    <mergeCell ref="B455:B457"/>
    <mergeCell ref="C455:C457"/>
    <mergeCell ref="A419:A427"/>
    <mergeCell ref="A428:A436"/>
    <mergeCell ref="A437:A445"/>
    <mergeCell ref="A446:A454"/>
    <mergeCell ref="A455:A463"/>
    <mergeCell ref="C428:C430"/>
    <mergeCell ref="B431:B434"/>
    <mergeCell ref="C431:C434"/>
    <mergeCell ref="B437:B439"/>
    <mergeCell ref="C437:C439"/>
    <mergeCell ref="C440:C443"/>
    <mergeCell ref="B440:B443"/>
    <mergeCell ref="B446:B448"/>
    <mergeCell ref="C446:C448"/>
    <mergeCell ref="B419:B421"/>
    <mergeCell ref="C419:C421"/>
    <mergeCell ref="B422:B425"/>
    <mergeCell ref="C422:C425"/>
    <mergeCell ref="B428:B430"/>
    <mergeCell ref="A575:A583"/>
    <mergeCell ref="A584:A592"/>
    <mergeCell ref="A593:A601"/>
    <mergeCell ref="A602:A610"/>
    <mergeCell ref="A674:A682"/>
    <mergeCell ref="A683:A691"/>
    <mergeCell ref="B686:B689"/>
    <mergeCell ref="C686:C689"/>
    <mergeCell ref="A611:A619"/>
    <mergeCell ref="A620:A628"/>
    <mergeCell ref="A629:A637"/>
    <mergeCell ref="A638:A646"/>
    <mergeCell ref="A647:A655"/>
    <mergeCell ref="A656:A664"/>
    <mergeCell ref="A665:A673"/>
    <mergeCell ref="B605:B608"/>
    <mergeCell ref="C605:C608"/>
    <mergeCell ref="B611:B613"/>
    <mergeCell ref="C611:C613"/>
    <mergeCell ref="B614:B617"/>
    <mergeCell ref="C614:C617"/>
    <mergeCell ref="B620:B622"/>
    <mergeCell ref="C620:C622"/>
    <mergeCell ref="B623:B626"/>
    <mergeCell ref="A573:G573"/>
    <mergeCell ref="A482:A490"/>
    <mergeCell ref="A491:A499"/>
    <mergeCell ref="A500:A508"/>
    <mergeCell ref="A509:A517"/>
    <mergeCell ref="A518:A526"/>
    <mergeCell ref="A527:A535"/>
    <mergeCell ref="A536:A544"/>
    <mergeCell ref="A545:A553"/>
    <mergeCell ref="A554:A562"/>
    <mergeCell ref="A563:A571"/>
    <mergeCell ref="B539:B542"/>
    <mergeCell ref="C539:C542"/>
    <mergeCell ref="B545:B547"/>
    <mergeCell ref="C545:C547"/>
    <mergeCell ref="B548:B551"/>
    <mergeCell ref="C548:C551"/>
    <mergeCell ref="B485:B488"/>
    <mergeCell ref="C485:C488"/>
    <mergeCell ref="B491:B493"/>
    <mergeCell ref="C491:C493"/>
    <mergeCell ref="B494:B497"/>
    <mergeCell ref="C494:C497"/>
    <mergeCell ref="B500:B502"/>
    <mergeCell ref="B473:B475"/>
    <mergeCell ref="B476:B479"/>
    <mergeCell ref="C476:C479"/>
    <mergeCell ref="B482:B484"/>
    <mergeCell ref="C482:C484"/>
    <mergeCell ref="B379:B381"/>
    <mergeCell ref="C379:C381"/>
    <mergeCell ref="B382:B385"/>
    <mergeCell ref="C382:C385"/>
    <mergeCell ref="A390:G390"/>
    <mergeCell ref="B392:B394"/>
    <mergeCell ref="C392:C394"/>
    <mergeCell ref="B458:B461"/>
    <mergeCell ref="C458:C461"/>
    <mergeCell ref="B395:B398"/>
    <mergeCell ref="C395:C398"/>
    <mergeCell ref="B401:B403"/>
    <mergeCell ref="C401:C403"/>
    <mergeCell ref="B404:B407"/>
    <mergeCell ref="C404:C407"/>
    <mergeCell ref="C410:C412"/>
    <mergeCell ref="B410:B412"/>
    <mergeCell ref="B413:B416"/>
    <mergeCell ref="C413:C416"/>
    <mergeCell ref="B355:B358"/>
    <mergeCell ref="C355:C358"/>
    <mergeCell ref="C361:C363"/>
    <mergeCell ref="B361:B363"/>
    <mergeCell ref="B364:B367"/>
    <mergeCell ref="C364:C367"/>
    <mergeCell ref="B370:B372"/>
    <mergeCell ref="C370:C372"/>
    <mergeCell ref="B373:B376"/>
    <mergeCell ref="C373:C376"/>
    <mergeCell ref="B334:B336"/>
    <mergeCell ref="C334:C336"/>
    <mergeCell ref="B337:B340"/>
    <mergeCell ref="C337:C340"/>
    <mergeCell ref="C343:C345"/>
    <mergeCell ref="C346:C349"/>
    <mergeCell ref="B343:B345"/>
    <mergeCell ref="B346:B349"/>
    <mergeCell ref="B352:B354"/>
    <mergeCell ref="C352:C354"/>
    <mergeCell ref="A343:A351"/>
    <mergeCell ref="A352:A360"/>
    <mergeCell ref="A361:A369"/>
    <mergeCell ref="A370:A378"/>
    <mergeCell ref="A379:A387"/>
    <mergeCell ref="A392:A400"/>
    <mergeCell ref="A401:A409"/>
    <mergeCell ref="A410:A418"/>
    <mergeCell ref="A334:A342"/>
    <mergeCell ref="B301:B304"/>
    <mergeCell ref="C301:C304"/>
    <mergeCell ref="B319:B322"/>
    <mergeCell ref="C319:C322"/>
    <mergeCell ref="A325:A333"/>
    <mergeCell ref="B325:B327"/>
    <mergeCell ref="C325:C327"/>
    <mergeCell ref="B328:B331"/>
    <mergeCell ref="C328:C331"/>
    <mergeCell ref="A298:A306"/>
    <mergeCell ref="C307:C309"/>
    <mergeCell ref="A307:A315"/>
    <mergeCell ref="B307:B309"/>
    <mergeCell ref="B310:B313"/>
    <mergeCell ref="C310:C313"/>
    <mergeCell ref="A316:A324"/>
    <mergeCell ref="B316:B318"/>
    <mergeCell ref="C316:C318"/>
    <mergeCell ref="B298:B300"/>
    <mergeCell ref="C298:C300"/>
    <mergeCell ref="A289:A297"/>
    <mergeCell ref="B289:B291"/>
    <mergeCell ref="C289:C291"/>
    <mergeCell ref="B292:B295"/>
    <mergeCell ref="C292:C295"/>
    <mergeCell ref="B274:B276"/>
    <mergeCell ref="B277:B280"/>
    <mergeCell ref="C277:C280"/>
    <mergeCell ref="B282:B283"/>
    <mergeCell ref="C282:C283"/>
    <mergeCell ref="A287:G287"/>
    <mergeCell ref="A236:A239"/>
    <mergeCell ref="A244:N244"/>
    <mergeCell ref="A272:G272"/>
    <mergeCell ref="C274:C276"/>
    <mergeCell ref="A240:A243"/>
    <mergeCell ref="A177:A180"/>
    <mergeCell ref="A181:A184"/>
    <mergeCell ref="A185:A188"/>
    <mergeCell ref="A189:A192"/>
    <mergeCell ref="A194:N194"/>
    <mergeCell ref="A196:A199"/>
    <mergeCell ref="A200:A203"/>
    <mergeCell ref="A204:A207"/>
    <mergeCell ref="A208:A211"/>
    <mergeCell ref="A212:A215"/>
    <mergeCell ref="A216:A219"/>
    <mergeCell ref="A220:A223"/>
    <mergeCell ref="A224:A227"/>
    <mergeCell ref="A228:A231"/>
    <mergeCell ref="A232:A235"/>
    <mergeCell ref="A274:A283"/>
    <mergeCell ref="A246:A249"/>
    <mergeCell ref="A250:A253"/>
    <mergeCell ref="A254:A257"/>
    <mergeCell ref="A149:A152"/>
    <mergeCell ref="A153:A156"/>
    <mergeCell ref="A157:A160"/>
    <mergeCell ref="A161:A164"/>
    <mergeCell ref="A165:A168"/>
    <mergeCell ref="A169:A172"/>
    <mergeCell ref="A173:A176"/>
    <mergeCell ref="A96:N96"/>
    <mergeCell ref="A98:A101"/>
    <mergeCell ref="A102:A105"/>
    <mergeCell ref="A134:A137"/>
    <mergeCell ref="A138:A141"/>
    <mergeCell ref="A142:A145"/>
    <mergeCell ref="A147:N147"/>
    <mergeCell ref="A106:A109"/>
    <mergeCell ref="A110:A113"/>
    <mergeCell ref="A114:A117"/>
    <mergeCell ref="A118:A121"/>
    <mergeCell ref="A122:A125"/>
    <mergeCell ref="A126:A129"/>
    <mergeCell ref="A130:A133"/>
    <mergeCell ref="A7:H7"/>
    <mergeCell ref="A16:H16"/>
    <mergeCell ref="A31:H31"/>
    <mergeCell ref="A46:H46"/>
    <mergeCell ref="A61:H61"/>
    <mergeCell ref="A76:N76"/>
    <mergeCell ref="A81:A84"/>
    <mergeCell ref="A85:A88"/>
    <mergeCell ref="A89:A92"/>
    <mergeCell ref="A1:B3"/>
    <mergeCell ref="C1:N1"/>
    <mergeCell ref="C2:N2"/>
    <mergeCell ref="C3:G3"/>
    <mergeCell ref="H3:N3"/>
    <mergeCell ref="A4:B4"/>
    <mergeCell ref="C4:AH4"/>
    <mergeCell ref="A5:B5"/>
    <mergeCell ref="C5:AH5"/>
  </mergeCells>
  <pageMargins left="0.7" right="0.7" top="0.75" bottom="0.75" header="0" footer="0"/>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BC1003"/>
  <sheetViews>
    <sheetView workbookViewId="0"/>
  </sheetViews>
  <sheetFormatPr baseColWidth="10" defaultColWidth="14.42578125" defaultRowHeight="15" customHeight="1" x14ac:dyDescent="0.25"/>
  <cols>
    <col min="1" max="1" width="10.7109375" customWidth="1"/>
    <col min="2" max="2" width="11.42578125" customWidth="1"/>
    <col min="3" max="3" width="32.7109375" customWidth="1"/>
    <col min="4" max="4" width="10.7109375" customWidth="1"/>
    <col min="5" max="5" width="19.7109375" hidden="1" customWidth="1"/>
    <col min="6" max="6" width="18.140625" hidden="1" customWidth="1"/>
    <col min="7" max="7" width="20.28515625" customWidth="1"/>
    <col min="8" max="8" width="24.42578125" customWidth="1"/>
    <col min="9" max="9" width="21.42578125" customWidth="1"/>
    <col min="10" max="10" width="22.28515625" customWidth="1"/>
    <col min="11" max="11" width="16.28515625" customWidth="1"/>
    <col min="12" max="12" width="10.7109375" hidden="1" customWidth="1"/>
    <col min="13" max="13" width="20.7109375" hidden="1" customWidth="1"/>
    <col min="14" max="14" width="24" hidden="1" customWidth="1"/>
    <col min="15" max="15" width="21.140625" hidden="1" customWidth="1"/>
    <col min="16" max="16" width="24.140625" hidden="1" customWidth="1"/>
    <col min="17" max="17" width="21" hidden="1" customWidth="1"/>
    <col min="18" max="18" width="23.42578125" hidden="1" customWidth="1"/>
    <col min="19" max="19" width="20.140625" customWidth="1"/>
    <col min="20" max="20" width="19.7109375" customWidth="1"/>
    <col min="21" max="21" width="23.7109375" customWidth="1"/>
    <col min="22" max="22" width="20.42578125" customWidth="1"/>
    <col min="23" max="23" width="20.7109375" customWidth="1"/>
    <col min="24" max="24" width="13.42578125" customWidth="1"/>
    <col min="25" max="26" width="10.7109375" hidden="1" customWidth="1"/>
    <col min="27" max="27" width="16.28515625" hidden="1" customWidth="1"/>
    <col min="28" max="28" width="21" hidden="1" customWidth="1"/>
    <col min="29" max="29" width="20.42578125" hidden="1" customWidth="1"/>
    <col min="30" max="30" width="25.42578125" hidden="1" customWidth="1"/>
    <col min="31" max="31" width="22.42578125" hidden="1" customWidth="1"/>
    <col min="32" max="32" width="52.42578125" customWidth="1"/>
    <col min="33" max="33" width="16.140625" customWidth="1"/>
    <col min="34" max="34" width="16.42578125" customWidth="1"/>
    <col min="35" max="35" width="41.42578125" customWidth="1"/>
    <col min="36" max="36" width="25" customWidth="1"/>
    <col min="37" max="37" width="16.28515625" customWidth="1"/>
    <col min="38" max="38" width="15.28515625" customWidth="1"/>
    <col min="39" max="39" width="29" customWidth="1"/>
    <col min="40" max="40" width="23.28515625" customWidth="1"/>
    <col min="41" max="41" width="17.7109375" customWidth="1"/>
    <col min="42" max="42" width="16.42578125" customWidth="1"/>
    <col min="43" max="43" width="20.140625" customWidth="1"/>
    <col min="44" max="44" width="14.140625" customWidth="1"/>
    <col min="45" max="45" width="20" customWidth="1"/>
    <col min="46" max="46" width="17.7109375" customWidth="1"/>
    <col min="47" max="47" width="25.7109375" customWidth="1"/>
    <col min="48" max="48" width="18.140625" customWidth="1"/>
    <col min="49" max="49" width="20.42578125" customWidth="1"/>
    <col min="50" max="50" width="26.28515625" customWidth="1"/>
    <col min="51" max="51" width="31" customWidth="1"/>
    <col min="52" max="55" width="10.7109375" customWidth="1"/>
  </cols>
  <sheetData>
    <row r="1" spans="1:55" ht="29.25" customHeight="1" x14ac:dyDescent="0.25">
      <c r="A1" s="735"/>
      <c r="B1" s="686"/>
      <c r="C1" s="686"/>
      <c r="D1" s="686"/>
      <c r="E1" s="971" t="s">
        <v>0</v>
      </c>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7"/>
      <c r="AI1" s="727"/>
      <c r="AJ1" s="727"/>
      <c r="AK1" s="727"/>
      <c r="AL1" s="727"/>
      <c r="AM1" s="727"/>
      <c r="AN1" s="727"/>
      <c r="AO1" s="727"/>
      <c r="AP1" s="727"/>
      <c r="AQ1" s="727"/>
      <c r="AR1" s="727"/>
      <c r="AS1" s="727"/>
      <c r="AT1" s="727"/>
      <c r="AU1" s="727"/>
      <c r="AV1" s="727"/>
      <c r="AW1" s="727"/>
      <c r="AX1" s="727"/>
      <c r="AY1" s="728"/>
    </row>
    <row r="2" spans="1:55" ht="50.25" customHeight="1" x14ac:dyDescent="0.25">
      <c r="A2" s="688"/>
      <c r="B2" s="689"/>
      <c r="C2" s="689"/>
      <c r="D2" s="689"/>
      <c r="E2" s="972" t="s">
        <v>420</v>
      </c>
      <c r="F2" s="738"/>
      <c r="G2" s="738"/>
      <c r="H2" s="738"/>
      <c r="I2" s="738"/>
      <c r="J2" s="738"/>
      <c r="K2" s="738"/>
      <c r="L2" s="738"/>
      <c r="M2" s="738"/>
      <c r="N2" s="738"/>
      <c r="O2" s="738"/>
      <c r="P2" s="738"/>
      <c r="Q2" s="738"/>
      <c r="R2" s="738"/>
      <c r="S2" s="738"/>
      <c r="T2" s="738"/>
      <c r="U2" s="738"/>
      <c r="V2" s="738"/>
      <c r="W2" s="738"/>
      <c r="X2" s="738"/>
      <c r="Y2" s="738"/>
      <c r="Z2" s="738"/>
      <c r="AA2" s="738"/>
      <c r="AB2" s="738"/>
      <c r="AC2" s="738"/>
      <c r="AD2" s="738"/>
      <c r="AE2" s="738"/>
      <c r="AF2" s="738"/>
      <c r="AG2" s="738"/>
      <c r="AH2" s="738"/>
      <c r="AI2" s="738"/>
      <c r="AJ2" s="738"/>
      <c r="AK2" s="738"/>
      <c r="AL2" s="738"/>
      <c r="AM2" s="738"/>
      <c r="AN2" s="738"/>
      <c r="AO2" s="738"/>
      <c r="AP2" s="738"/>
      <c r="AQ2" s="738"/>
      <c r="AR2" s="738"/>
      <c r="AS2" s="738"/>
      <c r="AT2" s="738"/>
      <c r="AU2" s="738"/>
      <c r="AV2" s="738"/>
      <c r="AW2" s="738"/>
      <c r="AX2" s="738"/>
      <c r="AY2" s="842"/>
    </row>
    <row r="3" spans="1:55" ht="27.75" customHeight="1" x14ac:dyDescent="0.25">
      <c r="A3" s="688"/>
      <c r="B3" s="689"/>
      <c r="C3" s="689"/>
      <c r="D3" s="689"/>
      <c r="E3" s="843" t="s">
        <v>378</v>
      </c>
      <c r="F3" s="743"/>
      <c r="G3" s="743"/>
      <c r="H3" s="743"/>
      <c r="I3" s="743"/>
      <c r="J3" s="743"/>
      <c r="K3" s="743"/>
      <c r="L3" s="743"/>
      <c r="M3" s="743"/>
      <c r="N3" s="743"/>
      <c r="O3" s="743"/>
      <c r="P3" s="743"/>
      <c r="Q3" s="743"/>
      <c r="R3" s="743"/>
      <c r="S3" s="743"/>
      <c r="T3" s="743"/>
      <c r="U3" s="743"/>
      <c r="V3" s="743"/>
      <c r="W3" s="743"/>
      <c r="X3" s="743"/>
      <c r="Y3" s="743"/>
      <c r="Z3" s="743"/>
      <c r="AA3" s="743"/>
      <c r="AB3" s="743"/>
      <c r="AC3" s="743"/>
      <c r="AD3" s="744"/>
      <c r="AE3" s="973" t="s">
        <v>421</v>
      </c>
      <c r="AF3" s="743"/>
      <c r="AG3" s="743"/>
      <c r="AH3" s="743"/>
      <c r="AI3" s="743"/>
      <c r="AJ3" s="743"/>
      <c r="AK3" s="743"/>
      <c r="AL3" s="743"/>
      <c r="AM3" s="743"/>
      <c r="AN3" s="743"/>
      <c r="AO3" s="743"/>
      <c r="AP3" s="743"/>
      <c r="AQ3" s="743"/>
      <c r="AR3" s="743"/>
      <c r="AS3" s="743"/>
      <c r="AT3" s="743"/>
      <c r="AU3" s="743"/>
      <c r="AV3" s="743"/>
      <c r="AW3" s="743"/>
      <c r="AX3" s="743"/>
      <c r="AY3" s="744"/>
    </row>
    <row r="4" spans="1:55" ht="15.75" customHeight="1" x14ac:dyDescent="0.25">
      <c r="A4" s="845" t="s">
        <v>4</v>
      </c>
      <c r="B4" s="701"/>
      <c r="C4" s="701"/>
      <c r="D4" s="704"/>
      <c r="E4" s="846" t="s">
        <v>205</v>
      </c>
      <c r="F4" s="701"/>
      <c r="G4" s="701"/>
      <c r="H4" s="701"/>
      <c r="I4" s="701"/>
      <c r="J4" s="701"/>
      <c r="K4" s="701"/>
      <c r="L4" s="701"/>
      <c r="M4" s="701"/>
      <c r="N4" s="701"/>
      <c r="O4" s="701"/>
      <c r="P4" s="701"/>
      <c r="Q4" s="701"/>
      <c r="R4" s="701"/>
      <c r="S4" s="701"/>
      <c r="T4" s="701"/>
      <c r="U4" s="701"/>
      <c r="V4" s="701"/>
      <c r="W4" s="701"/>
      <c r="X4" s="701"/>
      <c r="Y4" s="701"/>
      <c r="Z4" s="701"/>
      <c r="AA4" s="701"/>
      <c r="AB4" s="701"/>
      <c r="AC4" s="701"/>
      <c r="AD4" s="701"/>
      <c r="AE4" s="701"/>
      <c r="AF4" s="701"/>
      <c r="AG4" s="701"/>
      <c r="AH4" s="701"/>
      <c r="AI4" s="701"/>
      <c r="AJ4" s="701"/>
      <c r="AK4" s="701"/>
      <c r="AL4" s="701"/>
      <c r="AM4" s="701"/>
      <c r="AN4" s="701"/>
      <c r="AO4" s="701"/>
      <c r="AP4" s="701"/>
      <c r="AQ4" s="701"/>
      <c r="AR4" s="701"/>
      <c r="AS4" s="701"/>
      <c r="AT4" s="701"/>
      <c r="AU4" s="701"/>
      <c r="AV4" s="701"/>
      <c r="AW4" s="701"/>
      <c r="AX4" s="701"/>
      <c r="AY4" s="704"/>
    </row>
    <row r="5" spans="1:55" ht="15.75" customHeight="1" x14ac:dyDescent="0.25">
      <c r="A5" s="847" t="s">
        <v>5</v>
      </c>
      <c r="B5" s="701"/>
      <c r="C5" s="701"/>
      <c r="D5" s="704"/>
      <c r="E5" s="848" t="s">
        <v>422</v>
      </c>
      <c r="F5" s="701"/>
      <c r="G5" s="701"/>
      <c r="H5" s="701"/>
      <c r="I5" s="701"/>
      <c r="J5" s="701"/>
      <c r="K5" s="701"/>
      <c r="L5" s="701"/>
      <c r="M5" s="701"/>
      <c r="N5" s="701"/>
      <c r="O5" s="701"/>
      <c r="P5" s="701"/>
      <c r="Q5" s="701"/>
      <c r="R5" s="701"/>
      <c r="S5" s="701"/>
      <c r="T5" s="701"/>
      <c r="U5" s="701"/>
      <c r="V5" s="701"/>
      <c r="W5" s="701"/>
      <c r="X5" s="701"/>
      <c r="Y5" s="701"/>
      <c r="Z5" s="701"/>
      <c r="AA5" s="701"/>
      <c r="AB5" s="701"/>
      <c r="AC5" s="701"/>
      <c r="AD5" s="701"/>
      <c r="AE5" s="701"/>
      <c r="AF5" s="701"/>
      <c r="AG5" s="701"/>
      <c r="AH5" s="701"/>
      <c r="AI5" s="701"/>
      <c r="AJ5" s="701"/>
      <c r="AK5" s="701"/>
      <c r="AL5" s="701"/>
      <c r="AM5" s="701"/>
      <c r="AN5" s="701"/>
      <c r="AO5" s="701"/>
      <c r="AP5" s="701"/>
      <c r="AQ5" s="701"/>
      <c r="AR5" s="701"/>
      <c r="AS5" s="701"/>
      <c r="AT5" s="701"/>
      <c r="AU5" s="701"/>
      <c r="AV5" s="701"/>
      <c r="AW5" s="701"/>
      <c r="AX5" s="701"/>
      <c r="AY5" s="704"/>
    </row>
    <row r="6" spans="1:55" ht="15.75" customHeight="1" x14ac:dyDescent="0.25">
      <c r="A6" s="974" t="s">
        <v>423</v>
      </c>
      <c r="B6" s="975"/>
      <c r="C6" s="975"/>
      <c r="D6" s="976"/>
      <c r="E6" s="977" t="s">
        <v>1122</v>
      </c>
      <c r="F6" s="701"/>
      <c r="G6" s="701"/>
      <c r="H6" s="701"/>
      <c r="I6" s="701"/>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701"/>
      <c r="AK6" s="701"/>
      <c r="AL6" s="701"/>
      <c r="AM6" s="701"/>
      <c r="AN6" s="701"/>
      <c r="AO6" s="701"/>
      <c r="AP6" s="701"/>
      <c r="AQ6" s="701"/>
      <c r="AR6" s="701"/>
      <c r="AS6" s="701"/>
      <c r="AT6" s="701"/>
      <c r="AU6" s="701"/>
      <c r="AV6" s="701"/>
      <c r="AW6" s="701"/>
      <c r="AX6" s="701"/>
      <c r="AY6" s="704"/>
    </row>
    <row r="7" spans="1:55" ht="15.75" customHeight="1" x14ac:dyDescent="0.25">
      <c r="A7" s="978"/>
      <c r="B7" s="701"/>
      <c r="C7" s="701"/>
      <c r="D7" s="701"/>
      <c r="E7" s="701"/>
      <c r="F7" s="701"/>
      <c r="G7" s="701"/>
      <c r="H7" s="701"/>
      <c r="I7" s="701"/>
      <c r="J7" s="701"/>
      <c r="K7" s="701"/>
      <c r="L7" s="701"/>
      <c r="M7" s="701"/>
      <c r="N7" s="701"/>
      <c r="O7" s="701"/>
      <c r="P7" s="701"/>
      <c r="Q7" s="701"/>
      <c r="R7" s="701"/>
      <c r="S7" s="701"/>
      <c r="T7" s="701"/>
      <c r="U7" s="701"/>
      <c r="V7" s="701"/>
      <c r="W7" s="701"/>
      <c r="X7" s="701"/>
      <c r="Y7" s="701"/>
      <c r="Z7" s="701"/>
      <c r="AA7" s="701"/>
      <c r="AB7" s="701"/>
      <c r="AC7" s="701"/>
      <c r="AD7" s="701"/>
      <c r="AE7" s="701"/>
      <c r="AF7" s="701"/>
      <c r="AG7" s="701"/>
      <c r="AH7" s="701"/>
      <c r="AI7" s="701"/>
      <c r="AJ7" s="701"/>
      <c r="AK7" s="701"/>
      <c r="AL7" s="701"/>
      <c r="AM7" s="701"/>
      <c r="AN7" s="701"/>
      <c r="AO7" s="701"/>
      <c r="AP7" s="701"/>
      <c r="AQ7" s="701"/>
      <c r="AR7" s="701"/>
      <c r="AS7" s="701"/>
      <c r="AT7" s="701"/>
      <c r="AU7" s="701"/>
      <c r="AV7" s="701"/>
      <c r="AW7" s="701"/>
      <c r="AX7" s="701"/>
      <c r="AY7" s="704"/>
    </row>
    <row r="8" spans="1:55" ht="46.5" customHeight="1" x14ac:dyDescent="0.25">
      <c r="A8" s="979" t="s">
        <v>1123</v>
      </c>
      <c r="B8" s="980" t="s">
        <v>1124</v>
      </c>
      <c r="C8" s="980" t="s">
        <v>1125</v>
      </c>
      <c r="D8" s="983" t="s">
        <v>1126</v>
      </c>
      <c r="E8" s="981" t="s">
        <v>1127</v>
      </c>
      <c r="F8" s="384"/>
      <c r="G8" s="851" t="s">
        <v>425</v>
      </c>
      <c r="H8" s="701"/>
      <c r="I8" s="701"/>
      <c r="J8" s="701"/>
      <c r="K8" s="701"/>
      <c r="L8" s="701"/>
      <c r="M8" s="701"/>
      <c r="N8" s="701"/>
      <c r="O8" s="701"/>
      <c r="P8" s="701"/>
      <c r="Q8" s="701"/>
      <c r="R8" s="701"/>
      <c r="S8" s="704"/>
      <c r="T8" s="851" t="s">
        <v>426</v>
      </c>
      <c r="U8" s="701"/>
      <c r="V8" s="701"/>
      <c r="W8" s="701"/>
      <c r="X8" s="701"/>
      <c r="Y8" s="701"/>
      <c r="Z8" s="701"/>
      <c r="AA8" s="701"/>
      <c r="AB8" s="701"/>
      <c r="AC8" s="701"/>
      <c r="AD8" s="701"/>
      <c r="AE8" s="701"/>
      <c r="AF8" s="704"/>
      <c r="AG8" s="854" t="s">
        <v>427</v>
      </c>
      <c r="AH8" s="695"/>
      <c r="AI8" s="695"/>
      <c r="AJ8" s="695"/>
      <c r="AK8" s="853"/>
      <c r="AL8" s="855" t="s">
        <v>428</v>
      </c>
      <c r="AM8" s="853"/>
      <c r="AN8" s="149"/>
      <c r="AO8" s="852" t="s">
        <v>429</v>
      </c>
      <c r="AP8" s="695"/>
      <c r="AQ8" s="695"/>
      <c r="AR8" s="695"/>
      <c r="AS8" s="695"/>
      <c r="AT8" s="695"/>
      <c r="AU8" s="695"/>
      <c r="AV8" s="695"/>
      <c r="AW8" s="695"/>
      <c r="AX8" s="853"/>
      <c r="AY8" s="149" t="s">
        <v>1128</v>
      </c>
      <c r="AZ8" s="385"/>
      <c r="BA8" s="385"/>
      <c r="BB8" s="385"/>
      <c r="BC8" s="385"/>
    </row>
    <row r="9" spans="1:55" ht="54" customHeight="1" x14ac:dyDescent="0.25">
      <c r="A9" s="872"/>
      <c r="B9" s="828"/>
      <c r="C9" s="828"/>
      <c r="D9" s="731"/>
      <c r="E9" s="778"/>
      <c r="F9" s="152" t="s">
        <v>434</v>
      </c>
      <c r="G9" s="153" t="s">
        <v>389</v>
      </c>
      <c r="H9" s="153" t="s">
        <v>390</v>
      </c>
      <c r="I9" s="153" t="s">
        <v>391</v>
      </c>
      <c r="J9" s="153" t="s">
        <v>392</v>
      </c>
      <c r="K9" s="153" t="s">
        <v>393</v>
      </c>
      <c r="L9" s="153" t="s">
        <v>394</v>
      </c>
      <c r="M9" s="153" t="s">
        <v>395</v>
      </c>
      <c r="N9" s="153" t="s">
        <v>396</v>
      </c>
      <c r="O9" s="153" t="s">
        <v>397</v>
      </c>
      <c r="P9" s="153" t="s">
        <v>398</v>
      </c>
      <c r="Q9" s="153" t="s">
        <v>399</v>
      </c>
      <c r="R9" s="153" t="s">
        <v>400</v>
      </c>
      <c r="S9" s="154" t="s">
        <v>435</v>
      </c>
      <c r="T9" s="153" t="s">
        <v>389</v>
      </c>
      <c r="U9" s="153" t="s">
        <v>390</v>
      </c>
      <c r="V9" s="153" t="s">
        <v>391</v>
      </c>
      <c r="W9" s="153" t="s">
        <v>392</v>
      </c>
      <c r="X9" s="153" t="s">
        <v>393</v>
      </c>
      <c r="Y9" s="153" t="s">
        <v>394</v>
      </c>
      <c r="Z9" s="153" t="s">
        <v>395</v>
      </c>
      <c r="AA9" s="153" t="s">
        <v>396</v>
      </c>
      <c r="AB9" s="153" t="s">
        <v>397</v>
      </c>
      <c r="AC9" s="153" t="s">
        <v>398</v>
      </c>
      <c r="AD9" s="155" t="s">
        <v>399</v>
      </c>
      <c r="AE9" s="156" t="s">
        <v>400</v>
      </c>
      <c r="AF9" s="157" t="s">
        <v>436</v>
      </c>
      <c r="AG9" s="386" t="s">
        <v>437</v>
      </c>
      <c r="AH9" s="128" t="s">
        <v>438</v>
      </c>
      <c r="AI9" s="128" t="s">
        <v>439</v>
      </c>
      <c r="AJ9" s="128" t="s">
        <v>440</v>
      </c>
      <c r="AK9" s="128" t="s">
        <v>441</v>
      </c>
      <c r="AL9" s="128" t="s">
        <v>442</v>
      </c>
      <c r="AM9" s="128" t="s">
        <v>443</v>
      </c>
      <c r="AN9" s="159" t="s">
        <v>444</v>
      </c>
      <c r="AO9" s="159" t="s">
        <v>445</v>
      </c>
      <c r="AP9" s="159" t="s">
        <v>446</v>
      </c>
      <c r="AQ9" s="159" t="s">
        <v>447</v>
      </c>
      <c r="AR9" s="159" t="s">
        <v>448</v>
      </c>
      <c r="AS9" s="159" t="s">
        <v>449</v>
      </c>
      <c r="AT9" s="159" t="s">
        <v>450</v>
      </c>
      <c r="AU9" s="159" t="s">
        <v>451</v>
      </c>
      <c r="AV9" s="159" t="s">
        <v>452</v>
      </c>
      <c r="AW9" s="159" t="s">
        <v>453</v>
      </c>
      <c r="AX9" s="160" t="s">
        <v>454</v>
      </c>
      <c r="AY9" s="387"/>
      <c r="AZ9" s="385"/>
      <c r="BA9" s="385"/>
      <c r="BB9" s="385"/>
      <c r="BC9" s="385"/>
    </row>
    <row r="10" spans="1:55" ht="18" customHeight="1" x14ac:dyDescent="0.25">
      <c r="A10" s="861">
        <v>1</v>
      </c>
      <c r="B10" s="984" t="s">
        <v>339</v>
      </c>
      <c r="C10" s="818" t="s">
        <v>1129</v>
      </c>
      <c r="D10" s="388" t="s">
        <v>340</v>
      </c>
      <c r="E10" s="389" t="s">
        <v>673</v>
      </c>
      <c r="F10" s="389" t="s">
        <v>673</v>
      </c>
      <c r="G10" s="390">
        <v>109</v>
      </c>
      <c r="H10" s="391">
        <v>109</v>
      </c>
      <c r="I10" s="391" t="e">
        <f>+#REF!</f>
        <v>#REF!</v>
      </c>
      <c r="J10" s="392" t="e">
        <f>+#REF!</f>
        <v>#REF!</v>
      </c>
      <c r="K10" s="393">
        <v>109</v>
      </c>
      <c r="L10" s="394"/>
      <c r="M10" s="394" t="str">
        <f t="shared" ref="M10:M15" si="0">+F10</f>
        <v>#REF!</v>
      </c>
      <c r="N10" s="392">
        <v>66</v>
      </c>
      <c r="O10" s="394">
        <v>66</v>
      </c>
      <c r="P10" s="394" t="s">
        <v>673</v>
      </c>
      <c r="Q10" s="392" t="s">
        <v>673</v>
      </c>
      <c r="R10" s="392" t="s">
        <v>673</v>
      </c>
      <c r="S10" s="960" t="s">
        <v>1130</v>
      </c>
      <c r="T10" s="395">
        <v>5</v>
      </c>
      <c r="U10" s="395">
        <v>13</v>
      </c>
      <c r="V10" s="395" t="e">
        <f>+#REF!</f>
        <v>#REF!</v>
      </c>
      <c r="W10" s="396" t="e">
        <f>+#REF!</f>
        <v>#REF!</v>
      </c>
      <c r="X10" s="397">
        <v>43</v>
      </c>
      <c r="Y10" s="398"/>
      <c r="Z10" s="399">
        <v>11</v>
      </c>
      <c r="AA10" s="398">
        <v>22</v>
      </c>
      <c r="AB10" s="400">
        <v>33</v>
      </c>
      <c r="AC10" s="401" t="s">
        <v>673</v>
      </c>
      <c r="AD10" s="402" t="s">
        <v>673</v>
      </c>
      <c r="AE10" s="403" t="s">
        <v>673</v>
      </c>
      <c r="AF10" s="929" t="s">
        <v>1131</v>
      </c>
      <c r="AG10" s="922" t="s">
        <v>1132</v>
      </c>
      <c r="AH10" s="813" t="s">
        <v>1133</v>
      </c>
      <c r="AI10" s="813" t="s">
        <v>1134</v>
      </c>
      <c r="AJ10" s="914" t="s">
        <v>1135</v>
      </c>
      <c r="AK10" s="813" t="s">
        <v>457</v>
      </c>
      <c r="AL10" s="982" t="s">
        <v>178</v>
      </c>
      <c r="AM10" s="982" t="s">
        <v>1136</v>
      </c>
      <c r="AN10" s="910">
        <v>7804660</v>
      </c>
      <c r="AO10" s="910">
        <v>3721767</v>
      </c>
      <c r="AP10" s="910">
        <v>4082893</v>
      </c>
      <c r="AQ10" s="915" t="s">
        <v>459</v>
      </c>
      <c r="AR10" s="915" t="s">
        <v>459</v>
      </c>
      <c r="AS10" s="915" t="s">
        <v>459</v>
      </c>
      <c r="AT10" s="915" t="s">
        <v>459</v>
      </c>
      <c r="AU10" s="915" t="s">
        <v>459</v>
      </c>
      <c r="AV10" s="915" t="s">
        <v>459</v>
      </c>
      <c r="AW10" s="915" t="s">
        <v>459</v>
      </c>
      <c r="AX10" s="910">
        <v>7804660</v>
      </c>
      <c r="AY10" s="970" t="s">
        <v>1137</v>
      </c>
    </row>
    <row r="11" spans="1:55" ht="18" x14ac:dyDescent="0.25">
      <c r="A11" s="829"/>
      <c r="B11" s="710"/>
      <c r="C11" s="710"/>
      <c r="D11" s="404" t="s">
        <v>343</v>
      </c>
      <c r="E11" s="389" t="s">
        <v>673</v>
      </c>
      <c r="F11" s="389" t="s">
        <v>673</v>
      </c>
      <c r="G11" s="390">
        <v>574654000</v>
      </c>
      <c r="H11" s="391">
        <v>574654000</v>
      </c>
      <c r="I11" s="391" t="e">
        <f>+#REF!</f>
        <v>#REF!</v>
      </c>
      <c r="J11" s="392" t="e">
        <f>+#REF!</f>
        <v>#REF!</v>
      </c>
      <c r="K11" s="405"/>
      <c r="L11" s="406"/>
      <c r="M11" s="394" t="str">
        <f t="shared" si="0"/>
        <v>#REF!</v>
      </c>
      <c r="N11" s="392">
        <v>361860000</v>
      </c>
      <c r="O11" s="394">
        <v>361860000</v>
      </c>
      <c r="P11" s="394" t="s">
        <v>673</v>
      </c>
      <c r="Q11" s="392" t="s">
        <v>673</v>
      </c>
      <c r="R11" s="392" t="s">
        <v>673</v>
      </c>
      <c r="S11" s="710"/>
      <c r="T11" s="395">
        <v>0</v>
      </c>
      <c r="U11" s="395">
        <v>308440000</v>
      </c>
      <c r="V11" s="395" t="e">
        <f>+#REF!</f>
        <v>#REF!</v>
      </c>
      <c r="W11" s="396" t="e">
        <f>+#REF!</f>
        <v>#REF!</v>
      </c>
      <c r="X11" s="407"/>
      <c r="Y11" s="407"/>
      <c r="Z11" s="399">
        <v>140580000</v>
      </c>
      <c r="AA11" s="398">
        <v>262457000</v>
      </c>
      <c r="AB11" s="400">
        <v>262457000</v>
      </c>
      <c r="AC11" s="401" t="s">
        <v>673</v>
      </c>
      <c r="AD11" s="402" t="s">
        <v>673</v>
      </c>
      <c r="AE11" s="403" t="s">
        <v>673</v>
      </c>
      <c r="AF11" s="710"/>
      <c r="AG11" s="829"/>
      <c r="AH11" s="710"/>
      <c r="AI11" s="710"/>
      <c r="AJ11" s="710"/>
      <c r="AK11" s="710"/>
      <c r="AL11" s="710"/>
      <c r="AM11" s="710"/>
      <c r="AN11" s="710"/>
      <c r="AO11" s="710"/>
      <c r="AP11" s="710"/>
      <c r="AQ11" s="710"/>
      <c r="AR11" s="710"/>
      <c r="AS11" s="710"/>
      <c r="AT11" s="710"/>
      <c r="AU11" s="710"/>
      <c r="AV11" s="710"/>
      <c r="AW11" s="710"/>
      <c r="AX11" s="710"/>
      <c r="AY11" s="710"/>
    </row>
    <row r="12" spans="1:55" ht="18.75" customHeight="1" x14ac:dyDescent="0.25">
      <c r="A12" s="829"/>
      <c r="B12" s="710"/>
      <c r="C12" s="710"/>
      <c r="D12" s="408" t="s">
        <v>345</v>
      </c>
      <c r="E12" s="389" t="s">
        <v>673</v>
      </c>
      <c r="F12" s="389" t="s">
        <v>673</v>
      </c>
      <c r="G12" s="390">
        <v>0</v>
      </c>
      <c r="H12" s="391">
        <v>0</v>
      </c>
      <c r="I12" s="391" t="e">
        <f>+#REF!</f>
        <v>#REF!</v>
      </c>
      <c r="J12" s="392" t="e">
        <f>+#REF!</f>
        <v>#REF!</v>
      </c>
      <c r="K12" s="409"/>
      <c r="L12" s="410"/>
      <c r="M12" s="394" t="str">
        <f t="shared" si="0"/>
        <v>#REF!</v>
      </c>
      <c r="N12" s="392">
        <v>0</v>
      </c>
      <c r="O12" s="394">
        <v>0</v>
      </c>
      <c r="P12" s="394" t="s">
        <v>673</v>
      </c>
      <c r="Q12" s="392" t="s">
        <v>673</v>
      </c>
      <c r="R12" s="392" t="s">
        <v>673</v>
      </c>
      <c r="S12" s="710"/>
      <c r="T12" s="395">
        <v>0</v>
      </c>
      <c r="U12" s="395">
        <v>0</v>
      </c>
      <c r="V12" s="395" t="e">
        <f>+#REF!</f>
        <v>#REF!</v>
      </c>
      <c r="W12" s="396" t="e">
        <f>+#REF!</f>
        <v>#REF!</v>
      </c>
      <c r="X12" s="411"/>
      <c r="Y12" s="411"/>
      <c r="Z12" s="399">
        <v>0</v>
      </c>
      <c r="AA12" s="398">
        <v>0</v>
      </c>
      <c r="AB12" s="400">
        <v>0</v>
      </c>
      <c r="AC12" s="401" t="s">
        <v>673</v>
      </c>
      <c r="AD12" s="402" t="s">
        <v>673</v>
      </c>
      <c r="AE12" s="403" t="s">
        <v>673</v>
      </c>
      <c r="AF12" s="710"/>
      <c r="AG12" s="829"/>
      <c r="AH12" s="710"/>
      <c r="AI12" s="710"/>
      <c r="AJ12" s="710"/>
      <c r="AK12" s="710"/>
      <c r="AL12" s="710"/>
      <c r="AM12" s="710"/>
      <c r="AN12" s="710"/>
      <c r="AO12" s="710"/>
      <c r="AP12" s="710"/>
      <c r="AQ12" s="710"/>
      <c r="AR12" s="710"/>
      <c r="AS12" s="710"/>
      <c r="AT12" s="710"/>
      <c r="AU12" s="710"/>
      <c r="AV12" s="710"/>
      <c r="AW12" s="710"/>
      <c r="AX12" s="710"/>
      <c r="AY12" s="710"/>
    </row>
    <row r="13" spans="1:55" ht="27" x14ac:dyDescent="0.25">
      <c r="A13" s="829"/>
      <c r="B13" s="710"/>
      <c r="C13" s="710"/>
      <c r="D13" s="404" t="s">
        <v>346</v>
      </c>
      <c r="E13" s="389" t="s">
        <v>673</v>
      </c>
      <c r="F13" s="389" t="s">
        <v>673</v>
      </c>
      <c r="G13" s="390">
        <v>108646338</v>
      </c>
      <c r="H13" s="391">
        <v>108646338</v>
      </c>
      <c r="I13" s="391" t="e">
        <f>+#REF!</f>
        <v>#REF!</v>
      </c>
      <c r="J13" s="392" t="e">
        <f>+#REF!</f>
        <v>#REF!</v>
      </c>
      <c r="K13" s="409"/>
      <c r="L13" s="410"/>
      <c r="M13" s="394" t="str">
        <f t="shared" si="0"/>
        <v>#REF!</v>
      </c>
      <c r="N13" s="392">
        <v>0</v>
      </c>
      <c r="O13" s="394">
        <v>0</v>
      </c>
      <c r="P13" s="394" t="s">
        <v>673</v>
      </c>
      <c r="Q13" s="392" t="s">
        <v>673</v>
      </c>
      <c r="R13" s="392" t="s">
        <v>673</v>
      </c>
      <c r="S13" s="710"/>
      <c r="T13" s="395">
        <v>6777000</v>
      </c>
      <c r="U13" s="395">
        <v>72661243</v>
      </c>
      <c r="V13" s="395" t="e">
        <f>+#REF!</f>
        <v>#REF!</v>
      </c>
      <c r="W13" s="396" t="e">
        <f>+#REF!</f>
        <v>#REF!</v>
      </c>
      <c r="X13" s="411"/>
      <c r="Y13" s="411"/>
      <c r="Z13" s="399">
        <v>0</v>
      </c>
      <c r="AA13" s="398">
        <v>0</v>
      </c>
      <c r="AB13" s="400">
        <v>0</v>
      </c>
      <c r="AC13" s="401" t="s">
        <v>673</v>
      </c>
      <c r="AD13" s="402" t="s">
        <v>673</v>
      </c>
      <c r="AE13" s="403" t="s">
        <v>673</v>
      </c>
      <c r="AF13" s="710"/>
      <c r="AG13" s="829"/>
      <c r="AH13" s="710"/>
      <c r="AI13" s="710"/>
      <c r="AJ13" s="710"/>
      <c r="AK13" s="710"/>
      <c r="AL13" s="710"/>
      <c r="AM13" s="710"/>
      <c r="AN13" s="710"/>
      <c r="AO13" s="710"/>
      <c r="AP13" s="710"/>
      <c r="AQ13" s="710"/>
      <c r="AR13" s="710"/>
      <c r="AS13" s="710"/>
      <c r="AT13" s="710"/>
      <c r="AU13" s="710"/>
      <c r="AV13" s="710"/>
      <c r="AW13" s="710"/>
      <c r="AX13" s="710"/>
      <c r="AY13" s="710"/>
    </row>
    <row r="14" spans="1:55" ht="22.5" customHeight="1" x14ac:dyDescent="0.25">
      <c r="A14" s="829"/>
      <c r="B14" s="710"/>
      <c r="C14" s="710"/>
      <c r="D14" s="408" t="s">
        <v>347</v>
      </c>
      <c r="E14" s="389" t="s">
        <v>673</v>
      </c>
      <c r="F14" s="389" t="s">
        <v>673</v>
      </c>
      <c r="G14" s="390">
        <v>109</v>
      </c>
      <c r="H14" s="391">
        <v>109</v>
      </c>
      <c r="I14" s="391" t="e">
        <f>+#REF!</f>
        <v>#REF!</v>
      </c>
      <c r="J14" s="392" t="e">
        <f>+#REF!</f>
        <v>#REF!</v>
      </c>
      <c r="K14" s="409"/>
      <c r="L14" s="410"/>
      <c r="M14" s="394" t="str">
        <f t="shared" si="0"/>
        <v>#REF!</v>
      </c>
      <c r="N14" s="392">
        <v>66</v>
      </c>
      <c r="O14" s="394">
        <v>66</v>
      </c>
      <c r="P14" s="394" t="s">
        <v>673</v>
      </c>
      <c r="Q14" s="392" t="s">
        <v>673</v>
      </c>
      <c r="R14" s="392" t="s">
        <v>673</v>
      </c>
      <c r="S14" s="710"/>
      <c r="T14" s="395">
        <v>5</v>
      </c>
      <c r="U14" s="395">
        <v>13</v>
      </c>
      <c r="V14" s="395" t="e">
        <f>+#REF!</f>
        <v>#REF!</v>
      </c>
      <c r="W14" s="396" t="e">
        <f>+#REF!</f>
        <v>#REF!</v>
      </c>
      <c r="X14" s="411"/>
      <c r="Y14" s="411"/>
      <c r="Z14" s="399">
        <v>11</v>
      </c>
      <c r="AA14" s="398">
        <v>22</v>
      </c>
      <c r="AB14" s="400">
        <v>33</v>
      </c>
      <c r="AC14" s="401" t="s">
        <v>673</v>
      </c>
      <c r="AD14" s="402" t="s">
        <v>673</v>
      </c>
      <c r="AE14" s="403" t="s">
        <v>673</v>
      </c>
      <c r="AF14" s="710"/>
      <c r="AG14" s="829"/>
      <c r="AH14" s="710"/>
      <c r="AI14" s="710"/>
      <c r="AJ14" s="710"/>
      <c r="AK14" s="710"/>
      <c r="AL14" s="710"/>
      <c r="AM14" s="710"/>
      <c r="AN14" s="710"/>
      <c r="AO14" s="710"/>
      <c r="AP14" s="710"/>
      <c r="AQ14" s="710"/>
      <c r="AR14" s="710"/>
      <c r="AS14" s="710"/>
      <c r="AT14" s="710"/>
      <c r="AU14" s="710"/>
      <c r="AV14" s="710"/>
      <c r="AW14" s="710"/>
      <c r="AX14" s="710"/>
      <c r="AY14" s="710"/>
    </row>
    <row r="15" spans="1:55" ht="21" customHeight="1" x14ac:dyDescent="0.25">
      <c r="A15" s="829"/>
      <c r="B15" s="710"/>
      <c r="C15" s="731"/>
      <c r="D15" s="412" t="s">
        <v>348</v>
      </c>
      <c r="E15" s="389" t="s">
        <v>673</v>
      </c>
      <c r="F15" s="389" t="s">
        <v>673</v>
      </c>
      <c r="G15" s="390">
        <v>683300338</v>
      </c>
      <c r="H15" s="391">
        <v>683300338</v>
      </c>
      <c r="I15" s="391" t="e">
        <f>+#REF!</f>
        <v>#REF!</v>
      </c>
      <c r="J15" s="392" t="e">
        <f>+#REF!</f>
        <v>#REF!</v>
      </c>
      <c r="K15" s="409"/>
      <c r="L15" s="410"/>
      <c r="M15" s="394" t="str">
        <f t="shared" si="0"/>
        <v>#REF!</v>
      </c>
      <c r="N15" s="392">
        <v>361860000</v>
      </c>
      <c r="O15" s="394">
        <v>361860000</v>
      </c>
      <c r="P15" s="394" t="s">
        <v>673</v>
      </c>
      <c r="Q15" s="392" t="s">
        <v>673</v>
      </c>
      <c r="R15" s="392" t="s">
        <v>673</v>
      </c>
      <c r="S15" s="731"/>
      <c r="T15" s="395">
        <v>6777000</v>
      </c>
      <c r="U15" s="395">
        <v>381101243</v>
      </c>
      <c r="V15" s="395" t="e">
        <f>+#REF!</f>
        <v>#REF!</v>
      </c>
      <c r="W15" s="396" t="e">
        <f>+#REF!</f>
        <v>#REF!</v>
      </c>
      <c r="X15" s="411"/>
      <c r="Y15" s="411"/>
      <c r="Z15" s="399">
        <v>140580000</v>
      </c>
      <c r="AA15" s="398">
        <v>262457000</v>
      </c>
      <c r="AB15" s="400">
        <v>262457000</v>
      </c>
      <c r="AC15" s="401" t="s">
        <v>673</v>
      </c>
      <c r="AD15" s="402" t="s">
        <v>673</v>
      </c>
      <c r="AE15" s="403" t="s">
        <v>673</v>
      </c>
      <c r="AF15" s="731"/>
      <c r="AG15" s="823"/>
      <c r="AH15" s="731"/>
      <c r="AI15" s="731"/>
      <c r="AJ15" s="731"/>
      <c r="AK15" s="731"/>
      <c r="AL15" s="731"/>
      <c r="AM15" s="731"/>
      <c r="AN15" s="731"/>
      <c r="AO15" s="731"/>
      <c r="AP15" s="731"/>
      <c r="AQ15" s="731"/>
      <c r="AR15" s="731"/>
      <c r="AS15" s="731"/>
      <c r="AT15" s="731"/>
      <c r="AU15" s="731"/>
      <c r="AV15" s="731"/>
      <c r="AW15" s="731"/>
      <c r="AX15" s="731"/>
      <c r="AY15" s="710"/>
    </row>
    <row r="16" spans="1:55" ht="18" customHeight="1" x14ac:dyDescent="0.25">
      <c r="A16" s="829"/>
      <c r="B16" s="710"/>
      <c r="C16" s="818" t="s">
        <v>638</v>
      </c>
      <c r="D16" s="413" t="s">
        <v>340</v>
      </c>
      <c r="E16" s="179"/>
      <c r="F16" s="180"/>
      <c r="G16" s="174">
        <v>1</v>
      </c>
      <c r="H16" s="174">
        <v>2</v>
      </c>
      <c r="I16" s="174">
        <v>2</v>
      </c>
      <c r="J16" s="410">
        <v>2</v>
      </c>
      <c r="K16" s="414">
        <v>2</v>
      </c>
      <c r="L16" s="410"/>
      <c r="M16" s="415">
        <v>1</v>
      </c>
      <c r="N16" s="410">
        <v>2</v>
      </c>
      <c r="O16" s="410">
        <v>3</v>
      </c>
      <c r="P16" s="410">
        <v>5</v>
      </c>
      <c r="Q16" s="410">
        <v>6</v>
      </c>
      <c r="R16" s="416">
        <v>6</v>
      </c>
      <c r="S16" s="411"/>
      <c r="T16" s="167">
        <v>1</v>
      </c>
      <c r="U16" s="167">
        <v>2</v>
      </c>
      <c r="V16" s="167">
        <v>2</v>
      </c>
      <c r="W16" s="417">
        <v>2</v>
      </c>
      <c r="X16" s="418">
        <v>2</v>
      </c>
      <c r="Y16" s="411"/>
      <c r="Z16" s="411">
        <v>1</v>
      </c>
      <c r="AA16" s="409">
        <v>2</v>
      </c>
      <c r="AB16" s="419">
        <v>3</v>
      </c>
      <c r="AC16" s="401">
        <v>5</v>
      </c>
      <c r="AD16" s="409">
        <v>6</v>
      </c>
      <c r="AE16" s="420">
        <v>6</v>
      </c>
      <c r="AF16" s="916" t="s">
        <v>1138</v>
      </c>
      <c r="AG16" s="913" t="s">
        <v>1139</v>
      </c>
      <c r="AH16" s="813" t="s">
        <v>1140</v>
      </c>
      <c r="AI16" s="813" t="s">
        <v>1141</v>
      </c>
      <c r="AJ16" s="914" t="s">
        <v>1135</v>
      </c>
      <c r="AK16" s="813" t="s">
        <v>457</v>
      </c>
      <c r="AL16" s="813" t="s">
        <v>178</v>
      </c>
      <c r="AM16" s="813" t="s">
        <v>1136</v>
      </c>
      <c r="AN16" s="909">
        <v>563173</v>
      </c>
      <c r="AO16" s="910">
        <v>258860</v>
      </c>
      <c r="AP16" s="910">
        <v>304313</v>
      </c>
      <c r="AQ16" s="911" t="s">
        <v>459</v>
      </c>
      <c r="AR16" s="911" t="s">
        <v>459</v>
      </c>
      <c r="AS16" s="911" t="s">
        <v>459</v>
      </c>
      <c r="AT16" s="911" t="s">
        <v>459</v>
      </c>
      <c r="AU16" s="915" t="s">
        <v>459</v>
      </c>
      <c r="AV16" s="915" t="s">
        <v>459</v>
      </c>
      <c r="AW16" s="915" t="s">
        <v>459</v>
      </c>
      <c r="AX16" s="910">
        <v>563173</v>
      </c>
      <c r="AY16" s="710"/>
    </row>
    <row r="17" spans="1:51" ht="18" x14ac:dyDescent="0.25">
      <c r="A17" s="829"/>
      <c r="B17" s="710"/>
      <c r="C17" s="710"/>
      <c r="D17" s="404" t="s">
        <v>343</v>
      </c>
      <c r="E17" s="179"/>
      <c r="F17" s="180"/>
      <c r="G17" s="174">
        <f>+G16*$G$11/$G$10</f>
        <v>5272055.0458715595</v>
      </c>
      <c r="H17" s="174">
        <f>+H16*$H$11/$H$10</f>
        <v>10544110.091743119</v>
      </c>
      <c r="I17" s="174" t="e">
        <f>+I16*$I$11/$I$10</f>
        <v>#REF!</v>
      </c>
      <c r="J17" s="410" t="e">
        <f>+J16*$J$11/$J$10</f>
        <v>#REF!</v>
      </c>
      <c r="K17" s="409"/>
      <c r="L17" s="410"/>
      <c r="M17" s="421" t="e">
        <f>+M16*$M$11/$M$10</f>
        <v>#VALUE!</v>
      </c>
      <c r="N17" s="422">
        <f>+N16*$N$11/$N$10</f>
        <v>10965454.545454545</v>
      </c>
      <c r="O17" s="410">
        <f>+O16*$O$11/$O$10</f>
        <v>16448181.818181818</v>
      </c>
      <c r="P17" s="410" t="e">
        <f>+P16*$P$11/$P$10</f>
        <v>#VALUE!</v>
      </c>
      <c r="Q17" s="410" t="e">
        <f>+Q16*$Q$11/$Q$10</f>
        <v>#VALUE!</v>
      </c>
      <c r="R17" s="410" t="e">
        <f>+R16*$R$11/$R$10</f>
        <v>#VALUE!</v>
      </c>
      <c r="S17" s="411"/>
      <c r="T17" s="174">
        <f>+T16*$T$11/$T$10</f>
        <v>0</v>
      </c>
      <c r="U17" s="174">
        <f>+U16*$U$11/$U$10</f>
        <v>47452307.692307696</v>
      </c>
      <c r="V17" s="423" t="e">
        <f>+V16*$V$11/$V$10</f>
        <v>#REF!</v>
      </c>
      <c r="W17" s="410" t="e">
        <f>+W16*$W$11/$W$10</f>
        <v>#REF!</v>
      </c>
      <c r="X17" s="411"/>
      <c r="Y17" s="411"/>
      <c r="Z17" s="424">
        <f>+Z16*$Z$11/$Z$10</f>
        <v>12780000</v>
      </c>
      <c r="AA17" s="425">
        <f>+AA16*$AA$11/$AA$10</f>
        <v>23859727.272727273</v>
      </c>
      <c r="AB17" s="409">
        <f>+AB16*$AB$11/$AB$10</f>
        <v>23859727.272727273</v>
      </c>
      <c r="AC17" s="409" t="e">
        <f>+AC16*$AC$11/$AC$10</f>
        <v>#VALUE!</v>
      </c>
      <c r="AD17" s="409" t="e">
        <f>+AD16*$AD$11/$AD$10</f>
        <v>#VALUE!</v>
      </c>
      <c r="AE17" s="409" t="e">
        <f>+AE16*$AE$11/$AE$10</f>
        <v>#VALUE!</v>
      </c>
      <c r="AF17" s="710"/>
      <c r="AG17" s="829"/>
      <c r="AH17" s="710"/>
      <c r="AI17" s="710"/>
      <c r="AJ17" s="710"/>
      <c r="AK17" s="710"/>
      <c r="AL17" s="710"/>
      <c r="AM17" s="710"/>
      <c r="AN17" s="710"/>
      <c r="AO17" s="710"/>
      <c r="AP17" s="710"/>
      <c r="AQ17" s="710"/>
      <c r="AR17" s="710"/>
      <c r="AS17" s="710"/>
      <c r="AT17" s="710"/>
      <c r="AU17" s="710"/>
      <c r="AV17" s="710"/>
      <c r="AW17" s="710"/>
      <c r="AX17" s="710"/>
      <c r="AY17" s="710"/>
    </row>
    <row r="18" spans="1:51" ht="27" x14ac:dyDescent="0.25">
      <c r="A18" s="829"/>
      <c r="B18" s="710"/>
      <c r="C18" s="710"/>
      <c r="D18" s="408" t="s">
        <v>345</v>
      </c>
      <c r="E18" s="179"/>
      <c r="F18" s="180"/>
      <c r="G18" s="174"/>
      <c r="H18" s="174"/>
      <c r="I18" s="174"/>
      <c r="J18" s="410"/>
      <c r="K18" s="409"/>
      <c r="L18" s="410"/>
      <c r="M18" s="415"/>
      <c r="N18" s="410"/>
      <c r="O18" s="410"/>
      <c r="P18" s="410"/>
      <c r="Q18" s="410"/>
      <c r="R18" s="416"/>
      <c r="S18" s="411"/>
      <c r="T18" s="167"/>
      <c r="U18" s="167"/>
      <c r="V18" s="167"/>
      <c r="W18" s="415"/>
      <c r="X18" s="411"/>
      <c r="Y18" s="411"/>
      <c r="Z18" s="411"/>
      <c r="AA18" s="409"/>
      <c r="AB18" s="419"/>
      <c r="AC18" s="401"/>
      <c r="AD18" s="409"/>
      <c r="AE18" s="420"/>
      <c r="AF18" s="710"/>
      <c r="AG18" s="829"/>
      <c r="AH18" s="710"/>
      <c r="AI18" s="710"/>
      <c r="AJ18" s="710"/>
      <c r="AK18" s="710"/>
      <c r="AL18" s="710"/>
      <c r="AM18" s="710"/>
      <c r="AN18" s="710"/>
      <c r="AO18" s="710"/>
      <c r="AP18" s="710"/>
      <c r="AQ18" s="710"/>
      <c r="AR18" s="710"/>
      <c r="AS18" s="710"/>
      <c r="AT18" s="710"/>
      <c r="AU18" s="710"/>
      <c r="AV18" s="710"/>
      <c r="AW18" s="710"/>
      <c r="AX18" s="710"/>
      <c r="AY18" s="710"/>
    </row>
    <row r="19" spans="1:51" ht="27" x14ac:dyDescent="0.25">
      <c r="A19" s="829"/>
      <c r="B19" s="710"/>
      <c r="C19" s="710"/>
      <c r="D19" s="404" t="s">
        <v>346</v>
      </c>
      <c r="E19" s="179"/>
      <c r="F19" s="180"/>
      <c r="G19" s="174"/>
      <c r="H19" s="174"/>
      <c r="I19" s="174"/>
      <c r="J19" s="410"/>
      <c r="K19" s="409"/>
      <c r="L19" s="410"/>
      <c r="M19" s="415"/>
      <c r="N19" s="410"/>
      <c r="O19" s="410"/>
      <c r="P19" s="410"/>
      <c r="Q19" s="410"/>
      <c r="R19" s="416"/>
      <c r="S19" s="411"/>
      <c r="T19" s="174">
        <f>+T16*$T$13/$T$10</f>
        <v>1355400</v>
      </c>
      <c r="U19" s="395">
        <f>($U$13/5)</f>
        <v>14532248.6</v>
      </c>
      <c r="V19" s="167"/>
      <c r="W19" s="415"/>
      <c r="X19" s="411"/>
      <c r="Y19" s="411"/>
      <c r="Z19" s="411"/>
      <c r="AA19" s="409"/>
      <c r="AB19" s="419"/>
      <c r="AC19" s="401"/>
      <c r="AD19" s="409"/>
      <c r="AE19" s="420"/>
      <c r="AF19" s="710"/>
      <c r="AG19" s="829"/>
      <c r="AH19" s="710"/>
      <c r="AI19" s="710"/>
      <c r="AJ19" s="710"/>
      <c r="AK19" s="710"/>
      <c r="AL19" s="710"/>
      <c r="AM19" s="710"/>
      <c r="AN19" s="710"/>
      <c r="AO19" s="710"/>
      <c r="AP19" s="710"/>
      <c r="AQ19" s="710"/>
      <c r="AR19" s="710"/>
      <c r="AS19" s="710"/>
      <c r="AT19" s="710"/>
      <c r="AU19" s="710"/>
      <c r="AV19" s="710"/>
      <c r="AW19" s="710"/>
      <c r="AX19" s="710"/>
      <c r="AY19" s="710"/>
    </row>
    <row r="20" spans="1:51" ht="27" x14ac:dyDescent="0.25">
      <c r="A20" s="829"/>
      <c r="B20" s="710"/>
      <c r="C20" s="710"/>
      <c r="D20" s="408" t="s">
        <v>347</v>
      </c>
      <c r="E20" s="179"/>
      <c r="F20" s="180"/>
      <c r="G20" s="174">
        <v>1</v>
      </c>
      <c r="H20" s="174">
        <v>2</v>
      </c>
      <c r="I20" s="174">
        <v>2</v>
      </c>
      <c r="J20" s="410">
        <v>2</v>
      </c>
      <c r="K20" s="409"/>
      <c r="L20" s="410"/>
      <c r="M20" s="415"/>
      <c r="N20" s="410"/>
      <c r="O20" s="410">
        <f>+O16</f>
        <v>3</v>
      </c>
      <c r="P20" s="410">
        <v>5</v>
      </c>
      <c r="Q20" s="410">
        <v>6</v>
      </c>
      <c r="R20" s="416">
        <v>6</v>
      </c>
      <c r="S20" s="411"/>
      <c r="T20" s="167">
        <v>1</v>
      </c>
      <c r="U20" s="167">
        <v>2</v>
      </c>
      <c r="V20" s="167">
        <v>2</v>
      </c>
      <c r="W20" s="415">
        <v>2</v>
      </c>
      <c r="X20" s="411"/>
      <c r="Y20" s="411"/>
      <c r="Z20" s="411"/>
      <c r="AA20" s="409"/>
      <c r="AB20" s="409">
        <f>+AB16</f>
        <v>3</v>
      </c>
      <c r="AC20" s="401">
        <v>5</v>
      </c>
      <c r="AD20" s="409">
        <v>6</v>
      </c>
      <c r="AE20" s="420">
        <v>6</v>
      </c>
      <c r="AF20" s="710"/>
      <c r="AG20" s="829"/>
      <c r="AH20" s="710"/>
      <c r="AI20" s="710"/>
      <c r="AJ20" s="710"/>
      <c r="AK20" s="710"/>
      <c r="AL20" s="710"/>
      <c r="AM20" s="710"/>
      <c r="AN20" s="710"/>
      <c r="AO20" s="710"/>
      <c r="AP20" s="710"/>
      <c r="AQ20" s="710"/>
      <c r="AR20" s="710"/>
      <c r="AS20" s="710"/>
      <c r="AT20" s="710"/>
      <c r="AU20" s="710"/>
      <c r="AV20" s="710"/>
      <c r="AW20" s="710"/>
      <c r="AX20" s="710"/>
      <c r="AY20" s="710"/>
    </row>
    <row r="21" spans="1:51" ht="15.75" customHeight="1" x14ac:dyDescent="0.25">
      <c r="A21" s="829"/>
      <c r="B21" s="710"/>
      <c r="C21" s="731"/>
      <c r="D21" s="412" t="s">
        <v>348</v>
      </c>
      <c r="E21" s="179"/>
      <c r="F21" s="180"/>
      <c r="G21" s="174">
        <f>+G20*$G$11/$G$10</f>
        <v>5272055.0458715595</v>
      </c>
      <c r="H21" s="174">
        <f>+H20*$H$11/$H$10</f>
        <v>10544110.091743119</v>
      </c>
      <c r="I21" s="174" t="e">
        <f>+I20*$I$11/$I$10</f>
        <v>#REF!</v>
      </c>
      <c r="J21" s="410" t="e">
        <f>+J20*$J$11/$J$10</f>
        <v>#REF!</v>
      </c>
      <c r="K21" s="409"/>
      <c r="L21" s="410"/>
      <c r="M21" s="415"/>
      <c r="N21" s="410"/>
      <c r="O21" s="410">
        <f>+O17</f>
        <v>16448181.818181818</v>
      </c>
      <c r="P21" s="410" t="e">
        <f>+P20*$P$11/$P$10</f>
        <v>#VALUE!</v>
      </c>
      <c r="Q21" s="410" t="e">
        <f>+Q20*$Q$11/$Q$10</f>
        <v>#VALUE!</v>
      </c>
      <c r="R21" s="410" t="e">
        <f>+R20*$R$11/$R$10</f>
        <v>#VALUE!</v>
      </c>
      <c r="S21" s="411"/>
      <c r="T21" s="174">
        <f>+T20*$T$11/$T$10</f>
        <v>0</v>
      </c>
      <c r="U21" s="174">
        <f>+U20*$U$11/$U$10</f>
        <v>47452307.692307696</v>
      </c>
      <c r="V21" s="423" t="e">
        <f>+V20*$V$11/$V$10</f>
        <v>#REF!</v>
      </c>
      <c r="W21" s="410" t="e">
        <f>+W20*$W$11/$W$10</f>
        <v>#REF!</v>
      </c>
      <c r="X21" s="411"/>
      <c r="Y21" s="411"/>
      <c r="Z21" s="411"/>
      <c r="AA21" s="409"/>
      <c r="AB21" s="409">
        <f>+AB17</f>
        <v>23859727.272727273</v>
      </c>
      <c r="AC21" s="409" t="e">
        <f>+AC20*$AC$11/$AC$10</f>
        <v>#VALUE!</v>
      </c>
      <c r="AD21" s="409" t="e">
        <f>+AD20*$AD$11/$AD$10</f>
        <v>#VALUE!</v>
      </c>
      <c r="AE21" s="409" t="e">
        <f>+AE20*$AE$11/$AE$10</f>
        <v>#VALUE!</v>
      </c>
      <c r="AF21" s="731"/>
      <c r="AG21" s="823"/>
      <c r="AH21" s="731"/>
      <c r="AI21" s="731"/>
      <c r="AJ21" s="731"/>
      <c r="AK21" s="731"/>
      <c r="AL21" s="731"/>
      <c r="AM21" s="731"/>
      <c r="AN21" s="731"/>
      <c r="AO21" s="731"/>
      <c r="AP21" s="731"/>
      <c r="AQ21" s="731"/>
      <c r="AR21" s="731"/>
      <c r="AS21" s="731"/>
      <c r="AT21" s="731"/>
      <c r="AU21" s="731"/>
      <c r="AV21" s="731"/>
      <c r="AW21" s="731"/>
      <c r="AX21" s="731"/>
      <c r="AY21" s="710"/>
    </row>
    <row r="22" spans="1:51" ht="18" customHeight="1" x14ac:dyDescent="0.25">
      <c r="A22" s="829"/>
      <c r="B22" s="710"/>
      <c r="C22" s="818" t="s">
        <v>682</v>
      </c>
      <c r="D22" s="413" t="s">
        <v>340</v>
      </c>
      <c r="E22" s="179"/>
      <c r="F22" s="180"/>
      <c r="G22" s="174">
        <v>1</v>
      </c>
      <c r="H22" s="174">
        <v>1</v>
      </c>
      <c r="I22" s="174">
        <v>1</v>
      </c>
      <c r="J22" s="410">
        <v>2</v>
      </c>
      <c r="K22" s="414">
        <v>2</v>
      </c>
      <c r="L22" s="410"/>
      <c r="M22" s="415"/>
      <c r="N22" s="410"/>
      <c r="O22" s="410"/>
      <c r="P22" s="410">
        <v>1</v>
      </c>
      <c r="Q22" s="410">
        <v>1</v>
      </c>
      <c r="R22" s="416">
        <v>1</v>
      </c>
      <c r="S22" s="411"/>
      <c r="T22" s="167">
        <v>1</v>
      </c>
      <c r="U22" s="167">
        <v>1</v>
      </c>
      <c r="V22" s="167">
        <v>1</v>
      </c>
      <c r="W22" s="417">
        <v>2</v>
      </c>
      <c r="X22" s="418">
        <v>2</v>
      </c>
      <c r="Y22" s="411"/>
      <c r="Z22" s="411"/>
      <c r="AA22" s="409"/>
      <c r="AB22" s="419"/>
      <c r="AC22" s="409">
        <v>1</v>
      </c>
      <c r="AD22" s="409">
        <v>1</v>
      </c>
      <c r="AE22" s="420">
        <v>1</v>
      </c>
      <c r="AF22" s="916" t="s">
        <v>1142</v>
      </c>
      <c r="AG22" s="913" t="s">
        <v>1143</v>
      </c>
      <c r="AH22" s="813" t="s">
        <v>1144</v>
      </c>
      <c r="AI22" s="813" t="s">
        <v>1145</v>
      </c>
      <c r="AJ22" s="914" t="s">
        <v>1135</v>
      </c>
      <c r="AK22" s="813" t="s">
        <v>457</v>
      </c>
      <c r="AL22" s="813" t="s">
        <v>178</v>
      </c>
      <c r="AM22" s="813" t="s">
        <v>1136</v>
      </c>
      <c r="AN22" s="909">
        <v>376895</v>
      </c>
      <c r="AO22" s="910">
        <v>183453</v>
      </c>
      <c r="AP22" s="910">
        <v>193441.34009331701</v>
      </c>
      <c r="AQ22" s="911" t="s">
        <v>459</v>
      </c>
      <c r="AR22" s="911" t="s">
        <v>459</v>
      </c>
      <c r="AS22" s="911" t="s">
        <v>459</v>
      </c>
      <c r="AT22" s="911" t="s">
        <v>459</v>
      </c>
      <c r="AU22" s="915" t="s">
        <v>459</v>
      </c>
      <c r="AV22" s="915" t="s">
        <v>459</v>
      </c>
      <c r="AW22" s="915" t="s">
        <v>459</v>
      </c>
      <c r="AX22" s="910">
        <v>376895</v>
      </c>
      <c r="AY22" s="710"/>
    </row>
    <row r="23" spans="1:51" ht="15.75" customHeight="1" x14ac:dyDescent="0.25">
      <c r="A23" s="829"/>
      <c r="B23" s="710"/>
      <c r="C23" s="710"/>
      <c r="D23" s="404" t="s">
        <v>343</v>
      </c>
      <c r="E23" s="179"/>
      <c r="F23" s="180"/>
      <c r="G23" s="174">
        <f>+G22*$G$11/$G$10</f>
        <v>5272055.0458715595</v>
      </c>
      <c r="H23" s="174">
        <f>+H22*$H$11/$H$10</f>
        <v>5272055.0458715595</v>
      </c>
      <c r="I23" s="174" t="e">
        <f>+I22*$I$11/$I$10</f>
        <v>#REF!</v>
      </c>
      <c r="J23" s="410" t="e">
        <f>+J22*$J$11/$J$10</f>
        <v>#REF!</v>
      </c>
      <c r="K23" s="409"/>
      <c r="L23" s="410"/>
      <c r="M23" s="421"/>
      <c r="N23" s="422"/>
      <c r="O23" s="410"/>
      <c r="P23" s="410" t="e">
        <f>+P22*$P$11/$P$10</f>
        <v>#VALUE!</v>
      </c>
      <c r="Q23" s="410" t="e">
        <f>+Q22*$Q$11/$Q$10</f>
        <v>#VALUE!</v>
      </c>
      <c r="R23" s="410" t="e">
        <f>+R22*$R$11/$R$10</f>
        <v>#VALUE!</v>
      </c>
      <c r="S23" s="411"/>
      <c r="T23" s="174">
        <f>+T22*$T$11/$T$10</f>
        <v>0</v>
      </c>
      <c r="U23" s="174">
        <f>+U22*$U$11/$U$10</f>
        <v>23726153.846153848</v>
      </c>
      <c r="V23" s="423" t="e">
        <f>+V22*$V$11/$V$10</f>
        <v>#REF!</v>
      </c>
      <c r="W23" s="410" t="e">
        <f>+W22*$W$11/$W$10</f>
        <v>#REF!</v>
      </c>
      <c r="X23" s="411"/>
      <c r="Y23" s="411"/>
      <c r="Z23" s="424"/>
      <c r="AA23" s="425"/>
      <c r="AB23" s="409"/>
      <c r="AC23" s="409" t="e">
        <f>+AC22*$AC$11/$AC$10</f>
        <v>#VALUE!</v>
      </c>
      <c r="AD23" s="409" t="e">
        <f>+AD22*$AD$11/$AD$10</f>
        <v>#VALUE!</v>
      </c>
      <c r="AE23" s="409" t="e">
        <f>+AE22*$AE$11/$AE$10</f>
        <v>#VALUE!</v>
      </c>
      <c r="AF23" s="710"/>
      <c r="AG23" s="829"/>
      <c r="AH23" s="710"/>
      <c r="AI23" s="710"/>
      <c r="AJ23" s="710"/>
      <c r="AK23" s="710"/>
      <c r="AL23" s="710"/>
      <c r="AM23" s="710"/>
      <c r="AN23" s="710"/>
      <c r="AO23" s="710"/>
      <c r="AP23" s="710"/>
      <c r="AQ23" s="710"/>
      <c r="AR23" s="710"/>
      <c r="AS23" s="710"/>
      <c r="AT23" s="710"/>
      <c r="AU23" s="710"/>
      <c r="AV23" s="710"/>
      <c r="AW23" s="710"/>
      <c r="AX23" s="710"/>
      <c r="AY23" s="710"/>
    </row>
    <row r="24" spans="1:51" ht="15.75" customHeight="1" x14ac:dyDescent="0.25">
      <c r="A24" s="829"/>
      <c r="B24" s="710"/>
      <c r="C24" s="710"/>
      <c r="D24" s="408" t="s">
        <v>345</v>
      </c>
      <c r="E24" s="179"/>
      <c r="F24" s="180"/>
      <c r="G24" s="174"/>
      <c r="H24" s="174"/>
      <c r="I24" s="174"/>
      <c r="J24" s="410"/>
      <c r="K24" s="409"/>
      <c r="L24" s="410"/>
      <c r="M24" s="415"/>
      <c r="N24" s="410"/>
      <c r="O24" s="410"/>
      <c r="P24" s="410"/>
      <c r="Q24" s="410"/>
      <c r="R24" s="416"/>
      <c r="S24" s="411"/>
      <c r="T24" s="167"/>
      <c r="U24" s="167"/>
      <c r="V24" s="167"/>
      <c r="W24" s="415"/>
      <c r="X24" s="411"/>
      <c r="Y24" s="411"/>
      <c r="Z24" s="411"/>
      <c r="AA24" s="409"/>
      <c r="AB24" s="419"/>
      <c r="AC24" s="409"/>
      <c r="AD24" s="409"/>
      <c r="AE24" s="420"/>
      <c r="AF24" s="710"/>
      <c r="AG24" s="829"/>
      <c r="AH24" s="710"/>
      <c r="AI24" s="710"/>
      <c r="AJ24" s="710"/>
      <c r="AK24" s="710"/>
      <c r="AL24" s="710"/>
      <c r="AM24" s="710"/>
      <c r="AN24" s="710"/>
      <c r="AO24" s="710"/>
      <c r="AP24" s="710"/>
      <c r="AQ24" s="710"/>
      <c r="AR24" s="710"/>
      <c r="AS24" s="710"/>
      <c r="AT24" s="710"/>
      <c r="AU24" s="710"/>
      <c r="AV24" s="710"/>
      <c r="AW24" s="710"/>
      <c r="AX24" s="710"/>
      <c r="AY24" s="710"/>
    </row>
    <row r="25" spans="1:51" ht="15.75" customHeight="1" x14ac:dyDescent="0.25">
      <c r="A25" s="829"/>
      <c r="B25" s="710"/>
      <c r="C25" s="710"/>
      <c r="D25" s="404" t="s">
        <v>346</v>
      </c>
      <c r="E25" s="179"/>
      <c r="F25" s="180"/>
      <c r="G25" s="174"/>
      <c r="H25" s="174"/>
      <c r="I25" s="174"/>
      <c r="J25" s="410"/>
      <c r="K25" s="409"/>
      <c r="L25" s="410"/>
      <c r="M25" s="415"/>
      <c r="N25" s="410"/>
      <c r="O25" s="410"/>
      <c r="P25" s="410"/>
      <c r="Q25" s="410"/>
      <c r="R25" s="416"/>
      <c r="S25" s="411"/>
      <c r="T25" s="174">
        <f>+T22*$T$13/$T$10</f>
        <v>1355400</v>
      </c>
      <c r="U25" s="395">
        <f>($U$13/5)</f>
        <v>14532248.6</v>
      </c>
      <c r="V25" s="167"/>
      <c r="W25" s="415"/>
      <c r="X25" s="411"/>
      <c r="Y25" s="411"/>
      <c r="Z25" s="411"/>
      <c r="AA25" s="409"/>
      <c r="AB25" s="419"/>
      <c r="AC25" s="409"/>
      <c r="AD25" s="409"/>
      <c r="AE25" s="420"/>
      <c r="AF25" s="710"/>
      <c r="AG25" s="829"/>
      <c r="AH25" s="710"/>
      <c r="AI25" s="710"/>
      <c r="AJ25" s="710"/>
      <c r="AK25" s="710"/>
      <c r="AL25" s="710"/>
      <c r="AM25" s="710"/>
      <c r="AN25" s="710"/>
      <c r="AO25" s="710"/>
      <c r="AP25" s="710"/>
      <c r="AQ25" s="710"/>
      <c r="AR25" s="710"/>
      <c r="AS25" s="710"/>
      <c r="AT25" s="710"/>
      <c r="AU25" s="710"/>
      <c r="AV25" s="710"/>
      <c r="AW25" s="710"/>
      <c r="AX25" s="710"/>
      <c r="AY25" s="710"/>
    </row>
    <row r="26" spans="1:51" ht="15.75" customHeight="1" x14ac:dyDescent="0.25">
      <c r="A26" s="829"/>
      <c r="B26" s="710"/>
      <c r="C26" s="710"/>
      <c r="D26" s="408" t="s">
        <v>347</v>
      </c>
      <c r="E26" s="179"/>
      <c r="F26" s="180"/>
      <c r="G26" s="174">
        <v>1</v>
      </c>
      <c r="H26" s="174">
        <v>1</v>
      </c>
      <c r="I26" s="174">
        <v>1</v>
      </c>
      <c r="J26" s="410">
        <v>2</v>
      </c>
      <c r="K26" s="409"/>
      <c r="L26" s="410"/>
      <c r="M26" s="415"/>
      <c r="N26" s="410"/>
      <c r="O26" s="410"/>
      <c r="P26" s="410"/>
      <c r="Q26" s="410">
        <v>1</v>
      </c>
      <c r="R26" s="416">
        <v>1</v>
      </c>
      <c r="S26" s="411"/>
      <c r="T26" s="167">
        <v>1</v>
      </c>
      <c r="U26" s="167">
        <v>1</v>
      </c>
      <c r="V26" s="167">
        <v>1</v>
      </c>
      <c r="W26" s="415">
        <v>2</v>
      </c>
      <c r="X26" s="411"/>
      <c r="Y26" s="411"/>
      <c r="Z26" s="411"/>
      <c r="AA26" s="409"/>
      <c r="AB26" s="409"/>
      <c r="AC26" s="409"/>
      <c r="AD26" s="409">
        <v>1</v>
      </c>
      <c r="AE26" s="420">
        <v>1</v>
      </c>
      <c r="AF26" s="710"/>
      <c r="AG26" s="829"/>
      <c r="AH26" s="710"/>
      <c r="AI26" s="710"/>
      <c r="AJ26" s="710"/>
      <c r="AK26" s="710"/>
      <c r="AL26" s="710"/>
      <c r="AM26" s="710"/>
      <c r="AN26" s="710"/>
      <c r="AO26" s="710"/>
      <c r="AP26" s="710"/>
      <c r="AQ26" s="710"/>
      <c r="AR26" s="710"/>
      <c r="AS26" s="710"/>
      <c r="AT26" s="710"/>
      <c r="AU26" s="710"/>
      <c r="AV26" s="710"/>
      <c r="AW26" s="710"/>
      <c r="AX26" s="710"/>
      <c r="AY26" s="710"/>
    </row>
    <row r="27" spans="1:51" ht="15.75" customHeight="1" x14ac:dyDescent="0.25">
      <c r="A27" s="829"/>
      <c r="B27" s="710"/>
      <c r="C27" s="731"/>
      <c r="D27" s="412" t="s">
        <v>348</v>
      </c>
      <c r="E27" s="179"/>
      <c r="F27" s="180"/>
      <c r="G27" s="174">
        <f>+G26*$G$11/$G$10</f>
        <v>5272055.0458715595</v>
      </c>
      <c r="H27" s="174">
        <f>+H26*$H$11/$H$10</f>
        <v>5272055.0458715595</v>
      </c>
      <c r="I27" s="174" t="e">
        <f>+I26*$I$11/$I$10</f>
        <v>#REF!</v>
      </c>
      <c r="J27" s="410" t="e">
        <f>+J26*$J$11/$J$10</f>
        <v>#REF!</v>
      </c>
      <c r="K27" s="409"/>
      <c r="L27" s="410"/>
      <c r="M27" s="415"/>
      <c r="N27" s="410"/>
      <c r="O27" s="410"/>
      <c r="P27" s="410" t="e">
        <f>+P26*$P$11/$P$10</f>
        <v>#VALUE!</v>
      </c>
      <c r="Q27" s="410" t="e">
        <f>+Q26*$Q$11/$Q$10</f>
        <v>#VALUE!</v>
      </c>
      <c r="R27" s="410" t="e">
        <f>+R26*$R$11/$R$10</f>
        <v>#VALUE!</v>
      </c>
      <c r="S27" s="411"/>
      <c r="T27" s="174">
        <f>+T26*$T$11/$T$10</f>
        <v>0</v>
      </c>
      <c r="U27" s="174">
        <f>+U26*$U$11/$U$10</f>
        <v>23726153.846153848</v>
      </c>
      <c r="V27" s="423" t="e">
        <f>+V26*$V$11/$V$10</f>
        <v>#REF!</v>
      </c>
      <c r="W27" s="410" t="e">
        <f>+W26*$W$11/$W$10</f>
        <v>#REF!</v>
      </c>
      <c r="X27" s="411"/>
      <c r="Y27" s="411"/>
      <c r="Z27" s="411"/>
      <c r="AA27" s="409"/>
      <c r="AB27" s="409"/>
      <c r="AC27" s="409" t="e">
        <f>+AC26*$AC$11/$AC$10</f>
        <v>#VALUE!</v>
      </c>
      <c r="AD27" s="409" t="e">
        <f>+AD26*$AD$11/$AD$10</f>
        <v>#VALUE!</v>
      </c>
      <c r="AE27" s="409" t="e">
        <f>+AE26*$AE$11/$AE$10</f>
        <v>#VALUE!</v>
      </c>
      <c r="AF27" s="731"/>
      <c r="AG27" s="823"/>
      <c r="AH27" s="731"/>
      <c r="AI27" s="731"/>
      <c r="AJ27" s="731"/>
      <c r="AK27" s="731"/>
      <c r="AL27" s="731"/>
      <c r="AM27" s="731"/>
      <c r="AN27" s="731"/>
      <c r="AO27" s="731"/>
      <c r="AP27" s="731"/>
      <c r="AQ27" s="731"/>
      <c r="AR27" s="731"/>
      <c r="AS27" s="731"/>
      <c r="AT27" s="731"/>
      <c r="AU27" s="731"/>
      <c r="AV27" s="731"/>
      <c r="AW27" s="731"/>
      <c r="AX27" s="731"/>
      <c r="AY27" s="731"/>
    </row>
    <row r="28" spans="1:51" ht="18" hidden="1" customHeight="1" x14ac:dyDescent="0.25">
      <c r="A28" s="829"/>
      <c r="B28" s="710"/>
      <c r="C28" s="818" t="s">
        <v>468</v>
      </c>
      <c r="D28" s="413" t="s">
        <v>340</v>
      </c>
      <c r="E28" s="179"/>
      <c r="F28" s="180"/>
      <c r="G28" s="174"/>
      <c r="H28" s="174"/>
      <c r="I28" s="174"/>
      <c r="J28" s="410"/>
      <c r="K28" s="409"/>
      <c r="L28" s="410"/>
      <c r="M28" s="415"/>
      <c r="N28" s="410"/>
      <c r="O28" s="410"/>
      <c r="P28" s="410">
        <v>1</v>
      </c>
      <c r="Q28" s="410">
        <v>2</v>
      </c>
      <c r="R28" s="416">
        <v>2</v>
      </c>
      <c r="S28" s="411"/>
      <c r="T28" s="167"/>
      <c r="U28" s="167"/>
      <c r="V28" s="167"/>
      <c r="W28" s="415"/>
      <c r="X28" s="411"/>
      <c r="Y28" s="411"/>
      <c r="Z28" s="411"/>
      <c r="AA28" s="409"/>
      <c r="AB28" s="419"/>
      <c r="AC28" s="409">
        <v>1</v>
      </c>
      <c r="AD28" s="409">
        <v>2</v>
      </c>
      <c r="AE28" s="420">
        <v>2</v>
      </c>
      <c r="AF28" s="426"/>
      <c r="AG28" s="913" t="s">
        <v>1146</v>
      </c>
      <c r="AH28" s="813" t="s">
        <v>1147</v>
      </c>
      <c r="AI28" s="813" t="s">
        <v>1148</v>
      </c>
      <c r="AJ28" s="914" t="s">
        <v>1149</v>
      </c>
      <c r="AK28" s="813" t="s">
        <v>457</v>
      </c>
      <c r="AL28" s="813" t="s">
        <v>178</v>
      </c>
      <c r="AM28" s="813" t="s">
        <v>1136</v>
      </c>
      <c r="AN28" s="909">
        <v>18703</v>
      </c>
      <c r="AO28" s="910">
        <v>9562</v>
      </c>
      <c r="AP28" s="910">
        <v>9141</v>
      </c>
      <c r="AQ28" s="911" t="s">
        <v>459</v>
      </c>
      <c r="AR28" s="911" t="s">
        <v>459</v>
      </c>
      <c r="AS28" s="911" t="s">
        <v>459</v>
      </c>
      <c r="AT28" s="911" t="s">
        <v>459</v>
      </c>
      <c r="AU28" s="915" t="s">
        <v>459</v>
      </c>
      <c r="AV28" s="915" t="s">
        <v>459</v>
      </c>
      <c r="AW28" s="915" t="s">
        <v>459</v>
      </c>
      <c r="AX28" s="910">
        <v>18703</v>
      </c>
      <c r="AY28" s="427"/>
    </row>
    <row r="29" spans="1:51" ht="18" hidden="1" customHeight="1" x14ac:dyDescent="0.25">
      <c r="A29" s="829"/>
      <c r="B29" s="710"/>
      <c r="C29" s="710"/>
      <c r="D29" s="404" t="s">
        <v>343</v>
      </c>
      <c r="E29" s="179"/>
      <c r="F29" s="180"/>
      <c r="G29" s="174"/>
      <c r="H29" s="174"/>
      <c r="I29" s="174"/>
      <c r="J29" s="410"/>
      <c r="K29" s="409"/>
      <c r="L29" s="410"/>
      <c r="M29" s="421"/>
      <c r="N29" s="422"/>
      <c r="O29" s="410"/>
      <c r="P29" s="410" t="e">
        <f>+P28*$P$11/$P$10</f>
        <v>#VALUE!</v>
      </c>
      <c r="Q29" s="410" t="e">
        <f>+Q28*$Q$11/$Q$10</f>
        <v>#VALUE!</v>
      </c>
      <c r="R29" s="410" t="e">
        <f>+R28*$R$11/$R$10</f>
        <v>#VALUE!</v>
      </c>
      <c r="S29" s="411"/>
      <c r="T29" s="167"/>
      <c r="U29" s="167"/>
      <c r="V29" s="167"/>
      <c r="W29" s="415"/>
      <c r="X29" s="411"/>
      <c r="Y29" s="411"/>
      <c r="Z29" s="424"/>
      <c r="AA29" s="425"/>
      <c r="AB29" s="409"/>
      <c r="AC29" s="409" t="e">
        <f>+AC28*$AC$11/$AC$10</f>
        <v>#VALUE!</v>
      </c>
      <c r="AD29" s="409" t="e">
        <f>+AD28*$AD$11/$AD$10</f>
        <v>#VALUE!</v>
      </c>
      <c r="AE29" s="409" t="e">
        <f>+AE28*$AE$11/$AE$10</f>
        <v>#VALUE!</v>
      </c>
      <c r="AF29" s="426"/>
      <c r="AG29" s="829"/>
      <c r="AH29" s="710"/>
      <c r="AI29" s="710"/>
      <c r="AJ29" s="710"/>
      <c r="AK29" s="710"/>
      <c r="AL29" s="710"/>
      <c r="AM29" s="710"/>
      <c r="AN29" s="710"/>
      <c r="AO29" s="710"/>
      <c r="AP29" s="710"/>
      <c r="AQ29" s="710"/>
      <c r="AR29" s="710"/>
      <c r="AS29" s="710"/>
      <c r="AT29" s="710"/>
      <c r="AU29" s="710"/>
      <c r="AV29" s="710"/>
      <c r="AW29" s="710"/>
      <c r="AX29" s="710"/>
      <c r="AY29" s="427"/>
    </row>
    <row r="30" spans="1:51" ht="27" hidden="1" customHeight="1" x14ac:dyDescent="0.25">
      <c r="A30" s="829"/>
      <c r="B30" s="710"/>
      <c r="C30" s="710"/>
      <c r="D30" s="408" t="s">
        <v>345</v>
      </c>
      <c r="E30" s="179"/>
      <c r="F30" s="180"/>
      <c r="G30" s="174"/>
      <c r="H30" s="174"/>
      <c r="I30" s="174"/>
      <c r="J30" s="410"/>
      <c r="K30" s="409"/>
      <c r="L30" s="410"/>
      <c r="M30" s="415"/>
      <c r="N30" s="410"/>
      <c r="O30" s="410"/>
      <c r="P30" s="410"/>
      <c r="Q30" s="410"/>
      <c r="R30" s="416"/>
      <c r="S30" s="411"/>
      <c r="T30" s="167"/>
      <c r="U30" s="167"/>
      <c r="V30" s="167"/>
      <c r="W30" s="415"/>
      <c r="X30" s="411"/>
      <c r="Y30" s="411"/>
      <c r="Z30" s="411"/>
      <c r="AA30" s="409"/>
      <c r="AB30" s="419"/>
      <c r="AC30" s="409"/>
      <c r="AD30" s="409"/>
      <c r="AE30" s="420"/>
      <c r="AF30" s="426"/>
      <c r="AG30" s="829"/>
      <c r="AH30" s="710"/>
      <c r="AI30" s="710"/>
      <c r="AJ30" s="710"/>
      <c r="AK30" s="710"/>
      <c r="AL30" s="710"/>
      <c r="AM30" s="710"/>
      <c r="AN30" s="710"/>
      <c r="AO30" s="710"/>
      <c r="AP30" s="710"/>
      <c r="AQ30" s="710"/>
      <c r="AR30" s="710"/>
      <c r="AS30" s="710"/>
      <c r="AT30" s="710"/>
      <c r="AU30" s="710"/>
      <c r="AV30" s="710"/>
      <c r="AW30" s="710"/>
      <c r="AX30" s="710"/>
      <c r="AY30" s="427"/>
    </row>
    <row r="31" spans="1:51" ht="27" hidden="1" customHeight="1" x14ac:dyDescent="0.25">
      <c r="A31" s="829"/>
      <c r="B31" s="710"/>
      <c r="C31" s="710"/>
      <c r="D31" s="404" t="s">
        <v>346</v>
      </c>
      <c r="E31" s="179"/>
      <c r="F31" s="180"/>
      <c r="G31" s="174"/>
      <c r="H31" s="174"/>
      <c r="I31" s="174"/>
      <c r="J31" s="410"/>
      <c r="K31" s="409"/>
      <c r="L31" s="410"/>
      <c r="M31" s="415"/>
      <c r="N31" s="410"/>
      <c r="O31" s="410"/>
      <c r="P31" s="410"/>
      <c r="Q31" s="410"/>
      <c r="R31" s="416"/>
      <c r="S31" s="411"/>
      <c r="T31" s="167"/>
      <c r="U31" s="167"/>
      <c r="V31" s="167"/>
      <c r="W31" s="415"/>
      <c r="X31" s="411"/>
      <c r="Y31" s="411"/>
      <c r="Z31" s="411"/>
      <c r="AA31" s="409"/>
      <c r="AB31" s="419"/>
      <c r="AC31" s="409"/>
      <c r="AD31" s="409"/>
      <c r="AE31" s="420"/>
      <c r="AF31" s="426"/>
      <c r="AG31" s="829"/>
      <c r="AH31" s="710"/>
      <c r="AI31" s="710"/>
      <c r="AJ31" s="710"/>
      <c r="AK31" s="710"/>
      <c r="AL31" s="710"/>
      <c r="AM31" s="710"/>
      <c r="AN31" s="710"/>
      <c r="AO31" s="710"/>
      <c r="AP31" s="710"/>
      <c r="AQ31" s="710"/>
      <c r="AR31" s="710"/>
      <c r="AS31" s="710"/>
      <c r="AT31" s="710"/>
      <c r="AU31" s="710"/>
      <c r="AV31" s="710"/>
      <c r="AW31" s="710"/>
      <c r="AX31" s="710"/>
      <c r="AY31" s="427"/>
    </row>
    <row r="32" spans="1:51" ht="27" hidden="1" customHeight="1" x14ac:dyDescent="0.25">
      <c r="A32" s="829"/>
      <c r="B32" s="710"/>
      <c r="C32" s="710"/>
      <c r="D32" s="408" t="s">
        <v>347</v>
      </c>
      <c r="E32" s="179"/>
      <c r="F32" s="180"/>
      <c r="G32" s="174"/>
      <c r="H32" s="174"/>
      <c r="I32" s="174"/>
      <c r="J32" s="410"/>
      <c r="K32" s="409"/>
      <c r="L32" s="410"/>
      <c r="M32" s="415"/>
      <c r="N32" s="410"/>
      <c r="O32" s="410"/>
      <c r="P32" s="410">
        <v>1</v>
      </c>
      <c r="Q32" s="410">
        <v>2</v>
      </c>
      <c r="R32" s="416">
        <v>2</v>
      </c>
      <c r="S32" s="411"/>
      <c r="T32" s="167"/>
      <c r="U32" s="167"/>
      <c r="V32" s="167"/>
      <c r="W32" s="415"/>
      <c r="X32" s="411"/>
      <c r="Y32" s="411"/>
      <c r="Z32" s="411"/>
      <c r="AA32" s="409"/>
      <c r="AB32" s="409"/>
      <c r="AC32" s="409">
        <v>1</v>
      </c>
      <c r="AD32" s="409">
        <v>2</v>
      </c>
      <c r="AE32" s="420">
        <v>2</v>
      </c>
      <c r="AF32" s="426"/>
      <c r="AG32" s="829"/>
      <c r="AH32" s="710"/>
      <c r="AI32" s="710"/>
      <c r="AJ32" s="710"/>
      <c r="AK32" s="710"/>
      <c r="AL32" s="710"/>
      <c r="AM32" s="710"/>
      <c r="AN32" s="710"/>
      <c r="AO32" s="710"/>
      <c r="AP32" s="710"/>
      <c r="AQ32" s="710"/>
      <c r="AR32" s="710"/>
      <c r="AS32" s="710"/>
      <c r="AT32" s="710"/>
      <c r="AU32" s="710"/>
      <c r="AV32" s="710"/>
      <c r="AW32" s="710"/>
      <c r="AX32" s="710"/>
      <c r="AY32" s="427"/>
    </row>
    <row r="33" spans="1:51" ht="27.75" hidden="1" customHeight="1" x14ac:dyDescent="0.25">
      <c r="A33" s="829"/>
      <c r="B33" s="710"/>
      <c r="C33" s="731"/>
      <c r="D33" s="412" t="s">
        <v>348</v>
      </c>
      <c r="E33" s="179"/>
      <c r="F33" s="180"/>
      <c r="G33" s="174"/>
      <c r="H33" s="174"/>
      <c r="I33" s="174"/>
      <c r="J33" s="410"/>
      <c r="K33" s="409"/>
      <c r="L33" s="410"/>
      <c r="M33" s="415"/>
      <c r="N33" s="410"/>
      <c r="O33" s="410"/>
      <c r="P33" s="410" t="e">
        <f>+P32*$P$11/$P$10</f>
        <v>#VALUE!</v>
      </c>
      <c r="Q33" s="410" t="e">
        <f>+Q32*$Q$11/$Q$10</f>
        <v>#VALUE!</v>
      </c>
      <c r="R33" s="410" t="e">
        <f>+R32*$R$11/$R$10</f>
        <v>#VALUE!</v>
      </c>
      <c r="S33" s="411"/>
      <c r="T33" s="167"/>
      <c r="U33" s="167"/>
      <c r="V33" s="167"/>
      <c r="W33" s="415"/>
      <c r="X33" s="411"/>
      <c r="Y33" s="411"/>
      <c r="Z33" s="411"/>
      <c r="AA33" s="409"/>
      <c r="AB33" s="409"/>
      <c r="AC33" s="409" t="e">
        <f>+AC32*$AC$11/$AC$10</f>
        <v>#VALUE!</v>
      </c>
      <c r="AD33" s="409" t="e">
        <f>+AD32*$AD$11/$AD$10</f>
        <v>#VALUE!</v>
      </c>
      <c r="AE33" s="409" t="e">
        <f>+AE32*$AE$11/$AE$10</f>
        <v>#VALUE!</v>
      </c>
      <c r="AF33" s="426"/>
      <c r="AG33" s="823"/>
      <c r="AH33" s="731"/>
      <c r="AI33" s="731"/>
      <c r="AJ33" s="731"/>
      <c r="AK33" s="731"/>
      <c r="AL33" s="731"/>
      <c r="AM33" s="731"/>
      <c r="AN33" s="731"/>
      <c r="AO33" s="731"/>
      <c r="AP33" s="731"/>
      <c r="AQ33" s="731"/>
      <c r="AR33" s="731"/>
      <c r="AS33" s="731"/>
      <c r="AT33" s="731"/>
      <c r="AU33" s="731"/>
      <c r="AV33" s="731"/>
      <c r="AW33" s="731"/>
      <c r="AX33" s="731"/>
      <c r="AY33" s="427"/>
    </row>
    <row r="34" spans="1:51" ht="18" customHeight="1" x14ac:dyDescent="0.25">
      <c r="A34" s="829"/>
      <c r="B34" s="710"/>
      <c r="C34" s="818" t="s">
        <v>561</v>
      </c>
      <c r="D34" s="413" t="s">
        <v>340</v>
      </c>
      <c r="E34" s="179"/>
      <c r="F34" s="180"/>
      <c r="G34" s="174"/>
      <c r="H34" s="174"/>
      <c r="I34" s="174">
        <v>1</v>
      </c>
      <c r="J34" s="410">
        <v>1</v>
      </c>
      <c r="K34" s="414">
        <v>1</v>
      </c>
      <c r="L34" s="410"/>
      <c r="M34" s="415">
        <v>1</v>
      </c>
      <c r="N34" s="410">
        <v>1</v>
      </c>
      <c r="O34" s="410">
        <v>2</v>
      </c>
      <c r="P34" s="410">
        <v>2</v>
      </c>
      <c r="Q34" s="410">
        <v>4</v>
      </c>
      <c r="R34" s="416">
        <v>5</v>
      </c>
      <c r="S34" s="411"/>
      <c r="T34" s="167"/>
      <c r="U34" s="167"/>
      <c r="V34" s="167">
        <v>1</v>
      </c>
      <c r="W34" s="415">
        <v>1</v>
      </c>
      <c r="X34" s="418">
        <v>1</v>
      </c>
      <c r="Y34" s="411"/>
      <c r="Z34" s="411">
        <v>1</v>
      </c>
      <c r="AA34" s="409">
        <v>1</v>
      </c>
      <c r="AB34" s="419">
        <v>2</v>
      </c>
      <c r="AC34" s="401">
        <v>2</v>
      </c>
      <c r="AD34" s="409">
        <v>4</v>
      </c>
      <c r="AE34" s="420">
        <v>5</v>
      </c>
      <c r="AF34" s="912" t="s">
        <v>1150</v>
      </c>
      <c r="AG34" s="913" t="s">
        <v>561</v>
      </c>
      <c r="AH34" s="813" t="s">
        <v>1151</v>
      </c>
      <c r="AI34" s="813" t="s">
        <v>1152</v>
      </c>
      <c r="AJ34" s="914" t="s">
        <v>1153</v>
      </c>
      <c r="AK34" s="813" t="s">
        <v>457</v>
      </c>
      <c r="AL34" s="813" t="s">
        <v>178</v>
      </c>
      <c r="AM34" s="813" t="s">
        <v>1136</v>
      </c>
      <c r="AN34" s="909">
        <v>161372</v>
      </c>
      <c r="AO34" s="910">
        <v>76616</v>
      </c>
      <c r="AP34" s="910">
        <v>84755</v>
      </c>
      <c r="AQ34" s="911" t="s">
        <v>459</v>
      </c>
      <c r="AR34" s="911" t="s">
        <v>459</v>
      </c>
      <c r="AS34" s="911" t="s">
        <v>459</v>
      </c>
      <c r="AT34" s="911" t="s">
        <v>459</v>
      </c>
      <c r="AU34" s="915" t="s">
        <v>459</v>
      </c>
      <c r="AV34" s="915" t="s">
        <v>459</v>
      </c>
      <c r="AW34" s="915" t="s">
        <v>459</v>
      </c>
      <c r="AX34" s="910">
        <v>161372</v>
      </c>
      <c r="AY34" s="427"/>
    </row>
    <row r="35" spans="1:51" ht="18" customHeight="1" x14ac:dyDescent="0.25">
      <c r="A35" s="829"/>
      <c r="B35" s="710"/>
      <c r="C35" s="710"/>
      <c r="D35" s="404" t="s">
        <v>343</v>
      </c>
      <c r="E35" s="179"/>
      <c r="F35" s="180"/>
      <c r="G35" s="174"/>
      <c r="H35" s="174"/>
      <c r="I35" s="174" t="e">
        <f>+I34*$I$11/$I$10</f>
        <v>#REF!</v>
      </c>
      <c r="J35" s="410" t="e">
        <f>+J34*$J$11/$J$10</f>
        <v>#REF!</v>
      </c>
      <c r="K35" s="409"/>
      <c r="L35" s="410"/>
      <c r="M35" s="421" t="e">
        <f>+M34*$M$11/$M$10</f>
        <v>#VALUE!</v>
      </c>
      <c r="N35" s="422">
        <f>+N34*$N$11/$N$10</f>
        <v>5482727.2727272725</v>
      </c>
      <c r="O35" s="410">
        <f>+O34*$O$11/$O$10</f>
        <v>10965454.545454545</v>
      </c>
      <c r="P35" s="410" t="e">
        <f>+P34*$P$11/$P$10</f>
        <v>#VALUE!</v>
      </c>
      <c r="Q35" s="410" t="e">
        <f>+Q34*$Q$11/$Q$10</f>
        <v>#VALUE!</v>
      </c>
      <c r="R35" s="410" t="e">
        <f>+R34*$R$11/$R$10</f>
        <v>#VALUE!</v>
      </c>
      <c r="S35" s="411"/>
      <c r="T35" s="167"/>
      <c r="U35" s="167"/>
      <c r="V35" s="423" t="e">
        <f>+V34*$V$11/$V$10</f>
        <v>#REF!</v>
      </c>
      <c r="W35" s="410" t="e">
        <f>+W34*$W$11/$W$10</f>
        <v>#REF!</v>
      </c>
      <c r="X35" s="411"/>
      <c r="Y35" s="411"/>
      <c r="Z35" s="424">
        <f>+Z34*$Z$11/$Z$10</f>
        <v>12780000</v>
      </c>
      <c r="AA35" s="425">
        <f>+AA34*$AA$11/$AA$10</f>
        <v>11929863.636363637</v>
      </c>
      <c r="AB35" s="409">
        <f>+AB34*$AB$11/$AB$10</f>
        <v>15906484.848484848</v>
      </c>
      <c r="AC35" s="409" t="e">
        <f>+AC34*$AC$11/$AC$10</f>
        <v>#VALUE!</v>
      </c>
      <c r="AD35" s="409" t="e">
        <f>+AD34*$AD$11/$AD$10</f>
        <v>#VALUE!</v>
      </c>
      <c r="AE35" s="409" t="e">
        <f>+AE34*$AE$11/$AE$10</f>
        <v>#VALUE!</v>
      </c>
      <c r="AF35" s="713"/>
      <c r="AG35" s="829"/>
      <c r="AH35" s="710"/>
      <c r="AI35" s="710"/>
      <c r="AJ35" s="710"/>
      <c r="AK35" s="710"/>
      <c r="AL35" s="710"/>
      <c r="AM35" s="710"/>
      <c r="AN35" s="710"/>
      <c r="AO35" s="710"/>
      <c r="AP35" s="710"/>
      <c r="AQ35" s="710"/>
      <c r="AR35" s="710"/>
      <c r="AS35" s="710"/>
      <c r="AT35" s="710"/>
      <c r="AU35" s="710"/>
      <c r="AV35" s="710"/>
      <c r="AW35" s="710"/>
      <c r="AX35" s="710"/>
      <c r="AY35" s="427"/>
    </row>
    <row r="36" spans="1:51" ht="27" customHeight="1" x14ac:dyDescent="0.25">
      <c r="A36" s="829"/>
      <c r="B36" s="710"/>
      <c r="C36" s="710"/>
      <c r="D36" s="408" t="s">
        <v>345</v>
      </c>
      <c r="E36" s="179"/>
      <c r="F36" s="180"/>
      <c r="G36" s="174"/>
      <c r="H36" s="174"/>
      <c r="I36" s="174"/>
      <c r="J36" s="410"/>
      <c r="K36" s="409"/>
      <c r="L36" s="410"/>
      <c r="M36" s="415"/>
      <c r="N36" s="410"/>
      <c r="O36" s="410"/>
      <c r="P36" s="410"/>
      <c r="Q36" s="410"/>
      <c r="R36" s="416"/>
      <c r="S36" s="411"/>
      <c r="T36" s="167"/>
      <c r="U36" s="167"/>
      <c r="V36" s="167"/>
      <c r="W36" s="415"/>
      <c r="X36" s="411"/>
      <c r="Y36" s="411"/>
      <c r="Z36" s="411"/>
      <c r="AA36" s="409"/>
      <c r="AB36" s="419"/>
      <c r="AC36" s="401"/>
      <c r="AD36" s="409"/>
      <c r="AE36" s="420"/>
      <c r="AF36" s="713"/>
      <c r="AG36" s="829"/>
      <c r="AH36" s="710"/>
      <c r="AI36" s="710"/>
      <c r="AJ36" s="710"/>
      <c r="AK36" s="710"/>
      <c r="AL36" s="710"/>
      <c r="AM36" s="710"/>
      <c r="AN36" s="710"/>
      <c r="AO36" s="710"/>
      <c r="AP36" s="710"/>
      <c r="AQ36" s="710"/>
      <c r="AR36" s="710"/>
      <c r="AS36" s="710"/>
      <c r="AT36" s="710"/>
      <c r="AU36" s="710"/>
      <c r="AV36" s="710"/>
      <c r="AW36" s="710"/>
      <c r="AX36" s="710"/>
      <c r="AY36" s="427"/>
    </row>
    <row r="37" spans="1:51" ht="27" customHeight="1" x14ac:dyDescent="0.25">
      <c r="A37" s="829"/>
      <c r="B37" s="710"/>
      <c r="C37" s="710"/>
      <c r="D37" s="404" t="s">
        <v>346</v>
      </c>
      <c r="E37" s="179"/>
      <c r="F37" s="180"/>
      <c r="G37" s="174"/>
      <c r="H37" s="174"/>
      <c r="I37" s="174"/>
      <c r="J37" s="410"/>
      <c r="K37" s="409"/>
      <c r="L37" s="410"/>
      <c r="M37" s="415"/>
      <c r="N37" s="410"/>
      <c r="O37" s="410"/>
      <c r="P37" s="410"/>
      <c r="Q37" s="410"/>
      <c r="R37" s="416"/>
      <c r="S37" s="411"/>
      <c r="T37" s="167"/>
      <c r="U37" s="167"/>
      <c r="V37" s="167"/>
      <c r="W37" s="415"/>
      <c r="X37" s="411"/>
      <c r="Y37" s="411"/>
      <c r="Z37" s="411"/>
      <c r="AA37" s="409"/>
      <c r="AB37" s="419"/>
      <c r="AC37" s="401"/>
      <c r="AD37" s="409"/>
      <c r="AE37" s="420"/>
      <c r="AF37" s="713"/>
      <c r="AG37" s="829"/>
      <c r="AH37" s="710"/>
      <c r="AI37" s="710"/>
      <c r="AJ37" s="710"/>
      <c r="AK37" s="710"/>
      <c r="AL37" s="710"/>
      <c r="AM37" s="710"/>
      <c r="AN37" s="710"/>
      <c r="AO37" s="710"/>
      <c r="AP37" s="710"/>
      <c r="AQ37" s="710"/>
      <c r="AR37" s="710"/>
      <c r="AS37" s="710"/>
      <c r="AT37" s="710"/>
      <c r="AU37" s="710"/>
      <c r="AV37" s="710"/>
      <c r="AW37" s="710"/>
      <c r="AX37" s="710"/>
      <c r="AY37" s="427"/>
    </row>
    <row r="38" spans="1:51" ht="27" customHeight="1" x14ac:dyDescent="0.25">
      <c r="A38" s="829"/>
      <c r="B38" s="710"/>
      <c r="C38" s="710"/>
      <c r="D38" s="408" t="s">
        <v>347</v>
      </c>
      <c r="E38" s="179"/>
      <c r="F38" s="180"/>
      <c r="G38" s="174"/>
      <c r="H38" s="174"/>
      <c r="I38" s="174">
        <v>1</v>
      </c>
      <c r="J38" s="410">
        <v>1</v>
      </c>
      <c r="K38" s="409"/>
      <c r="L38" s="410"/>
      <c r="M38" s="415"/>
      <c r="N38" s="410"/>
      <c r="O38" s="410">
        <f>+O34</f>
        <v>2</v>
      </c>
      <c r="P38" s="410"/>
      <c r="Q38" s="410">
        <v>4</v>
      </c>
      <c r="R38" s="416">
        <v>5</v>
      </c>
      <c r="S38" s="411"/>
      <c r="T38" s="167"/>
      <c r="U38" s="167"/>
      <c r="V38" s="167">
        <v>1</v>
      </c>
      <c r="W38" s="415">
        <v>1</v>
      </c>
      <c r="X38" s="411"/>
      <c r="Y38" s="411"/>
      <c r="Z38" s="411"/>
      <c r="AA38" s="409"/>
      <c r="AB38" s="409">
        <f>+AB34</f>
        <v>2</v>
      </c>
      <c r="AC38" s="401"/>
      <c r="AD38" s="409">
        <v>4</v>
      </c>
      <c r="AE38" s="420">
        <v>5</v>
      </c>
      <c r="AF38" s="713"/>
      <c r="AG38" s="829"/>
      <c r="AH38" s="710"/>
      <c r="AI38" s="710"/>
      <c r="AJ38" s="710"/>
      <c r="AK38" s="710"/>
      <c r="AL38" s="710"/>
      <c r="AM38" s="710"/>
      <c r="AN38" s="710"/>
      <c r="AO38" s="710"/>
      <c r="AP38" s="710"/>
      <c r="AQ38" s="710"/>
      <c r="AR38" s="710"/>
      <c r="AS38" s="710"/>
      <c r="AT38" s="710"/>
      <c r="AU38" s="710"/>
      <c r="AV38" s="710"/>
      <c r="AW38" s="710"/>
      <c r="AX38" s="710"/>
      <c r="AY38" s="427"/>
    </row>
    <row r="39" spans="1:51" ht="27.75" customHeight="1" x14ac:dyDescent="0.25">
      <c r="A39" s="829"/>
      <c r="B39" s="710"/>
      <c r="C39" s="731"/>
      <c r="D39" s="412" t="s">
        <v>348</v>
      </c>
      <c r="E39" s="179"/>
      <c r="F39" s="180"/>
      <c r="G39" s="174"/>
      <c r="H39" s="174"/>
      <c r="I39" s="174" t="e">
        <f>+I38*$I$11/$I$10</f>
        <v>#REF!</v>
      </c>
      <c r="J39" s="410" t="e">
        <f>+J38*$J$11/$J$10</f>
        <v>#REF!</v>
      </c>
      <c r="K39" s="409"/>
      <c r="L39" s="410"/>
      <c r="M39" s="415"/>
      <c r="N39" s="410"/>
      <c r="O39" s="410">
        <f>+O35</f>
        <v>10965454.545454545</v>
      </c>
      <c r="P39" s="410" t="e">
        <f>+P38*$P$11/$P$10</f>
        <v>#VALUE!</v>
      </c>
      <c r="Q39" s="410" t="e">
        <f>+Q38*$Q$11/$Q$10</f>
        <v>#VALUE!</v>
      </c>
      <c r="R39" s="410" t="e">
        <f>+R38*$R$11/$R$10</f>
        <v>#VALUE!</v>
      </c>
      <c r="S39" s="411"/>
      <c r="T39" s="167"/>
      <c r="U39" s="167"/>
      <c r="V39" s="423" t="e">
        <f>+V38*$V$11/$V$10</f>
        <v>#REF!</v>
      </c>
      <c r="W39" s="410" t="e">
        <f>+W38*$W$11/$W$10</f>
        <v>#REF!</v>
      </c>
      <c r="X39" s="411"/>
      <c r="Y39" s="411"/>
      <c r="Z39" s="411"/>
      <c r="AA39" s="409"/>
      <c r="AB39" s="409">
        <f>+AB35</f>
        <v>15906484.848484848</v>
      </c>
      <c r="AC39" s="409" t="e">
        <f>+AC38*$AC$11/$AC$10</f>
        <v>#VALUE!</v>
      </c>
      <c r="AD39" s="409" t="e">
        <f>+AD38*$AD$11/$AD$10</f>
        <v>#VALUE!</v>
      </c>
      <c r="AE39" s="409" t="e">
        <f>+AE38*$AE$11/$AE$10</f>
        <v>#VALUE!</v>
      </c>
      <c r="AF39" s="714"/>
      <c r="AG39" s="823"/>
      <c r="AH39" s="731"/>
      <c r="AI39" s="731"/>
      <c r="AJ39" s="731"/>
      <c r="AK39" s="731"/>
      <c r="AL39" s="731"/>
      <c r="AM39" s="731"/>
      <c r="AN39" s="731"/>
      <c r="AO39" s="731"/>
      <c r="AP39" s="731"/>
      <c r="AQ39" s="731"/>
      <c r="AR39" s="731"/>
      <c r="AS39" s="731"/>
      <c r="AT39" s="731"/>
      <c r="AU39" s="731"/>
      <c r="AV39" s="731"/>
      <c r="AW39" s="731"/>
      <c r="AX39" s="731"/>
      <c r="AY39" s="427"/>
    </row>
    <row r="40" spans="1:51" ht="18" customHeight="1" x14ac:dyDescent="0.25">
      <c r="A40" s="829"/>
      <c r="B40" s="710"/>
      <c r="C40" s="818" t="s">
        <v>1154</v>
      </c>
      <c r="D40" s="413" t="s">
        <v>340</v>
      </c>
      <c r="E40" s="179"/>
      <c r="F40" s="180"/>
      <c r="G40" s="174"/>
      <c r="H40" s="174"/>
      <c r="I40" s="174"/>
      <c r="J40" s="410">
        <v>1</v>
      </c>
      <c r="K40" s="414">
        <v>1</v>
      </c>
      <c r="L40" s="410"/>
      <c r="M40" s="415"/>
      <c r="N40" s="410"/>
      <c r="O40" s="410"/>
      <c r="P40" s="410"/>
      <c r="Q40" s="410"/>
      <c r="R40" s="416">
        <v>1</v>
      </c>
      <c r="S40" s="411"/>
      <c r="T40" s="167"/>
      <c r="U40" s="167"/>
      <c r="V40" s="167"/>
      <c r="W40" s="415">
        <v>1</v>
      </c>
      <c r="X40" s="418">
        <v>1</v>
      </c>
      <c r="Y40" s="411"/>
      <c r="Z40" s="411"/>
      <c r="AA40" s="409"/>
      <c r="AB40" s="419"/>
      <c r="AC40" s="401"/>
      <c r="AD40" s="409"/>
      <c r="AE40" s="420">
        <v>1</v>
      </c>
      <c r="AF40" s="912" t="s">
        <v>1155</v>
      </c>
      <c r="AG40" s="913" t="s">
        <v>1156</v>
      </c>
      <c r="AH40" s="813" t="s">
        <v>1157</v>
      </c>
      <c r="AI40" s="813" t="s">
        <v>1158</v>
      </c>
      <c r="AJ40" s="914" t="s">
        <v>1153</v>
      </c>
      <c r="AK40" s="813" t="s">
        <v>457</v>
      </c>
      <c r="AL40" s="813" t="s">
        <v>476</v>
      </c>
      <c r="AM40" s="813" t="s">
        <v>1136</v>
      </c>
      <c r="AN40" s="909">
        <v>22438</v>
      </c>
      <c r="AO40" s="910">
        <v>53075</v>
      </c>
      <c r="AP40" s="910">
        <v>53484</v>
      </c>
      <c r="AQ40" s="911" t="s">
        <v>459</v>
      </c>
      <c r="AR40" s="911" t="s">
        <v>459</v>
      </c>
      <c r="AS40" s="911" t="s">
        <v>459</v>
      </c>
      <c r="AT40" s="911" t="s">
        <v>459</v>
      </c>
      <c r="AU40" s="915" t="s">
        <v>459</v>
      </c>
      <c r="AV40" s="915" t="s">
        <v>459</v>
      </c>
      <c r="AW40" s="915" t="s">
        <v>459</v>
      </c>
      <c r="AX40" s="910">
        <v>22438</v>
      </c>
      <c r="AY40" s="427"/>
    </row>
    <row r="41" spans="1:51" ht="18.75" customHeight="1" x14ac:dyDescent="0.25">
      <c r="A41" s="829"/>
      <c r="B41" s="710"/>
      <c r="C41" s="710"/>
      <c r="D41" s="404" t="s">
        <v>343</v>
      </c>
      <c r="E41" s="179"/>
      <c r="F41" s="180"/>
      <c r="G41" s="174"/>
      <c r="H41" s="174"/>
      <c r="I41" s="174"/>
      <c r="J41" s="410" t="e">
        <f>+J40*$J$11/$J$10</f>
        <v>#REF!</v>
      </c>
      <c r="K41" s="409"/>
      <c r="L41" s="410"/>
      <c r="M41" s="415"/>
      <c r="N41" s="410"/>
      <c r="O41" s="410"/>
      <c r="P41" s="410"/>
      <c r="Q41" s="410"/>
      <c r="R41" s="410" t="e">
        <f>+R40*$R$11/$R$10</f>
        <v>#VALUE!</v>
      </c>
      <c r="S41" s="411"/>
      <c r="T41" s="167"/>
      <c r="U41" s="167"/>
      <c r="V41" s="167"/>
      <c r="W41" s="410" t="e">
        <f>+W40*$W$11/$W$10</f>
        <v>#REF!</v>
      </c>
      <c r="X41" s="411"/>
      <c r="Y41" s="411"/>
      <c r="Z41" s="411"/>
      <c r="AA41" s="409"/>
      <c r="AB41" s="419"/>
      <c r="AC41" s="401"/>
      <c r="AD41" s="409"/>
      <c r="AE41" s="409" t="e">
        <f>+AE40*$AE$11/$AE$10</f>
        <v>#VALUE!</v>
      </c>
      <c r="AF41" s="713"/>
      <c r="AG41" s="829"/>
      <c r="AH41" s="710"/>
      <c r="AI41" s="710"/>
      <c r="AJ41" s="710"/>
      <c r="AK41" s="710"/>
      <c r="AL41" s="710"/>
      <c r="AM41" s="710"/>
      <c r="AN41" s="710"/>
      <c r="AO41" s="710"/>
      <c r="AP41" s="710"/>
      <c r="AQ41" s="710"/>
      <c r="AR41" s="710"/>
      <c r="AS41" s="710"/>
      <c r="AT41" s="710"/>
      <c r="AU41" s="710"/>
      <c r="AV41" s="710"/>
      <c r="AW41" s="710"/>
      <c r="AX41" s="710"/>
      <c r="AY41" s="427"/>
    </row>
    <row r="42" spans="1:51" ht="27.75" customHeight="1" x14ac:dyDescent="0.25">
      <c r="A42" s="829"/>
      <c r="B42" s="710"/>
      <c r="C42" s="710"/>
      <c r="D42" s="408" t="s">
        <v>345</v>
      </c>
      <c r="E42" s="179"/>
      <c r="F42" s="180"/>
      <c r="G42" s="174"/>
      <c r="H42" s="174"/>
      <c r="I42" s="174"/>
      <c r="J42" s="410"/>
      <c r="K42" s="409"/>
      <c r="L42" s="410"/>
      <c r="M42" s="415"/>
      <c r="N42" s="410"/>
      <c r="O42" s="410"/>
      <c r="P42" s="410"/>
      <c r="Q42" s="410"/>
      <c r="R42" s="416"/>
      <c r="S42" s="411"/>
      <c r="T42" s="167"/>
      <c r="U42" s="167"/>
      <c r="V42" s="167"/>
      <c r="W42" s="415"/>
      <c r="X42" s="411"/>
      <c r="Y42" s="411"/>
      <c r="Z42" s="411"/>
      <c r="AA42" s="409"/>
      <c r="AB42" s="419"/>
      <c r="AC42" s="401"/>
      <c r="AD42" s="409"/>
      <c r="AE42" s="420"/>
      <c r="AF42" s="713"/>
      <c r="AG42" s="829"/>
      <c r="AH42" s="710"/>
      <c r="AI42" s="710"/>
      <c r="AJ42" s="710"/>
      <c r="AK42" s="710"/>
      <c r="AL42" s="710"/>
      <c r="AM42" s="710"/>
      <c r="AN42" s="710"/>
      <c r="AO42" s="710"/>
      <c r="AP42" s="710"/>
      <c r="AQ42" s="710"/>
      <c r="AR42" s="710"/>
      <c r="AS42" s="710"/>
      <c r="AT42" s="710"/>
      <c r="AU42" s="710"/>
      <c r="AV42" s="710"/>
      <c r="AW42" s="710"/>
      <c r="AX42" s="710"/>
      <c r="AY42" s="427"/>
    </row>
    <row r="43" spans="1:51" ht="27.75" customHeight="1" x14ac:dyDescent="0.25">
      <c r="A43" s="829"/>
      <c r="B43" s="710"/>
      <c r="C43" s="710"/>
      <c r="D43" s="404" t="s">
        <v>346</v>
      </c>
      <c r="E43" s="179"/>
      <c r="F43" s="180"/>
      <c r="G43" s="174"/>
      <c r="H43" s="174"/>
      <c r="I43" s="174"/>
      <c r="J43" s="410"/>
      <c r="K43" s="409"/>
      <c r="L43" s="410"/>
      <c r="M43" s="415"/>
      <c r="N43" s="410"/>
      <c r="O43" s="410"/>
      <c r="P43" s="410"/>
      <c r="Q43" s="410"/>
      <c r="R43" s="416"/>
      <c r="S43" s="411"/>
      <c r="T43" s="167"/>
      <c r="U43" s="167"/>
      <c r="V43" s="167"/>
      <c r="W43" s="415"/>
      <c r="X43" s="411"/>
      <c r="Y43" s="411"/>
      <c r="Z43" s="411"/>
      <c r="AA43" s="409"/>
      <c r="AB43" s="419"/>
      <c r="AC43" s="401"/>
      <c r="AD43" s="409"/>
      <c r="AE43" s="420"/>
      <c r="AF43" s="713"/>
      <c r="AG43" s="829"/>
      <c r="AH43" s="710"/>
      <c r="AI43" s="710"/>
      <c r="AJ43" s="710"/>
      <c r="AK43" s="710"/>
      <c r="AL43" s="710"/>
      <c r="AM43" s="710"/>
      <c r="AN43" s="710"/>
      <c r="AO43" s="710"/>
      <c r="AP43" s="710"/>
      <c r="AQ43" s="710"/>
      <c r="AR43" s="710"/>
      <c r="AS43" s="710"/>
      <c r="AT43" s="710"/>
      <c r="AU43" s="710"/>
      <c r="AV43" s="710"/>
      <c r="AW43" s="710"/>
      <c r="AX43" s="710"/>
      <c r="AY43" s="427"/>
    </row>
    <row r="44" spans="1:51" ht="27.75" customHeight="1" x14ac:dyDescent="0.25">
      <c r="A44" s="829"/>
      <c r="B44" s="710"/>
      <c r="C44" s="710"/>
      <c r="D44" s="408" t="s">
        <v>347</v>
      </c>
      <c r="E44" s="179"/>
      <c r="F44" s="180"/>
      <c r="G44" s="174"/>
      <c r="H44" s="174"/>
      <c r="I44" s="174"/>
      <c r="J44" s="410">
        <v>1</v>
      </c>
      <c r="K44" s="409"/>
      <c r="L44" s="410"/>
      <c r="M44" s="415"/>
      <c r="N44" s="410"/>
      <c r="O44" s="410"/>
      <c r="P44" s="410"/>
      <c r="Q44" s="410"/>
      <c r="R44" s="416">
        <v>1</v>
      </c>
      <c r="S44" s="411"/>
      <c r="T44" s="167"/>
      <c r="U44" s="167"/>
      <c r="V44" s="167"/>
      <c r="W44" s="415">
        <v>1</v>
      </c>
      <c r="X44" s="411"/>
      <c r="Y44" s="411"/>
      <c r="Z44" s="411"/>
      <c r="AA44" s="409"/>
      <c r="AB44" s="419"/>
      <c r="AC44" s="401"/>
      <c r="AD44" s="409"/>
      <c r="AE44" s="420">
        <v>1</v>
      </c>
      <c r="AF44" s="713"/>
      <c r="AG44" s="829"/>
      <c r="AH44" s="710"/>
      <c r="AI44" s="710"/>
      <c r="AJ44" s="710"/>
      <c r="AK44" s="710"/>
      <c r="AL44" s="710"/>
      <c r="AM44" s="710"/>
      <c r="AN44" s="710"/>
      <c r="AO44" s="710"/>
      <c r="AP44" s="710"/>
      <c r="AQ44" s="710"/>
      <c r="AR44" s="710"/>
      <c r="AS44" s="710"/>
      <c r="AT44" s="710"/>
      <c r="AU44" s="710"/>
      <c r="AV44" s="710"/>
      <c r="AW44" s="710"/>
      <c r="AX44" s="710"/>
      <c r="AY44" s="427"/>
    </row>
    <row r="45" spans="1:51" ht="27.75" customHeight="1" x14ac:dyDescent="0.25">
      <c r="A45" s="829"/>
      <c r="B45" s="710"/>
      <c r="C45" s="731"/>
      <c r="D45" s="412" t="s">
        <v>348</v>
      </c>
      <c r="E45" s="179"/>
      <c r="F45" s="180"/>
      <c r="G45" s="174"/>
      <c r="H45" s="174"/>
      <c r="I45" s="174"/>
      <c r="J45" s="410" t="e">
        <f>+J44*$J$11/$J$10</f>
        <v>#REF!</v>
      </c>
      <c r="K45" s="409"/>
      <c r="L45" s="410"/>
      <c r="M45" s="415"/>
      <c r="N45" s="410"/>
      <c r="O45" s="410"/>
      <c r="P45" s="410"/>
      <c r="Q45" s="410"/>
      <c r="R45" s="410" t="e">
        <f>+R44*$R$11/$R$10</f>
        <v>#VALUE!</v>
      </c>
      <c r="S45" s="411"/>
      <c r="T45" s="167"/>
      <c r="U45" s="167"/>
      <c r="V45" s="167"/>
      <c r="W45" s="410" t="e">
        <f>+W44*$W$11/$W$10</f>
        <v>#REF!</v>
      </c>
      <c r="X45" s="411"/>
      <c r="Y45" s="411"/>
      <c r="Z45" s="411"/>
      <c r="AA45" s="409"/>
      <c r="AB45" s="419"/>
      <c r="AC45" s="401"/>
      <c r="AD45" s="409"/>
      <c r="AE45" s="409" t="e">
        <f>+AE44*$AE$11/$AE$10</f>
        <v>#VALUE!</v>
      </c>
      <c r="AF45" s="830"/>
      <c r="AG45" s="823"/>
      <c r="AH45" s="731"/>
      <c r="AI45" s="731"/>
      <c r="AJ45" s="731"/>
      <c r="AK45" s="731"/>
      <c r="AL45" s="731"/>
      <c r="AM45" s="731"/>
      <c r="AN45" s="731"/>
      <c r="AO45" s="731"/>
      <c r="AP45" s="731"/>
      <c r="AQ45" s="731"/>
      <c r="AR45" s="731"/>
      <c r="AS45" s="731"/>
      <c r="AT45" s="731"/>
      <c r="AU45" s="731"/>
      <c r="AV45" s="731"/>
      <c r="AW45" s="731"/>
      <c r="AX45" s="731"/>
      <c r="AY45" s="427"/>
    </row>
    <row r="46" spans="1:51" ht="32.25" customHeight="1" x14ac:dyDescent="0.25">
      <c r="A46" s="829"/>
      <c r="B46" s="710"/>
      <c r="C46" s="818" t="s">
        <v>604</v>
      </c>
      <c r="D46" s="413" t="s">
        <v>340</v>
      </c>
      <c r="E46" s="179"/>
      <c r="F46" s="180"/>
      <c r="G46" s="174"/>
      <c r="H46" s="174">
        <v>1</v>
      </c>
      <c r="I46" s="174">
        <v>1</v>
      </c>
      <c r="J46" s="410">
        <v>2</v>
      </c>
      <c r="K46" s="414">
        <v>2</v>
      </c>
      <c r="L46" s="410"/>
      <c r="M46" s="415">
        <v>1</v>
      </c>
      <c r="N46" s="410">
        <v>1</v>
      </c>
      <c r="O46" s="410">
        <v>2</v>
      </c>
      <c r="P46" s="410">
        <v>2</v>
      </c>
      <c r="Q46" s="410">
        <v>3</v>
      </c>
      <c r="R46" s="416">
        <v>4</v>
      </c>
      <c r="S46" s="411"/>
      <c r="T46" s="167"/>
      <c r="U46" s="167">
        <v>1</v>
      </c>
      <c r="V46" s="167">
        <v>1</v>
      </c>
      <c r="W46" s="417">
        <v>2</v>
      </c>
      <c r="X46" s="418">
        <v>2</v>
      </c>
      <c r="Y46" s="411"/>
      <c r="Z46" s="411">
        <v>1</v>
      </c>
      <c r="AA46" s="409">
        <v>1</v>
      </c>
      <c r="AB46" s="419">
        <v>2</v>
      </c>
      <c r="AC46" s="401">
        <v>2</v>
      </c>
      <c r="AD46" s="409">
        <v>3</v>
      </c>
      <c r="AE46" s="420">
        <v>4</v>
      </c>
      <c r="AF46" s="916" t="s">
        <v>1159</v>
      </c>
      <c r="AG46" s="913" t="s">
        <v>604</v>
      </c>
      <c r="AH46" s="813" t="s">
        <v>1160</v>
      </c>
      <c r="AI46" s="813" t="s">
        <v>1161</v>
      </c>
      <c r="AJ46" s="914" t="s">
        <v>1135</v>
      </c>
      <c r="AK46" s="813" t="s">
        <v>457</v>
      </c>
      <c r="AL46" s="813" t="s">
        <v>1162</v>
      </c>
      <c r="AM46" s="813" t="s">
        <v>1136</v>
      </c>
      <c r="AN46" s="909">
        <v>406574</v>
      </c>
      <c r="AO46" s="910">
        <v>196557</v>
      </c>
      <c r="AP46" s="910">
        <v>210017</v>
      </c>
      <c r="AQ46" s="911" t="s">
        <v>459</v>
      </c>
      <c r="AR46" s="911" t="s">
        <v>459</v>
      </c>
      <c r="AS46" s="911" t="s">
        <v>459</v>
      </c>
      <c r="AT46" s="911" t="s">
        <v>459</v>
      </c>
      <c r="AU46" s="915" t="s">
        <v>459</v>
      </c>
      <c r="AV46" s="915" t="s">
        <v>459</v>
      </c>
      <c r="AW46" s="915" t="s">
        <v>459</v>
      </c>
      <c r="AX46" s="910">
        <v>406574</v>
      </c>
      <c r="AY46" s="427"/>
    </row>
    <row r="47" spans="1:51" ht="18" customHeight="1" x14ac:dyDescent="0.25">
      <c r="A47" s="829"/>
      <c r="B47" s="710"/>
      <c r="C47" s="710"/>
      <c r="D47" s="404" t="s">
        <v>343</v>
      </c>
      <c r="E47" s="179"/>
      <c r="F47" s="180"/>
      <c r="G47" s="174"/>
      <c r="H47" s="174">
        <f>+H46*$H$11/$H$10</f>
        <v>5272055.0458715595</v>
      </c>
      <c r="I47" s="174" t="e">
        <f>+I46*$I$11/$I$10</f>
        <v>#REF!</v>
      </c>
      <c r="J47" s="410" t="e">
        <f>+J46*$J$11/$J$10</f>
        <v>#REF!</v>
      </c>
      <c r="K47" s="409"/>
      <c r="L47" s="410"/>
      <c r="M47" s="421" t="e">
        <f>+M46*$M$11/$M$10</f>
        <v>#VALUE!</v>
      </c>
      <c r="N47" s="422">
        <f>+N46*$N$11/$N$10</f>
        <v>5482727.2727272725</v>
      </c>
      <c r="O47" s="410">
        <f>+O46*$O$11/$O$10</f>
        <v>10965454.545454545</v>
      </c>
      <c r="P47" s="410" t="e">
        <f>+P46*$P$11/$P$10</f>
        <v>#VALUE!</v>
      </c>
      <c r="Q47" s="410" t="e">
        <f>+Q46*$Q$11/$Q$10</f>
        <v>#VALUE!</v>
      </c>
      <c r="R47" s="410" t="e">
        <f>+R46*$R$11/$R$10</f>
        <v>#VALUE!</v>
      </c>
      <c r="S47" s="411"/>
      <c r="T47" s="167"/>
      <c r="U47" s="174">
        <f>+U46*$U$11/$U$10</f>
        <v>23726153.846153848</v>
      </c>
      <c r="V47" s="423" t="e">
        <f>+V46*$V$11/$V$10</f>
        <v>#REF!</v>
      </c>
      <c r="W47" s="410" t="e">
        <f>+W46*$W$11/$W$10</f>
        <v>#REF!</v>
      </c>
      <c r="X47" s="411"/>
      <c r="Y47" s="411"/>
      <c r="Z47" s="424">
        <f>+Z46*$Z$11/$Z$10</f>
        <v>12780000</v>
      </c>
      <c r="AA47" s="425">
        <f>+AA46*$AA$11/$AA$10</f>
        <v>11929863.636363637</v>
      </c>
      <c r="AB47" s="409">
        <f>+AB46*$AB$11/$AB$10</f>
        <v>15906484.848484848</v>
      </c>
      <c r="AC47" s="409" t="e">
        <f>+AC46*$AC$11/$AC$10</f>
        <v>#VALUE!</v>
      </c>
      <c r="AD47" s="409" t="e">
        <f>+AD46*$AD$11/$AD$10</f>
        <v>#VALUE!</v>
      </c>
      <c r="AE47" s="409" t="e">
        <f>+AE46*$AE$11/$AE$10</f>
        <v>#VALUE!</v>
      </c>
      <c r="AF47" s="710"/>
      <c r="AG47" s="829"/>
      <c r="AH47" s="710"/>
      <c r="AI47" s="710"/>
      <c r="AJ47" s="710"/>
      <c r="AK47" s="710"/>
      <c r="AL47" s="710"/>
      <c r="AM47" s="710"/>
      <c r="AN47" s="710"/>
      <c r="AO47" s="710"/>
      <c r="AP47" s="710"/>
      <c r="AQ47" s="710"/>
      <c r="AR47" s="710"/>
      <c r="AS47" s="710"/>
      <c r="AT47" s="710"/>
      <c r="AU47" s="710"/>
      <c r="AV47" s="710"/>
      <c r="AW47" s="710"/>
      <c r="AX47" s="710"/>
      <c r="AY47" s="427"/>
    </row>
    <row r="48" spans="1:51" ht="27" customHeight="1" x14ac:dyDescent="0.25">
      <c r="A48" s="829"/>
      <c r="B48" s="710"/>
      <c r="C48" s="710"/>
      <c r="D48" s="408" t="s">
        <v>345</v>
      </c>
      <c r="E48" s="179"/>
      <c r="F48" s="180"/>
      <c r="G48" s="174"/>
      <c r="H48" s="174"/>
      <c r="I48" s="174"/>
      <c r="J48" s="410"/>
      <c r="K48" s="409"/>
      <c r="L48" s="410"/>
      <c r="M48" s="415"/>
      <c r="N48" s="410"/>
      <c r="O48" s="410"/>
      <c r="P48" s="410"/>
      <c r="Q48" s="410"/>
      <c r="R48" s="416"/>
      <c r="S48" s="411"/>
      <c r="T48" s="167"/>
      <c r="U48" s="167"/>
      <c r="V48" s="167"/>
      <c r="W48" s="415"/>
      <c r="X48" s="411"/>
      <c r="Y48" s="411"/>
      <c r="Z48" s="411"/>
      <c r="AA48" s="409"/>
      <c r="AB48" s="419"/>
      <c r="AC48" s="401"/>
      <c r="AD48" s="409"/>
      <c r="AE48" s="420"/>
      <c r="AF48" s="710"/>
      <c r="AG48" s="829"/>
      <c r="AH48" s="710"/>
      <c r="AI48" s="710"/>
      <c r="AJ48" s="710"/>
      <c r="AK48" s="710"/>
      <c r="AL48" s="710"/>
      <c r="AM48" s="710"/>
      <c r="AN48" s="710"/>
      <c r="AO48" s="710"/>
      <c r="AP48" s="710"/>
      <c r="AQ48" s="710"/>
      <c r="AR48" s="710"/>
      <c r="AS48" s="710"/>
      <c r="AT48" s="710"/>
      <c r="AU48" s="710"/>
      <c r="AV48" s="710"/>
      <c r="AW48" s="710"/>
      <c r="AX48" s="710"/>
      <c r="AY48" s="427"/>
    </row>
    <row r="49" spans="1:51" ht="27" customHeight="1" x14ac:dyDescent="0.25">
      <c r="A49" s="829"/>
      <c r="B49" s="710"/>
      <c r="C49" s="710"/>
      <c r="D49" s="404" t="s">
        <v>346</v>
      </c>
      <c r="E49" s="179"/>
      <c r="F49" s="180"/>
      <c r="G49" s="174"/>
      <c r="H49" s="174"/>
      <c r="I49" s="174"/>
      <c r="J49" s="410"/>
      <c r="K49" s="409"/>
      <c r="L49" s="410"/>
      <c r="M49" s="415"/>
      <c r="N49" s="410"/>
      <c r="O49" s="410"/>
      <c r="P49" s="410"/>
      <c r="Q49" s="410"/>
      <c r="R49" s="416"/>
      <c r="S49" s="411"/>
      <c r="T49" s="167"/>
      <c r="U49" s="167"/>
      <c r="V49" s="167"/>
      <c r="W49" s="415"/>
      <c r="X49" s="411"/>
      <c r="Y49" s="411"/>
      <c r="Z49" s="411"/>
      <c r="AA49" s="409"/>
      <c r="AB49" s="419"/>
      <c r="AC49" s="401"/>
      <c r="AD49" s="409"/>
      <c r="AE49" s="420"/>
      <c r="AF49" s="710"/>
      <c r="AG49" s="829"/>
      <c r="AH49" s="710"/>
      <c r="AI49" s="710"/>
      <c r="AJ49" s="710"/>
      <c r="AK49" s="710"/>
      <c r="AL49" s="710"/>
      <c r="AM49" s="710"/>
      <c r="AN49" s="710"/>
      <c r="AO49" s="710"/>
      <c r="AP49" s="710"/>
      <c r="AQ49" s="710"/>
      <c r="AR49" s="710"/>
      <c r="AS49" s="710"/>
      <c r="AT49" s="710"/>
      <c r="AU49" s="710"/>
      <c r="AV49" s="710"/>
      <c r="AW49" s="710"/>
      <c r="AX49" s="710"/>
      <c r="AY49" s="427"/>
    </row>
    <row r="50" spans="1:51" ht="27" customHeight="1" x14ac:dyDescent="0.25">
      <c r="A50" s="829"/>
      <c r="B50" s="710"/>
      <c r="C50" s="710"/>
      <c r="D50" s="408" t="s">
        <v>347</v>
      </c>
      <c r="E50" s="179"/>
      <c r="F50" s="180"/>
      <c r="G50" s="174"/>
      <c r="H50" s="174">
        <v>1</v>
      </c>
      <c r="I50" s="174">
        <v>1</v>
      </c>
      <c r="J50" s="410">
        <v>2</v>
      </c>
      <c r="K50" s="409"/>
      <c r="L50" s="410"/>
      <c r="M50" s="415"/>
      <c r="N50" s="410"/>
      <c r="O50" s="410">
        <f>+O46</f>
        <v>2</v>
      </c>
      <c r="P50" s="410">
        <v>2</v>
      </c>
      <c r="Q50" s="410">
        <v>3</v>
      </c>
      <c r="R50" s="416">
        <v>4</v>
      </c>
      <c r="S50" s="411"/>
      <c r="T50" s="167"/>
      <c r="U50" s="167">
        <v>1</v>
      </c>
      <c r="V50" s="167">
        <v>1</v>
      </c>
      <c r="W50" s="415">
        <v>2</v>
      </c>
      <c r="X50" s="411"/>
      <c r="Y50" s="411"/>
      <c r="Z50" s="411"/>
      <c r="AA50" s="409"/>
      <c r="AB50" s="409">
        <f>+AB46</f>
        <v>2</v>
      </c>
      <c r="AC50" s="401">
        <v>2</v>
      </c>
      <c r="AD50" s="409">
        <v>3</v>
      </c>
      <c r="AE50" s="420">
        <v>4</v>
      </c>
      <c r="AF50" s="710"/>
      <c r="AG50" s="829"/>
      <c r="AH50" s="710"/>
      <c r="AI50" s="710"/>
      <c r="AJ50" s="710"/>
      <c r="AK50" s="710"/>
      <c r="AL50" s="710"/>
      <c r="AM50" s="710"/>
      <c r="AN50" s="710"/>
      <c r="AO50" s="710"/>
      <c r="AP50" s="710"/>
      <c r="AQ50" s="710"/>
      <c r="AR50" s="710"/>
      <c r="AS50" s="710"/>
      <c r="AT50" s="710"/>
      <c r="AU50" s="710"/>
      <c r="AV50" s="710"/>
      <c r="AW50" s="710"/>
      <c r="AX50" s="710"/>
      <c r="AY50" s="427"/>
    </row>
    <row r="51" spans="1:51" ht="27.75" customHeight="1" x14ac:dyDescent="0.25">
      <c r="A51" s="829"/>
      <c r="B51" s="710"/>
      <c r="C51" s="731"/>
      <c r="D51" s="412" t="s">
        <v>348</v>
      </c>
      <c r="E51" s="179"/>
      <c r="F51" s="180"/>
      <c r="G51" s="174"/>
      <c r="H51" s="174">
        <f>+H50*$H$11/$H$10</f>
        <v>5272055.0458715595</v>
      </c>
      <c r="I51" s="174" t="e">
        <f>+I50*$I$11/$I$10</f>
        <v>#REF!</v>
      </c>
      <c r="J51" s="410" t="e">
        <f>+J50*$J$11/$J$10</f>
        <v>#REF!</v>
      </c>
      <c r="K51" s="409"/>
      <c r="L51" s="410"/>
      <c r="M51" s="415"/>
      <c r="N51" s="410"/>
      <c r="O51" s="410">
        <f>+O47</f>
        <v>10965454.545454545</v>
      </c>
      <c r="P51" s="410" t="e">
        <f>+P50*$P$11/$P$10</f>
        <v>#VALUE!</v>
      </c>
      <c r="Q51" s="410" t="e">
        <f>+Q50*$Q$11/$Q$10</f>
        <v>#VALUE!</v>
      </c>
      <c r="R51" s="410" t="e">
        <f>+R50*$R$11/$R$10</f>
        <v>#VALUE!</v>
      </c>
      <c r="S51" s="411"/>
      <c r="T51" s="167"/>
      <c r="U51" s="174">
        <f>+U50*$U$11/$U$10</f>
        <v>23726153.846153848</v>
      </c>
      <c r="V51" s="423" t="e">
        <f>+V50*$V$11/$V$10</f>
        <v>#REF!</v>
      </c>
      <c r="W51" s="410" t="e">
        <f>+W50*$W$11/$W$10</f>
        <v>#REF!</v>
      </c>
      <c r="X51" s="411"/>
      <c r="Y51" s="411"/>
      <c r="Z51" s="411"/>
      <c r="AA51" s="409"/>
      <c r="AB51" s="409">
        <f>+AB47</f>
        <v>15906484.848484848</v>
      </c>
      <c r="AC51" s="409" t="e">
        <f>+AC50*$AC$11/$AC$10</f>
        <v>#VALUE!</v>
      </c>
      <c r="AD51" s="409" t="e">
        <f>+AD50*$AD$11/$AD$10</f>
        <v>#VALUE!</v>
      </c>
      <c r="AE51" s="409" t="e">
        <f>+AE50*$AE$11/$AE$10</f>
        <v>#VALUE!</v>
      </c>
      <c r="AF51" s="731"/>
      <c r="AG51" s="823"/>
      <c r="AH51" s="731"/>
      <c r="AI51" s="731"/>
      <c r="AJ51" s="731"/>
      <c r="AK51" s="731"/>
      <c r="AL51" s="731"/>
      <c r="AM51" s="731"/>
      <c r="AN51" s="731"/>
      <c r="AO51" s="731"/>
      <c r="AP51" s="731"/>
      <c r="AQ51" s="731"/>
      <c r="AR51" s="731"/>
      <c r="AS51" s="731"/>
      <c r="AT51" s="731"/>
      <c r="AU51" s="731"/>
      <c r="AV51" s="731"/>
      <c r="AW51" s="731"/>
      <c r="AX51" s="731"/>
      <c r="AY51" s="427"/>
    </row>
    <row r="52" spans="1:51" ht="18" hidden="1" customHeight="1" x14ac:dyDescent="0.25">
      <c r="A52" s="829"/>
      <c r="B52" s="710"/>
      <c r="C52" s="818" t="s">
        <v>682</v>
      </c>
      <c r="D52" s="413" t="s">
        <v>340</v>
      </c>
      <c r="E52" s="179"/>
      <c r="F52" s="180"/>
      <c r="G52" s="174"/>
      <c r="H52" s="174"/>
      <c r="I52" s="174"/>
      <c r="J52" s="410"/>
      <c r="K52" s="409"/>
      <c r="L52" s="410"/>
      <c r="M52" s="415"/>
      <c r="N52" s="410"/>
      <c r="O52" s="410"/>
      <c r="P52" s="410"/>
      <c r="Q52" s="410"/>
      <c r="R52" s="416"/>
      <c r="S52" s="411"/>
      <c r="T52" s="167"/>
      <c r="U52" s="167"/>
      <c r="V52" s="167"/>
      <c r="W52" s="415"/>
      <c r="X52" s="411"/>
      <c r="Y52" s="411"/>
      <c r="Z52" s="411"/>
      <c r="AA52" s="409"/>
      <c r="AB52" s="419"/>
      <c r="AC52" s="401"/>
      <c r="AD52" s="409"/>
      <c r="AE52" s="420"/>
      <c r="AF52" s="426"/>
      <c r="AG52" s="913" t="s">
        <v>682</v>
      </c>
      <c r="AH52" s="813" t="s">
        <v>633</v>
      </c>
      <c r="AI52" s="813" t="s">
        <v>633</v>
      </c>
      <c r="AJ52" s="914" t="s">
        <v>1163</v>
      </c>
      <c r="AK52" s="813" t="s">
        <v>457</v>
      </c>
      <c r="AL52" s="813" t="s">
        <v>178</v>
      </c>
      <c r="AM52" s="813" t="s">
        <v>1136</v>
      </c>
      <c r="AN52" s="909">
        <v>22438</v>
      </c>
      <c r="AO52" s="910">
        <v>181364</v>
      </c>
      <c r="AP52" s="910">
        <v>191238</v>
      </c>
      <c r="AQ52" s="911" t="s">
        <v>459</v>
      </c>
      <c r="AR52" s="911" t="s">
        <v>459</v>
      </c>
      <c r="AS52" s="911" t="s">
        <v>459</v>
      </c>
      <c r="AT52" s="911" t="s">
        <v>459</v>
      </c>
      <c r="AU52" s="915" t="s">
        <v>459</v>
      </c>
      <c r="AV52" s="915" t="s">
        <v>459</v>
      </c>
      <c r="AW52" s="915" t="s">
        <v>459</v>
      </c>
      <c r="AX52" s="910">
        <v>22438</v>
      </c>
      <c r="AY52" s="427"/>
    </row>
    <row r="53" spans="1:51" ht="18.75" hidden="1" customHeight="1" x14ac:dyDescent="0.25">
      <c r="A53" s="829"/>
      <c r="B53" s="710"/>
      <c r="C53" s="710"/>
      <c r="D53" s="404" t="s">
        <v>343</v>
      </c>
      <c r="E53" s="179"/>
      <c r="F53" s="180"/>
      <c r="G53" s="174"/>
      <c r="H53" s="174"/>
      <c r="I53" s="174"/>
      <c r="J53" s="410"/>
      <c r="K53" s="409"/>
      <c r="L53" s="410"/>
      <c r="M53" s="415"/>
      <c r="N53" s="410"/>
      <c r="O53" s="410"/>
      <c r="P53" s="410"/>
      <c r="Q53" s="410"/>
      <c r="R53" s="416"/>
      <c r="S53" s="411"/>
      <c r="T53" s="167"/>
      <c r="U53" s="167"/>
      <c r="V53" s="167"/>
      <c r="W53" s="415"/>
      <c r="X53" s="411"/>
      <c r="Y53" s="411"/>
      <c r="Z53" s="411"/>
      <c r="AA53" s="409"/>
      <c r="AB53" s="419"/>
      <c r="AC53" s="401"/>
      <c r="AD53" s="409"/>
      <c r="AE53" s="420"/>
      <c r="AF53" s="426"/>
      <c r="AG53" s="829"/>
      <c r="AH53" s="710"/>
      <c r="AI53" s="710"/>
      <c r="AJ53" s="710"/>
      <c r="AK53" s="710"/>
      <c r="AL53" s="710"/>
      <c r="AM53" s="710"/>
      <c r="AN53" s="710"/>
      <c r="AO53" s="710"/>
      <c r="AP53" s="710"/>
      <c r="AQ53" s="710"/>
      <c r="AR53" s="710"/>
      <c r="AS53" s="710"/>
      <c r="AT53" s="710"/>
      <c r="AU53" s="710"/>
      <c r="AV53" s="710"/>
      <c r="AW53" s="710"/>
      <c r="AX53" s="710"/>
      <c r="AY53" s="427"/>
    </row>
    <row r="54" spans="1:51" ht="27.75" hidden="1" customHeight="1" x14ac:dyDescent="0.25">
      <c r="A54" s="829"/>
      <c r="B54" s="710"/>
      <c r="C54" s="710"/>
      <c r="D54" s="408" t="s">
        <v>345</v>
      </c>
      <c r="E54" s="179"/>
      <c r="F54" s="180"/>
      <c r="G54" s="174"/>
      <c r="H54" s="174"/>
      <c r="I54" s="174"/>
      <c r="J54" s="410"/>
      <c r="K54" s="409"/>
      <c r="L54" s="410"/>
      <c r="M54" s="415"/>
      <c r="N54" s="410"/>
      <c r="O54" s="410"/>
      <c r="P54" s="410"/>
      <c r="Q54" s="410"/>
      <c r="R54" s="416"/>
      <c r="S54" s="411"/>
      <c r="T54" s="167"/>
      <c r="U54" s="167"/>
      <c r="V54" s="167"/>
      <c r="W54" s="415"/>
      <c r="X54" s="411"/>
      <c r="Y54" s="411"/>
      <c r="Z54" s="411"/>
      <c r="AA54" s="409"/>
      <c r="AB54" s="419"/>
      <c r="AC54" s="401"/>
      <c r="AD54" s="409"/>
      <c r="AE54" s="420"/>
      <c r="AF54" s="426"/>
      <c r="AG54" s="829"/>
      <c r="AH54" s="710"/>
      <c r="AI54" s="710"/>
      <c r="AJ54" s="710"/>
      <c r="AK54" s="710"/>
      <c r="AL54" s="710"/>
      <c r="AM54" s="710"/>
      <c r="AN54" s="710"/>
      <c r="AO54" s="710"/>
      <c r="AP54" s="710"/>
      <c r="AQ54" s="710"/>
      <c r="AR54" s="710"/>
      <c r="AS54" s="710"/>
      <c r="AT54" s="710"/>
      <c r="AU54" s="710"/>
      <c r="AV54" s="710"/>
      <c r="AW54" s="710"/>
      <c r="AX54" s="710"/>
      <c r="AY54" s="427"/>
    </row>
    <row r="55" spans="1:51" ht="27.75" hidden="1" customHeight="1" x14ac:dyDescent="0.25">
      <c r="A55" s="829"/>
      <c r="B55" s="710"/>
      <c r="C55" s="710"/>
      <c r="D55" s="404" t="s">
        <v>346</v>
      </c>
      <c r="E55" s="179"/>
      <c r="F55" s="180"/>
      <c r="G55" s="174"/>
      <c r="H55" s="174"/>
      <c r="I55" s="174"/>
      <c r="J55" s="410"/>
      <c r="K55" s="409"/>
      <c r="L55" s="410"/>
      <c r="M55" s="415"/>
      <c r="N55" s="410"/>
      <c r="O55" s="410"/>
      <c r="P55" s="410"/>
      <c r="Q55" s="410"/>
      <c r="R55" s="416"/>
      <c r="S55" s="411"/>
      <c r="T55" s="167"/>
      <c r="U55" s="167"/>
      <c r="V55" s="167"/>
      <c r="W55" s="415"/>
      <c r="X55" s="411"/>
      <c r="Y55" s="411"/>
      <c r="Z55" s="411"/>
      <c r="AA55" s="409"/>
      <c r="AB55" s="419"/>
      <c r="AC55" s="401"/>
      <c r="AD55" s="409"/>
      <c r="AE55" s="420"/>
      <c r="AF55" s="426"/>
      <c r="AG55" s="829"/>
      <c r="AH55" s="710"/>
      <c r="AI55" s="710"/>
      <c r="AJ55" s="710"/>
      <c r="AK55" s="710"/>
      <c r="AL55" s="710"/>
      <c r="AM55" s="710"/>
      <c r="AN55" s="710"/>
      <c r="AO55" s="710"/>
      <c r="AP55" s="710"/>
      <c r="AQ55" s="710"/>
      <c r="AR55" s="710"/>
      <c r="AS55" s="710"/>
      <c r="AT55" s="710"/>
      <c r="AU55" s="710"/>
      <c r="AV55" s="710"/>
      <c r="AW55" s="710"/>
      <c r="AX55" s="710"/>
      <c r="AY55" s="427"/>
    </row>
    <row r="56" spans="1:51" ht="27.75" hidden="1" customHeight="1" x14ac:dyDescent="0.25">
      <c r="A56" s="829"/>
      <c r="B56" s="710"/>
      <c r="C56" s="710"/>
      <c r="D56" s="408" t="s">
        <v>347</v>
      </c>
      <c r="E56" s="179"/>
      <c r="F56" s="180"/>
      <c r="G56" s="174"/>
      <c r="H56" s="174"/>
      <c r="I56" s="174"/>
      <c r="J56" s="410"/>
      <c r="K56" s="409"/>
      <c r="L56" s="410"/>
      <c r="M56" s="415"/>
      <c r="N56" s="410"/>
      <c r="O56" s="410"/>
      <c r="P56" s="410"/>
      <c r="Q56" s="410"/>
      <c r="R56" s="416"/>
      <c r="S56" s="411"/>
      <c r="T56" s="167"/>
      <c r="U56" s="167"/>
      <c r="V56" s="167"/>
      <c r="W56" s="415"/>
      <c r="X56" s="411"/>
      <c r="Y56" s="411"/>
      <c r="Z56" s="411"/>
      <c r="AA56" s="409"/>
      <c r="AB56" s="419"/>
      <c r="AC56" s="401"/>
      <c r="AD56" s="409"/>
      <c r="AE56" s="420"/>
      <c r="AF56" s="426"/>
      <c r="AG56" s="829"/>
      <c r="AH56" s="710"/>
      <c r="AI56" s="710"/>
      <c r="AJ56" s="710"/>
      <c r="AK56" s="710"/>
      <c r="AL56" s="710"/>
      <c r="AM56" s="710"/>
      <c r="AN56" s="710"/>
      <c r="AO56" s="710"/>
      <c r="AP56" s="710"/>
      <c r="AQ56" s="710"/>
      <c r="AR56" s="710"/>
      <c r="AS56" s="710"/>
      <c r="AT56" s="710"/>
      <c r="AU56" s="710"/>
      <c r="AV56" s="710"/>
      <c r="AW56" s="710"/>
      <c r="AX56" s="710"/>
      <c r="AY56" s="427"/>
    </row>
    <row r="57" spans="1:51" ht="27.75" hidden="1" customHeight="1" x14ac:dyDescent="0.25">
      <c r="A57" s="829"/>
      <c r="B57" s="710"/>
      <c r="C57" s="731"/>
      <c r="D57" s="412" t="s">
        <v>348</v>
      </c>
      <c r="E57" s="179"/>
      <c r="F57" s="180"/>
      <c r="G57" s="174"/>
      <c r="H57" s="174"/>
      <c r="I57" s="174"/>
      <c r="J57" s="410"/>
      <c r="K57" s="409"/>
      <c r="L57" s="410"/>
      <c r="M57" s="415"/>
      <c r="N57" s="410"/>
      <c r="O57" s="410"/>
      <c r="P57" s="410"/>
      <c r="Q57" s="410"/>
      <c r="R57" s="416"/>
      <c r="S57" s="411"/>
      <c r="T57" s="167"/>
      <c r="U57" s="167"/>
      <c r="V57" s="167"/>
      <c r="W57" s="415"/>
      <c r="X57" s="411"/>
      <c r="Y57" s="411"/>
      <c r="Z57" s="411"/>
      <c r="AA57" s="409"/>
      <c r="AB57" s="419"/>
      <c r="AC57" s="401"/>
      <c r="AD57" s="409"/>
      <c r="AE57" s="420"/>
      <c r="AF57" s="426"/>
      <c r="AG57" s="823"/>
      <c r="AH57" s="731"/>
      <c r="AI57" s="731"/>
      <c r="AJ57" s="731"/>
      <c r="AK57" s="731"/>
      <c r="AL57" s="731"/>
      <c r="AM57" s="731"/>
      <c r="AN57" s="731"/>
      <c r="AO57" s="731"/>
      <c r="AP57" s="731"/>
      <c r="AQ57" s="731"/>
      <c r="AR57" s="731"/>
      <c r="AS57" s="731"/>
      <c r="AT57" s="731"/>
      <c r="AU57" s="731"/>
      <c r="AV57" s="731"/>
      <c r="AW57" s="731"/>
      <c r="AX57" s="731"/>
      <c r="AY57" s="427"/>
    </row>
    <row r="58" spans="1:51" ht="18" hidden="1" customHeight="1" x14ac:dyDescent="0.25">
      <c r="A58" s="829"/>
      <c r="B58" s="710"/>
      <c r="C58" s="818" t="s">
        <v>646</v>
      </c>
      <c r="D58" s="413" t="s">
        <v>340</v>
      </c>
      <c r="E58" s="179"/>
      <c r="F58" s="180"/>
      <c r="G58" s="174"/>
      <c r="H58" s="174"/>
      <c r="I58" s="174"/>
      <c r="J58" s="410"/>
      <c r="K58" s="409"/>
      <c r="L58" s="410"/>
      <c r="M58" s="415"/>
      <c r="N58" s="410"/>
      <c r="O58" s="410">
        <v>1</v>
      </c>
      <c r="P58" s="410">
        <v>1</v>
      </c>
      <c r="Q58" s="410">
        <v>1</v>
      </c>
      <c r="R58" s="416">
        <v>1</v>
      </c>
      <c r="S58" s="411"/>
      <c r="T58" s="167"/>
      <c r="U58" s="167"/>
      <c r="V58" s="167"/>
      <c r="W58" s="415"/>
      <c r="X58" s="411"/>
      <c r="Y58" s="411"/>
      <c r="Z58" s="411"/>
      <c r="AA58" s="409"/>
      <c r="AB58" s="419">
        <v>1</v>
      </c>
      <c r="AC58" s="401">
        <v>1</v>
      </c>
      <c r="AD58" s="409">
        <v>1</v>
      </c>
      <c r="AE58" s="420">
        <v>1</v>
      </c>
      <c r="AF58" s="426"/>
      <c r="AG58" s="913" t="s">
        <v>646</v>
      </c>
      <c r="AH58" s="813" t="s">
        <v>1164</v>
      </c>
      <c r="AI58" s="813" t="s">
        <v>1165</v>
      </c>
      <c r="AJ58" s="914" t="s">
        <v>1149</v>
      </c>
      <c r="AK58" s="813" t="s">
        <v>457</v>
      </c>
      <c r="AL58" s="813" t="s">
        <v>1166</v>
      </c>
      <c r="AM58" s="813" t="s">
        <v>1136</v>
      </c>
      <c r="AN58" s="909">
        <v>186383</v>
      </c>
      <c r="AO58" s="910">
        <v>86612</v>
      </c>
      <c r="AP58" s="910">
        <v>92493</v>
      </c>
      <c r="AQ58" s="911" t="s">
        <v>459</v>
      </c>
      <c r="AR58" s="911" t="s">
        <v>459</v>
      </c>
      <c r="AS58" s="911" t="s">
        <v>459</v>
      </c>
      <c r="AT58" s="911" t="s">
        <v>459</v>
      </c>
      <c r="AU58" s="915" t="s">
        <v>459</v>
      </c>
      <c r="AV58" s="915" t="s">
        <v>459</v>
      </c>
      <c r="AW58" s="915" t="s">
        <v>459</v>
      </c>
      <c r="AX58" s="910">
        <v>186383</v>
      </c>
      <c r="AY58" s="427"/>
    </row>
    <row r="59" spans="1:51" ht="18" hidden="1" customHeight="1" x14ac:dyDescent="0.25">
      <c r="A59" s="829"/>
      <c r="B59" s="710"/>
      <c r="C59" s="710"/>
      <c r="D59" s="404" t="s">
        <v>343</v>
      </c>
      <c r="E59" s="179"/>
      <c r="F59" s="180"/>
      <c r="G59" s="174"/>
      <c r="H59" s="174"/>
      <c r="I59" s="174"/>
      <c r="J59" s="410"/>
      <c r="K59" s="409"/>
      <c r="L59" s="410"/>
      <c r="M59" s="415"/>
      <c r="N59" s="410"/>
      <c r="O59" s="410">
        <f>+O58*$O$11/$O$10</f>
        <v>5482727.2727272725</v>
      </c>
      <c r="P59" s="410" t="e">
        <f>+P58*$P$11/$P$10</f>
        <v>#VALUE!</v>
      </c>
      <c r="Q59" s="410" t="e">
        <f>+Q58*$Q$11/$Q$10</f>
        <v>#VALUE!</v>
      </c>
      <c r="R59" s="410" t="e">
        <f>+R58*$R$11/$R$10</f>
        <v>#VALUE!</v>
      </c>
      <c r="S59" s="411"/>
      <c r="T59" s="167"/>
      <c r="U59" s="167"/>
      <c r="V59" s="167"/>
      <c r="W59" s="415"/>
      <c r="X59" s="411"/>
      <c r="Y59" s="411"/>
      <c r="Z59" s="411"/>
      <c r="AA59" s="409"/>
      <c r="AB59" s="409">
        <f>+AB58*$AB$11/$AB$10</f>
        <v>7953242.4242424238</v>
      </c>
      <c r="AC59" s="409" t="e">
        <f>+AC58*$AC$11/$AC$10</f>
        <v>#VALUE!</v>
      </c>
      <c r="AD59" s="409" t="e">
        <f>+AD58*$AD$11/$AD$10</f>
        <v>#VALUE!</v>
      </c>
      <c r="AE59" s="409" t="e">
        <f>+AE58*$AE$11/$AE$10</f>
        <v>#VALUE!</v>
      </c>
      <c r="AF59" s="426"/>
      <c r="AG59" s="829"/>
      <c r="AH59" s="710"/>
      <c r="AI59" s="710"/>
      <c r="AJ59" s="710"/>
      <c r="AK59" s="710"/>
      <c r="AL59" s="710"/>
      <c r="AM59" s="710"/>
      <c r="AN59" s="710"/>
      <c r="AO59" s="710"/>
      <c r="AP59" s="710"/>
      <c r="AQ59" s="710"/>
      <c r="AR59" s="710"/>
      <c r="AS59" s="710"/>
      <c r="AT59" s="710"/>
      <c r="AU59" s="710"/>
      <c r="AV59" s="710"/>
      <c r="AW59" s="710"/>
      <c r="AX59" s="710"/>
      <c r="AY59" s="427"/>
    </row>
    <row r="60" spans="1:51" ht="27" hidden="1" customHeight="1" x14ac:dyDescent="0.25">
      <c r="A60" s="829"/>
      <c r="B60" s="710"/>
      <c r="C60" s="710"/>
      <c r="D60" s="408" t="s">
        <v>345</v>
      </c>
      <c r="E60" s="179"/>
      <c r="F60" s="180"/>
      <c r="G60" s="174"/>
      <c r="H60" s="174"/>
      <c r="I60" s="174"/>
      <c r="J60" s="410"/>
      <c r="K60" s="409"/>
      <c r="L60" s="410"/>
      <c r="M60" s="415"/>
      <c r="N60" s="410"/>
      <c r="O60" s="410"/>
      <c r="P60" s="410"/>
      <c r="Q60" s="410"/>
      <c r="R60" s="416"/>
      <c r="S60" s="411"/>
      <c r="T60" s="167"/>
      <c r="U60" s="167"/>
      <c r="V60" s="167"/>
      <c r="W60" s="415"/>
      <c r="X60" s="411"/>
      <c r="Y60" s="411"/>
      <c r="Z60" s="411"/>
      <c r="AA60" s="409"/>
      <c r="AB60" s="419"/>
      <c r="AC60" s="401"/>
      <c r="AD60" s="409"/>
      <c r="AE60" s="420"/>
      <c r="AF60" s="426"/>
      <c r="AG60" s="829"/>
      <c r="AH60" s="710"/>
      <c r="AI60" s="710"/>
      <c r="AJ60" s="710"/>
      <c r="AK60" s="710"/>
      <c r="AL60" s="710"/>
      <c r="AM60" s="710"/>
      <c r="AN60" s="710"/>
      <c r="AO60" s="710"/>
      <c r="AP60" s="710"/>
      <c r="AQ60" s="710"/>
      <c r="AR60" s="710"/>
      <c r="AS60" s="710"/>
      <c r="AT60" s="710"/>
      <c r="AU60" s="710"/>
      <c r="AV60" s="710"/>
      <c r="AW60" s="710"/>
      <c r="AX60" s="710"/>
      <c r="AY60" s="427"/>
    </row>
    <row r="61" spans="1:51" ht="27" hidden="1" customHeight="1" x14ac:dyDescent="0.25">
      <c r="A61" s="829"/>
      <c r="B61" s="710"/>
      <c r="C61" s="710"/>
      <c r="D61" s="404" t="s">
        <v>346</v>
      </c>
      <c r="E61" s="179"/>
      <c r="F61" s="180"/>
      <c r="G61" s="174"/>
      <c r="H61" s="174"/>
      <c r="I61" s="174"/>
      <c r="J61" s="410"/>
      <c r="K61" s="409"/>
      <c r="L61" s="410"/>
      <c r="M61" s="415"/>
      <c r="N61" s="410"/>
      <c r="O61" s="410"/>
      <c r="P61" s="410"/>
      <c r="Q61" s="410"/>
      <c r="R61" s="416"/>
      <c r="S61" s="411"/>
      <c r="T61" s="167"/>
      <c r="U61" s="167"/>
      <c r="V61" s="167"/>
      <c r="W61" s="415"/>
      <c r="X61" s="411"/>
      <c r="Y61" s="411"/>
      <c r="Z61" s="411"/>
      <c r="AA61" s="409"/>
      <c r="AB61" s="419"/>
      <c r="AC61" s="401"/>
      <c r="AD61" s="409"/>
      <c r="AE61" s="420"/>
      <c r="AF61" s="426"/>
      <c r="AG61" s="829"/>
      <c r="AH61" s="710"/>
      <c r="AI61" s="710"/>
      <c r="AJ61" s="710"/>
      <c r="AK61" s="710"/>
      <c r="AL61" s="710"/>
      <c r="AM61" s="710"/>
      <c r="AN61" s="710"/>
      <c r="AO61" s="710"/>
      <c r="AP61" s="710"/>
      <c r="AQ61" s="710"/>
      <c r="AR61" s="710"/>
      <c r="AS61" s="710"/>
      <c r="AT61" s="710"/>
      <c r="AU61" s="710"/>
      <c r="AV61" s="710"/>
      <c r="AW61" s="710"/>
      <c r="AX61" s="710"/>
      <c r="AY61" s="427"/>
    </row>
    <row r="62" spans="1:51" ht="27" hidden="1" customHeight="1" x14ac:dyDescent="0.25">
      <c r="A62" s="829"/>
      <c r="B62" s="710"/>
      <c r="C62" s="710"/>
      <c r="D62" s="408" t="s">
        <v>347</v>
      </c>
      <c r="E62" s="179"/>
      <c r="F62" s="180"/>
      <c r="G62" s="174"/>
      <c r="H62" s="174"/>
      <c r="I62" s="174"/>
      <c r="J62" s="410"/>
      <c r="K62" s="409"/>
      <c r="L62" s="410"/>
      <c r="M62" s="415"/>
      <c r="N62" s="410"/>
      <c r="O62" s="410">
        <f>+O58</f>
        <v>1</v>
      </c>
      <c r="P62" s="410">
        <v>1</v>
      </c>
      <c r="Q62" s="410">
        <v>1</v>
      </c>
      <c r="R62" s="416">
        <v>1</v>
      </c>
      <c r="S62" s="411"/>
      <c r="T62" s="167"/>
      <c r="U62" s="167"/>
      <c r="V62" s="167"/>
      <c r="W62" s="415"/>
      <c r="X62" s="411"/>
      <c r="Y62" s="411"/>
      <c r="Z62" s="411"/>
      <c r="AA62" s="409"/>
      <c r="AB62" s="409">
        <f>+AB58</f>
        <v>1</v>
      </c>
      <c r="AC62" s="401">
        <v>1</v>
      </c>
      <c r="AD62" s="409">
        <v>1</v>
      </c>
      <c r="AE62" s="420">
        <v>1</v>
      </c>
      <c r="AF62" s="426"/>
      <c r="AG62" s="829"/>
      <c r="AH62" s="710"/>
      <c r="AI62" s="710"/>
      <c r="AJ62" s="710"/>
      <c r="AK62" s="710"/>
      <c r="AL62" s="710"/>
      <c r="AM62" s="710"/>
      <c r="AN62" s="710"/>
      <c r="AO62" s="710"/>
      <c r="AP62" s="710"/>
      <c r="AQ62" s="710"/>
      <c r="AR62" s="710"/>
      <c r="AS62" s="710"/>
      <c r="AT62" s="710"/>
      <c r="AU62" s="710"/>
      <c r="AV62" s="710"/>
      <c r="AW62" s="710"/>
      <c r="AX62" s="710"/>
      <c r="AY62" s="427"/>
    </row>
    <row r="63" spans="1:51" ht="27.75" hidden="1" customHeight="1" x14ac:dyDescent="0.25">
      <c r="A63" s="829"/>
      <c r="B63" s="710"/>
      <c r="C63" s="731"/>
      <c r="D63" s="412" t="s">
        <v>348</v>
      </c>
      <c r="E63" s="179"/>
      <c r="F63" s="180"/>
      <c r="G63" s="174"/>
      <c r="H63" s="174"/>
      <c r="I63" s="174"/>
      <c r="J63" s="410"/>
      <c r="K63" s="409"/>
      <c r="L63" s="410"/>
      <c r="M63" s="415"/>
      <c r="N63" s="410"/>
      <c r="O63" s="410">
        <f>+O59</f>
        <v>5482727.2727272725</v>
      </c>
      <c r="P63" s="410" t="e">
        <f>+P62*$P$11/$P$10</f>
        <v>#VALUE!</v>
      </c>
      <c r="Q63" s="410" t="e">
        <f>+Q62*$Q$11/$Q$10</f>
        <v>#VALUE!</v>
      </c>
      <c r="R63" s="410" t="e">
        <f>+R62*$R$11/$R$10</f>
        <v>#VALUE!</v>
      </c>
      <c r="S63" s="411"/>
      <c r="T63" s="167"/>
      <c r="U63" s="167"/>
      <c r="V63" s="167"/>
      <c r="W63" s="415"/>
      <c r="X63" s="411"/>
      <c r="Y63" s="411"/>
      <c r="Z63" s="411"/>
      <c r="AA63" s="409"/>
      <c r="AB63" s="409">
        <f>+AB59</f>
        <v>7953242.4242424238</v>
      </c>
      <c r="AC63" s="409" t="e">
        <f>+AC62*$AC$11/$AC$10</f>
        <v>#VALUE!</v>
      </c>
      <c r="AD63" s="409" t="e">
        <f>+AD62*$AD$11/$AD$10</f>
        <v>#VALUE!</v>
      </c>
      <c r="AE63" s="409" t="e">
        <f>+AE62*$AE$11/$AE$10</f>
        <v>#VALUE!</v>
      </c>
      <c r="AF63" s="426"/>
      <c r="AG63" s="823"/>
      <c r="AH63" s="731"/>
      <c r="AI63" s="731"/>
      <c r="AJ63" s="731"/>
      <c r="AK63" s="731"/>
      <c r="AL63" s="731"/>
      <c r="AM63" s="731"/>
      <c r="AN63" s="731"/>
      <c r="AO63" s="731"/>
      <c r="AP63" s="731"/>
      <c r="AQ63" s="731"/>
      <c r="AR63" s="731"/>
      <c r="AS63" s="731"/>
      <c r="AT63" s="731"/>
      <c r="AU63" s="731"/>
      <c r="AV63" s="731"/>
      <c r="AW63" s="731"/>
      <c r="AX63" s="731"/>
      <c r="AY63" s="427"/>
    </row>
    <row r="64" spans="1:51" ht="18" customHeight="1" x14ac:dyDescent="0.25">
      <c r="A64" s="829"/>
      <c r="B64" s="710"/>
      <c r="C64" s="818" t="s">
        <v>649</v>
      </c>
      <c r="D64" s="413" t="s">
        <v>340</v>
      </c>
      <c r="E64" s="179"/>
      <c r="F64" s="180"/>
      <c r="G64" s="174">
        <v>1</v>
      </c>
      <c r="H64" s="174">
        <v>1</v>
      </c>
      <c r="I64" s="174">
        <v>1</v>
      </c>
      <c r="J64" s="410">
        <v>2</v>
      </c>
      <c r="K64" s="414">
        <v>2</v>
      </c>
      <c r="L64" s="410"/>
      <c r="M64" s="415">
        <v>2</v>
      </c>
      <c r="N64" s="410">
        <v>3</v>
      </c>
      <c r="O64" s="410">
        <v>5</v>
      </c>
      <c r="P64" s="410">
        <v>6</v>
      </c>
      <c r="Q64" s="410">
        <v>6</v>
      </c>
      <c r="R64" s="416">
        <v>6</v>
      </c>
      <c r="S64" s="411"/>
      <c r="T64" s="167">
        <v>1</v>
      </c>
      <c r="U64" s="167">
        <v>1</v>
      </c>
      <c r="V64" s="167">
        <v>1</v>
      </c>
      <c r="W64" s="417">
        <v>2</v>
      </c>
      <c r="X64" s="418">
        <v>2</v>
      </c>
      <c r="Y64" s="411"/>
      <c r="Z64" s="411">
        <v>2</v>
      </c>
      <c r="AA64" s="409">
        <v>3</v>
      </c>
      <c r="AB64" s="419">
        <v>5</v>
      </c>
      <c r="AC64" s="401">
        <v>6</v>
      </c>
      <c r="AD64" s="409">
        <v>6</v>
      </c>
      <c r="AE64" s="420">
        <v>6</v>
      </c>
      <c r="AF64" s="916" t="s">
        <v>1167</v>
      </c>
      <c r="AG64" s="913" t="s">
        <v>649</v>
      </c>
      <c r="AH64" s="813" t="s">
        <v>1168</v>
      </c>
      <c r="AI64" s="813" t="s">
        <v>1169</v>
      </c>
      <c r="AJ64" s="914" t="s">
        <v>1135</v>
      </c>
      <c r="AK64" s="813" t="s">
        <v>457</v>
      </c>
      <c r="AL64" s="813" t="s">
        <v>1170</v>
      </c>
      <c r="AM64" s="813" t="s">
        <v>1136</v>
      </c>
      <c r="AN64" s="909">
        <v>735606</v>
      </c>
      <c r="AO64" s="910">
        <v>354354</v>
      </c>
      <c r="AP64" s="910">
        <v>381252</v>
      </c>
      <c r="AQ64" s="911" t="s">
        <v>459</v>
      </c>
      <c r="AR64" s="911" t="s">
        <v>459</v>
      </c>
      <c r="AS64" s="911" t="s">
        <v>459</v>
      </c>
      <c r="AT64" s="911" t="s">
        <v>459</v>
      </c>
      <c r="AU64" s="915" t="s">
        <v>459</v>
      </c>
      <c r="AV64" s="915" t="s">
        <v>459</v>
      </c>
      <c r="AW64" s="915" t="s">
        <v>459</v>
      </c>
      <c r="AX64" s="910">
        <v>735606</v>
      </c>
      <c r="AY64" s="427"/>
    </row>
    <row r="65" spans="1:51" ht="15.75" customHeight="1" x14ac:dyDescent="0.25">
      <c r="A65" s="829"/>
      <c r="B65" s="710"/>
      <c r="C65" s="710"/>
      <c r="D65" s="404" t="s">
        <v>343</v>
      </c>
      <c r="E65" s="179"/>
      <c r="F65" s="180"/>
      <c r="G65" s="174">
        <f>+G64*$G$11/$G$10</f>
        <v>5272055.0458715595</v>
      </c>
      <c r="H65" s="174">
        <f>+H64*$H$11/$H$10</f>
        <v>5272055.0458715595</v>
      </c>
      <c r="I65" s="174" t="e">
        <f>+I64*$I$11/$I$10</f>
        <v>#REF!</v>
      </c>
      <c r="J65" s="410" t="e">
        <f>+J64*$J$11/$J$10</f>
        <v>#REF!</v>
      </c>
      <c r="K65" s="409"/>
      <c r="L65" s="410"/>
      <c r="M65" s="421" t="e">
        <f>+M64*$M$11/$M$10</f>
        <v>#VALUE!</v>
      </c>
      <c r="N65" s="422">
        <f>+N64*$N$11/$N$10</f>
        <v>16448181.818181818</v>
      </c>
      <c r="O65" s="410">
        <f>+O64*$O$11/$O$10</f>
        <v>27413636.363636363</v>
      </c>
      <c r="P65" s="410" t="e">
        <f>+P64*$P$11/$P$10</f>
        <v>#VALUE!</v>
      </c>
      <c r="Q65" s="410" t="e">
        <f>+Q64*$Q$11/$Q$10</f>
        <v>#VALUE!</v>
      </c>
      <c r="R65" s="410" t="e">
        <f>+R64*$R$11/$R$10</f>
        <v>#VALUE!</v>
      </c>
      <c r="S65" s="411"/>
      <c r="T65" s="174">
        <f>+T64*$T$11/$T$10</f>
        <v>0</v>
      </c>
      <c r="U65" s="174">
        <f>+U64*$U$11/$U$10</f>
        <v>23726153.846153848</v>
      </c>
      <c r="V65" s="423" t="e">
        <f>+V64*$V$11/$V$10</f>
        <v>#REF!</v>
      </c>
      <c r="W65" s="410" t="e">
        <f>+W64*$W$11/$W$10</f>
        <v>#REF!</v>
      </c>
      <c r="X65" s="411"/>
      <c r="Y65" s="411"/>
      <c r="Z65" s="424">
        <f>+Z64*$Z$11/$Z$10</f>
        <v>25560000</v>
      </c>
      <c r="AA65" s="425">
        <f>+AA64*$AA$11/$AA$10</f>
        <v>35789590.909090906</v>
      </c>
      <c r="AB65" s="409">
        <f>+AB64*$AB$11/$AB$10</f>
        <v>39766212.121212125</v>
      </c>
      <c r="AC65" s="409" t="e">
        <f>+AC64*$AC$11/$AC$10</f>
        <v>#VALUE!</v>
      </c>
      <c r="AD65" s="409" t="e">
        <f>+AD64*$AD$11/$AD$10</f>
        <v>#VALUE!</v>
      </c>
      <c r="AE65" s="409" t="e">
        <f>+AE64*$AE$11/$AE$10</f>
        <v>#VALUE!</v>
      </c>
      <c r="AF65" s="710"/>
      <c r="AG65" s="829"/>
      <c r="AH65" s="710"/>
      <c r="AI65" s="710"/>
      <c r="AJ65" s="710"/>
      <c r="AK65" s="710"/>
      <c r="AL65" s="710"/>
      <c r="AM65" s="710"/>
      <c r="AN65" s="710"/>
      <c r="AO65" s="710"/>
      <c r="AP65" s="710"/>
      <c r="AQ65" s="710"/>
      <c r="AR65" s="710"/>
      <c r="AS65" s="710"/>
      <c r="AT65" s="710"/>
      <c r="AU65" s="710"/>
      <c r="AV65" s="710"/>
      <c r="AW65" s="710"/>
      <c r="AX65" s="710"/>
      <c r="AY65" s="427"/>
    </row>
    <row r="66" spans="1:51" ht="15.75" customHeight="1" x14ac:dyDescent="0.25">
      <c r="A66" s="829"/>
      <c r="B66" s="710"/>
      <c r="C66" s="710"/>
      <c r="D66" s="408" t="s">
        <v>345</v>
      </c>
      <c r="E66" s="179"/>
      <c r="F66" s="180"/>
      <c r="G66" s="174"/>
      <c r="H66" s="174"/>
      <c r="I66" s="174"/>
      <c r="J66" s="410"/>
      <c r="K66" s="409"/>
      <c r="L66" s="410"/>
      <c r="M66" s="415"/>
      <c r="N66" s="410"/>
      <c r="O66" s="410"/>
      <c r="P66" s="410"/>
      <c r="Q66" s="410"/>
      <c r="R66" s="416"/>
      <c r="S66" s="411"/>
      <c r="T66" s="167"/>
      <c r="U66" s="167"/>
      <c r="V66" s="167"/>
      <c r="W66" s="415"/>
      <c r="X66" s="411"/>
      <c r="Y66" s="411"/>
      <c r="Z66" s="411"/>
      <c r="AA66" s="409"/>
      <c r="AB66" s="419"/>
      <c r="AC66" s="401"/>
      <c r="AD66" s="409"/>
      <c r="AE66" s="420"/>
      <c r="AF66" s="710"/>
      <c r="AG66" s="829"/>
      <c r="AH66" s="710"/>
      <c r="AI66" s="710"/>
      <c r="AJ66" s="710"/>
      <c r="AK66" s="710"/>
      <c r="AL66" s="710"/>
      <c r="AM66" s="710"/>
      <c r="AN66" s="710"/>
      <c r="AO66" s="710"/>
      <c r="AP66" s="710"/>
      <c r="AQ66" s="710"/>
      <c r="AR66" s="710"/>
      <c r="AS66" s="710"/>
      <c r="AT66" s="710"/>
      <c r="AU66" s="710"/>
      <c r="AV66" s="710"/>
      <c r="AW66" s="710"/>
      <c r="AX66" s="710"/>
      <c r="AY66" s="427"/>
    </row>
    <row r="67" spans="1:51" ht="15.75" customHeight="1" x14ac:dyDescent="0.25">
      <c r="A67" s="829"/>
      <c r="B67" s="710"/>
      <c r="C67" s="710"/>
      <c r="D67" s="404" t="s">
        <v>346</v>
      </c>
      <c r="E67" s="179"/>
      <c r="F67" s="180"/>
      <c r="G67" s="174"/>
      <c r="H67" s="174"/>
      <c r="I67" s="174"/>
      <c r="J67" s="410"/>
      <c r="K67" s="409"/>
      <c r="L67" s="410"/>
      <c r="M67" s="415"/>
      <c r="N67" s="410"/>
      <c r="O67" s="410"/>
      <c r="P67" s="410"/>
      <c r="Q67" s="410"/>
      <c r="R67" s="416"/>
      <c r="S67" s="411"/>
      <c r="T67" s="174">
        <f>+T64*$T$13/$T$10</f>
        <v>1355400</v>
      </c>
      <c r="U67" s="395">
        <f>($U$13/5)</f>
        <v>14532248.6</v>
      </c>
      <c r="V67" s="167"/>
      <c r="W67" s="415"/>
      <c r="X67" s="411"/>
      <c r="Y67" s="411"/>
      <c r="Z67" s="411"/>
      <c r="AA67" s="409"/>
      <c r="AB67" s="419"/>
      <c r="AC67" s="401"/>
      <c r="AD67" s="409"/>
      <c r="AE67" s="420"/>
      <c r="AF67" s="710"/>
      <c r="AG67" s="829"/>
      <c r="AH67" s="710"/>
      <c r="AI67" s="710"/>
      <c r="AJ67" s="710"/>
      <c r="AK67" s="710"/>
      <c r="AL67" s="710"/>
      <c r="AM67" s="710"/>
      <c r="AN67" s="710"/>
      <c r="AO67" s="710"/>
      <c r="AP67" s="710"/>
      <c r="AQ67" s="710"/>
      <c r="AR67" s="710"/>
      <c r="AS67" s="710"/>
      <c r="AT67" s="710"/>
      <c r="AU67" s="710"/>
      <c r="AV67" s="710"/>
      <c r="AW67" s="710"/>
      <c r="AX67" s="710"/>
      <c r="AY67" s="427"/>
    </row>
    <row r="68" spans="1:51" ht="15.75" customHeight="1" x14ac:dyDescent="0.25">
      <c r="A68" s="829"/>
      <c r="B68" s="710"/>
      <c r="C68" s="710"/>
      <c r="D68" s="408" t="s">
        <v>347</v>
      </c>
      <c r="E68" s="179"/>
      <c r="F68" s="180"/>
      <c r="G68" s="174">
        <v>1</v>
      </c>
      <c r="H68" s="174">
        <v>1</v>
      </c>
      <c r="I68" s="174">
        <v>1</v>
      </c>
      <c r="J68" s="410">
        <v>1</v>
      </c>
      <c r="K68" s="409"/>
      <c r="L68" s="410"/>
      <c r="M68" s="415"/>
      <c r="N68" s="410"/>
      <c r="O68" s="410">
        <f>+O64</f>
        <v>5</v>
      </c>
      <c r="P68" s="410">
        <v>6</v>
      </c>
      <c r="Q68" s="410">
        <v>6</v>
      </c>
      <c r="R68" s="416">
        <v>6</v>
      </c>
      <c r="S68" s="411"/>
      <c r="T68" s="167">
        <v>1</v>
      </c>
      <c r="U68" s="167">
        <v>1</v>
      </c>
      <c r="V68" s="167">
        <v>1</v>
      </c>
      <c r="W68" s="415">
        <v>2</v>
      </c>
      <c r="X68" s="411"/>
      <c r="Y68" s="411"/>
      <c r="Z68" s="411"/>
      <c r="AA68" s="409"/>
      <c r="AB68" s="409">
        <f>+AB64</f>
        <v>5</v>
      </c>
      <c r="AC68" s="401">
        <v>6</v>
      </c>
      <c r="AD68" s="409">
        <v>6</v>
      </c>
      <c r="AE68" s="420">
        <v>6</v>
      </c>
      <c r="AF68" s="710"/>
      <c r="AG68" s="829"/>
      <c r="AH68" s="710"/>
      <c r="AI68" s="710"/>
      <c r="AJ68" s="710"/>
      <c r="AK68" s="710"/>
      <c r="AL68" s="710"/>
      <c r="AM68" s="710"/>
      <c r="AN68" s="710"/>
      <c r="AO68" s="710"/>
      <c r="AP68" s="710"/>
      <c r="AQ68" s="710"/>
      <c r="AR68" s="710"/>
      <c r="AS68" s="710"/>
      <c r="AT68" s="710"/>
      <c r="AU68" s="710"/>
      <c r="AV68" s="710"/>
      <c r="AW68" s="710"/>
      <c r="AX68" s="710"/>
      <c r="AY68" s="427"/>
    </row>
    <row r="69" spans="1:51" ht="15.75" customHeight="1" x14ac:dyDescent="0.25">
      <c r="A69" s="829"/>
      <c r="B69" s="710"/>
      <c r="C69" s="731"/>
      <c r="D69" s="412" t="s">
        <v>348</v>
      </c>
      <c r="E69" s="179"/>
      <c r="F69" s="180"/>
      <c r="G69" s="174">
        <f>+G68*$G$11/$G$10</f>
        <v>5272055.0458715595</v>
      </c>
      <c r="H69" s="174">
        <f>+H68*$H$11/$H$10</f>
        <v>5272055.0458715595</v>
      </c>
      <c r="I69" s="174" t="e">
        <f>+I68*$I$11/$I$10</f>
        <v>#REF!</v>
      </c>
      <c r="J69" s="410" t="e">
        <f>+J68*$J$11/$J$10</f>
        <v>#REF!</v>
      </c>
      <c r="K69" s="409"/>
      <c r="L69" s="410"/>
      <c r="M69" s="415"/>
      <c r="N69" s="410"/>
      <c r="O69" s="410">
        <f>+O65</f>
        <v>27413636.363636363</v>
      </c>
      <c r="P69" s="410" t="e">
        <f>+P68*$P$11/$P$10</f>
        <v>#VALUE!</v>
      </c>
      <c r="Q69" s="410" t="e">
        <f>+Q68*$Q$11/$Q$10</f>
        <v>#VALUE!</v>
      </c>
      <c r="R69" s="410" t="e">
        <f>+R68*$R$11/$R$10</f>
        <v>#VALUE!</v>
      </c>
      <c r="S69" s="411"/>
      <c r="T69" s="174">
        <f>+T68*$T$11/$T$10</f>
        <v>0</v>
      </c>
      <c r="U69" s="174">
        <f>+U68*$U$11/$U$10</f>
        <v>23726153.846153848</v>
      </c>
      <c r="V69" s="423" t="e">
        <f>+V68*$V$11/$V$10</f>
        <v>#REF!</v>
      </c>
      <c r="W69" s="410" t="e">
        <f>+W68*$W$11/$W$10</f>
        <v>#REF!</v>
      </c>
      <c r="X69" s="411"/>
      <c r="Y69" s="411"/>
      <c r="Z69" s="411"/>
      <c r="AA69" s="409"/>
      <c r="AB69" s="409">
        <f>+AB65</f>
        <v>39766212.121212125</v>
      </c>
      <c r="AC69" s="409" t="e">
        <f>+AC68*$AC$11/$AC$10</f>
        <v>#VALUE!</v>
      </c>
      <c r="AD69" s="409" t="e">
        <f>+AD68*$AD$11/$AD$10</f>
        <v>#VALUE!</v>
      </c>
      <c r="AE69" s="409" t="e">
        <f>+AE68*$AE$11/$AE$10</f>
        <v>#VALUE!</v>
      </c>
      <c r="AF69" s="731"/>
      <c r="AG69" s="823"/>
      <c r="AH69" s="731"/>
      <c r="AI69" s="731"/>
      <c r="AJ69" s="731"/>
      <c r="AK69" s="731"/>
      <c r="AL69" s="731"/>
      <c r="AM69" s="731"/>
      <c r="AN69" s="731"/>
      <c r="AO69" s="731"/>
      <c r="AP69" s="731"/>
      <c r="AQ69" s="731"/>
      <c r="AR69" s="731"/>
      <c r="AS69" s="731"/>
      <c r="AT69" s="731"/>
      <c r="AU69" s="731"/>
      <c r="AV69" s="731"/>
      <c r="AW69" s="731"/>
      <c r="AX69" s="731"/>
      <c r="AY69" s="427"/>
    </row>
    <row r="70" spans="1:51" ht="18" customHeight="1" x14ac:dyDescent="0.25">
      <c r="A70" s="829"/>
      <c r="B70" s="710"/>
      <c r="C70" s="818" t="s">
        <v>526</v>
      </c>
      <c r="D70" s="413" t="s">
        <v>340</v>
      </c>
      <c r="E70" s="179"/>
      <c r="F70" s="180"/>
      <c r="G70" s="174"/>
      <c r="H70" s="174"/>
      <c r="I70" s="174">
        <v>1</v>
      </c>
      <c r="J70" s="410">
        <v>1</v>
      </c>
      <c r="K70" s="414">
        <v>1</v>
      </c>
      <c r="L70" s="410"/>
      <c r="M70" s="415"/>
      <c r="N70" s="410">
        <v>2</v>
      </c>
      <c r="O70" s="410">
        <v>3</v>
      </c>
      <c r="P70" s="410">
        <v>4</v>
      </c>
      <c r="Q70" s="410">
        <v>4</v>
      </c>
      <c r="R70" s="416">
        <v>7</v>
      </c>
      <c r="S70" s="411"/>
      <c r="T70" s="167"/>
      <c r="U70" s="167"/>
      <c r="V70" s="167">
        <v>1</v>
      </c>
      <c r="W70" s="415">
        <v>1</v>
      </c>
      <c r="X70" s="418">
        <v>1</v>
      </c>
      <c r="Y70" s="411"/>
      <c r="Z70" s="411"/>
      <c r="AA70" s="409">
        <v>2</v>
      </c>
      <c r="AB70" s="419">
        <v>3</v>
      </c>
      <c r="AC70" s="401">
        <v>4</v>
      </c>
      <c r="AD70" s="409">
        <v>4</v>
      </c>
      <c r="AE70" s="420">
        <v>7</v>
      </c>
      <c r="AF70" s="918" t="s">
        <v>1171</v>
      </c>
      <c r="AG70" s="913" t="s">
        <v>526</v>
      </c>
      <c r="AH70" s="813" t="s">
        <v>1172</v>
      </c>
      <c r="AI70" s="813" t="s">
        <v>1173</v>
      </c>
      <c r="AJ70" s="914" t="s">
        <v>1174</v>
      </c>
      <c r="AK70" s="813" t="s">
        <v>457</v>
      </c>
      <c r="AL70" s="813" t="s">
        <v>610</v>
      </c>
      <c r="AM70" s="813" t="s">
        <v>1136</v>
      </c>
      <c r="AN70" s="909">
        <v>1067898</v>
      </c>
      <c r="AO70" s="910">
        <v>511137</v>
      </c>
      <c r="AP70" s="910">
        <v>556761</v>
      </c>
      <c r="AQ70" s="911" t="s">
        <v>459</v>
      </c>
      <c r="AR70" s="911" t="s">
        <v>459</v>
      </c>
      <c r="AS70" s="911" t="s">
        <v>459</v>
      </c>
      <c r="AT70" s="911" t="s">
        <v>459</v>
      </c>
      <c r="AU70" s="915" t="s">
        <v>459</v>
      </c>
      <c r="AV70" s="915" t="s">
        <v>459</v>
      </c>
      <c r="AW70" s="915" t="s">
        <v>459</v>
      </c>
      <c r="AX70" s="910">
        <v>1067898</v>
      </c>
      <c r="AY70" s="427"/>
    </row>
    <row r="71" spans="1:51" ht="18" customHeight="1" x14ac:dyDescent="0.25">
      <c r="A71" s="829"/>
      <c r="B71" s="710"/>
      <c r="C71" s="710"/>
      <c r="D71" s="404" t="s">
        <v>343</v>
      </c>
      <c r="E71" s="179"/>
      <c r="F71" s="180"/>
      <c r="G71" s="174"/>
      <c r="H71" s="174"/>
      <c r="I71" s="174" t="e">
        <f>+I70*$I$11/$I$10</f>
        <v>#REF!</v>
      </c>
      <c r="J71" s="410" t="e">
        <f>+J70*$J$11/$J$10</f>
        <v>#REF!</v>
      </c>
      <c r="K71" s="409"/>
      <c r="L71" s="410"/>
      <c r="M71" s="415"/>
      <c r="N71" s="422">
        <f>+N70*$N$11/$N$10</f>
        <v>10965454.545454545</v>
      </c>
      <c r="O71" s="410">
        <f>+O70*$O$11/$O$10</f>
        <v>16448181.818181818</v>
      </c>
      <c r="P71" s="410" t="e">
        <f>+P70*$P$11/$P$10</f>
        <v>#VALUE!</v>
      </c>
      <c r="Q71" s="410" t="e">
        <f>+Q70*$Q$11/$Q$10</f>
        <v>#VALUE!</v>
      </c>
      <c r="R71" s="410" t="e">
        <f>+R70*$R$11/$R$10</f>
        <v>#VALUE!</v>
      </c>
      <c r="S71" s="411"/>
      <c r="T71" s="167"/>
      <c r="U71" s="167"/>
      <c r="V71" s="423" t="e">
        <f>+V70*$V$11/$V$10</f>
        <v>#REF!</v>
      </c>
      <c r="W71" s="410" t="e">
        <f>+W70*$W$11/$W$10</f>
        <v>#REF!</v>
      </c>
      <c r="X71" s="411"/>
      <c r="Y71" s="411"/>
      <c r="Z71" s="411"/>
      <c r="AA71" s="425">
        <f>+AA70*$AA$11/$AA$10</f>
        <v>23859727.272727273</v>
      </c>
      <c r="AB71" s="409">
        <f>+AB70*$AB$11/$AB$10</f>
        <v>23859727.272727273</v>
      </c>
      <c r="AC71" s="409" t="e">
        <f>+AC70*$AC$11/$AC$10</f>
        <v>#VALUE!</v>
      </c>
      <c r="AD71" s="409" t="e">
        <f>+AD70*$AD$11/$AD$10</f>
        <v>#VALUE!</v>
      </c>
      <c r="AE71" s="409" t="e">
        <f>+AE70*$AE$11/$AE$10</f>
        <v>#VALUE!</v>
      </c>
      <c r="AF71" s="713"/>
      <c r="AG71" s="829"/>
      <c r="AH71" s="710"/>
      <c r="AI71" s="710"/>
      <c r="AJ71" s="710"/>
      <c r="AK71" s="710"/>
      <c r="AL71" s="710"/>
      <c r="AM71" s="710"/>
      <c r="AN71" s="710"/>
      <c r="AO71" s="710"/>
      <c r="AP71" s="710"/>
      <c r="AQ71" s="710"/>
      <c r="AR71" s="710"/>
      <c r="AS71" s="710"/>
      <c r="AT71" s="710"/>
      <c r="AU71" s="710"/>
      <c r="AV71" s="710"/>
      <c r="AW71" s="710"/>
      <c r="AX71" s="710"/>
      <c r="AY71" s="427"/>
    </row>
    <row r="72" spans="1:51" ht="27" customHeight="1" x14ac:dyDescent="0.25">
      <c r="A72" s="829"/>
      <c r="B72" s="710"/>
      <c r="C72" s="710"/>
      <c r="D72" s="408" t="s">
        <v>345</v>
      </c>
      <c r="E72" s="179"/>
      <c r="F72" s="180"/>
      <c r="G72" s="174"/>
      <c r="H72" s="174"/>
      <c r="I72" s="174"/>
      <c r="J72" s="410"/>
      <c r="K72" s="409"/>
      <c r="L72" s="410"/>
      <c r="M72" s="415"/>
      <c r="N72" s="410"/>
      <c r="O72" s="410"/>
      <c r="P72" s="410"/>
      <c r="Q72" s="410"/>
      <c r="R72" s="416"/>
      <c r="S72" s="411"/>
      <c r="T72" s="167"/>
      <c r="U72" s="167"/>
      <c r="V72" s="167"/>
      <c r="W72" s="415"/>
      <c r="X72" s="411"/>
      <c r="Y72" s="411"/>
      <c r="Z72" s="411"/>
      <c r="AA72" s="409"/>
      <c r="AB72" s="419"/>
      <c r="AC72" s="401"/>
      <c r="AD72" s="409"/>
      <c r="AE72" s="420"/>
      <c r="AF72" s="713"/>
      <c r="AG72" s="829"/>
      <c r="AH72" s="710"/>
      <c r="AI72" s="710"/>
      <c r="AJ72" s="710"/>
      <c r="AK72" s="710"/>
      <c r="AL72" s="710"/>
      <c r="AM72" s="710"/>
      <c r="AN72" s="710"/>
      <c r="AO72" s="710"/>
      <c r="AP72" s="710"/>
      <c r="AQ72" s="710"/>
      <c r="AR72" s="710"/>
      <c r="AS72" s="710"/>
      <c r="AT72" s="710"/>
      <c r="AU72" s="710"/>
      <c r="AV72" s="710"/>
      <c r="AW72" s="710"/>
      <c r="AX72" s="710"/>
      <c r="AY72" s="427"/>
    </row>
    <row r="73" spans="1:51" ht="27" customHeight="1" x14ac:dyDescent="0.25">
      <c r="A73" s="829"/>
      <c r="B73" s="710"/>
      <c r="C73" s="710"/>
      <c r="D73" s="404" t="s">
        <v>346</v>
      </c>
      <c r="E73" s="179"/>
      <c r="F73" s="180"/>
      <c r="G73" s="174"/>
      <c r="H73" s="174"/>
      <c r="I73" s="174"/>
      <c r="J73" s="410"/>
      <c r="K73" s="409"/>
      <c r="L73" s="410"/>
      <c r="M73" s="415"/>
      <c r="N73" s="410"/>
      <c r="O73" s="410"/>
      <c r="P73" s="410"/>
      <c r="Q73" s="410"/>
      <c r="R73" s="416"/>
      <c r="S73" s="411"/>
      <c r="T73" s="167"/>
      <c r="U73" s="167"/>
      <c r="V73" s="167"/>
      <c r="W73" s="415"/>
      <c r="X73" s="411"/>
      <c r="Y73" s="411"/>
      <c r="Z73" s="411"/>
      <c r="AA73" s="409"/>
      <c r="AB73" s="419"/>
      <c r="AC73" s="401"/>
      <c r="AD73" s="409"/>
      <c r="AE73" s="420"/>
      <c r="AF73" s="713"/>
      <c r="AG73" s="829"/>
      <c r="AH73" s="710"/>
      <c r="AI73" s="710"/>
      <c r="AJ73" s="710"/>
      <c r="AK73" s="710"/>
      <c r="AL73" s="710"/>
      <c r="AM73" s="710"/>
      <c r="AN73" s="710"/>
      <c r="AO73" s="710"/>
      <c r="AP73" s="710"/>
      <c r="AQ73" s="710"/>
      <c r="AR73" s="710"/>
      <c r="AS73" s="710"/>
      <c r="AT73" s="710"/>
      <c r="AU73" s="710"/>
      <c r="AV73" s="710"/>
      <c r="AW73" s="710"/>
      <c r="AX73" s="710"/>
      <c r="AY73" s="427"/>
    </row>
    <row r="74" spans="1:51" ht="27" customHeight="1" x14ac:dyDescent="0.25">
      <c r="A74" s="829"/>
      <c r="B74" s="710"/>
      <c r="C74" s="710"/>
      <c r="D74" s="408" t="s">
        <v>347</v>
      </c>
      <c r="E74" s="179"/>
      <c r="F74" s="180"/>
      <c r="G74" s="174"/>
      <c r="H74" s="174"/>
      <c r="I74" s="174">
        <v>1</v>
      </c>
      <c r="J74" s="410">
        <v>1</v>
      </c>
      <c r="K74" s="409"/>
      <c r="L74" s="410"/>
      <c r="M74" s="415"/>
      <c r="N74" s="410"/>
      <c r="O74" s="410">
        <f>+O70</f>
        <v>3</v>
      </c>
      <c r="P74" s="410">
        <v>4</v>
      </c>
      <c r="Q74" s="410">
        <v>4</v>
      </c>
      <c r="R74" s="416">
        <v>7</v>
      </c>
      <c r="S74" s="411"/>
      <c r="T74" s="167"/>
      <c r="U74" s="167"/>
      <c r="V74" s="167">
        <v>1</v>
      </c>
      <c r="W74" s="415">
        <v>1</v>
      </c>
      <c r="X74" s="411"/>
      <c r="Y74" s="411"/>
      <c r="Z74" s="411"/>
      <c r="AA74" s="409"/>
      <c r="AB74" s="409">
        <f>+AB70</f>
        <v>3</v>
      </c>
      <c r="AC74" s="401">
        <v>4</v>
      </c>
      <c r="AD74" s="409">
        <v>4</v>
      </c>
      <c r="AE74" s="420">
        <v>7</v>
      </c>
      <c r="AF74" s="713"/>
      <c r="AG74" s="829"/>
      <c r="AH74" s="710"/>
      <c r="AI74" s="710"/>
      <c r="AJ74" s="710"/>
      <c r="AK74" s="710"/>
      <c r="AL74" s="710"/>
      <c r="AM74" s="710"/>
      <c r="AN74" s="710"/>
      <c r="AO74" s="710"/>
      <c r="AP74" s="710"/>
      <c r="AQ74" s="710"/>
      <c r="AR74" s="710"/>
      <c r="AS74" s="710"/>
      <c r="AT74" s="710"/>
      <c r="AU74" s="710"/>
      <c r="AV74" s="710"/>
      <c r="AW74" s="710"/>
      <c r="AX74" s="710"/>
      <c r="AY74" s="427"/>
    </row>
    <row r="75" spans="1:51" ht="27.75" customHeight="1" x14ac:dyDescent="0.25">
      <c r="A75" s="829"/>
      <c r="B75" s="710"/>
      <c r="C75" s="731"/>
      <c r="D75" s="412" t="s">
        <v>348</v>
      </c>
      <c r="E75" s="179"/>
      <c r="F75" s="180"/>
      <c r="G75" s="174"/>
      <c r="H75" s="174"/>
      <c r="I75" s="174" t="e">
        <f>+I74*$I$11/$I$10</f>
        <v>#REF!</v>
      </c>
      <c r="J75" s="410" t="e">
        <f>+J74*$J$11/$J$10</f>
        <v>#REF!</v>
      </c>
      <c r="K75" s="409"/>
      <c r="L75" s="410"/>
      <c r="M75" s="415"/>
      <c r="N75" s="410"/>
      <c r="O75" s="410">
        <f>+O71</f>
        <v>16448181.818181818</v>
      </c>
      <c r="P75" s="410" t="e">
        <f>+P74*$P$11/$P$10</f>
        <v>#VALUE!</v>
      </c>
      <c r="Q75" s="410" t="e">
        <f>+Q74*$Q$11/$Q$10</f>
        <v>#VALUE!</v>
      </c>
      <c r="R75" s="410" t="e">
        <f>+R74*$R$11/$R$10</f>
        <v>#VALUE!</v>
      </c>
      <c r="S75" s="411"/>
      <c r="T75" s="167"/>
      <c r="U75" s="167"/>
      <c r="V75" s="423" t="e">
        <f>+V74*$V$11/$V$10</f>
        <v>#REF!</v>
      </c>
      <c r="W75" s="410" t="e">
        <f>+W74*$W$11/$W$10</f>
        <v>#REF!</v>
      </c>
      <c r="X75" s="411"/>
      <c r="Y75" s="411"/>
      <c r="Z75" s="411"/>
      <c r="AA75" s="409"/>
      <c r="AB75" s="409">
        <f>+AB71</f>
        <v>23859727.272727273</v>
      </c>
      <c r="AC75" s="409" t="e">
        <f>+AC74*$AC$11/$AC$10</f>
        <v>#VALUE!</v>
      </c>
      <c r="AD75" s="409" t="e">
        <f>+AD74*$AD$11/$AD$10</f>
        <v>#VALUE!</v>
      </c>
      <c r="AE75" s="409" t="e">
        <f>+AE74*$AE$11/$AE$10</f>
        <v>#VALUE!</v>
      </c>
      <c r="AF75" s="830"/>
      <c r="AG75" s="823"/>
      <c r="AH75" s="731"/>
      <c r="AI75" s="731"/>
      <c r="AJ75" s="731"/>
      <c r="AK75" s="731"/>
      <c r="AL75" s="731"/>
      <c r="AM75" s="731"/>
      <c r="AN75" s="731"/>
      <c r="AO75" s="731"/>
      <c r="AP75" s="731"/>
      <c r="AQ75" s="731"/>
      <c r="AR75" s="731"/>
      <c r="AS75" s="731"/>
      <c r="AT75" s="731"/>
      <c r="AU75" s="731"/>
      <c r="AV75" s="731"/>
      <c r="AW75" s="731"/>
      <c r="AX75" s="731"/>
      <c r="AY75" s="427"/>
    </row>
    <row r="76" spans="1:51" ht="18" customHeight="1" x14ac:dyDescent="0.25">
      <c r="A76" s="829"/>
      <c r="B76" s="710"/>
      <c r="C76" s="958" t="s">
        <v>1175</v>
      </c>
      <c r="D76" s="413" t="s">
        <v>340</v>
      </c>
      <c r="E76" s="179"/>
      <c r="F76" s="180"/>
      <c r="G76" s="174">
        <v>1</v>
      </c>
      <c r="H76" s="174">
        <v>3</v>
      </c>
      <c r="I76" s="174">
        <v>3</v>
      </c>
      <c r="J76" s="410">
        <v>3</v>
      </c>
      <c r="K76" s="414">
        <v>4</v>
      </c>
      <c r="L76" s="410"/>
      <c r="M76" s="415">
        <v>1</v>
      </c>
      <c r="N76" s="410">
        <v>3</v>
      </c>
      <c r="O76" s="410">
        <v>4</v>
      </c>
      <c r="P76" s="410">
        <v>5</v>
      </c>
      <c r="Q76" s="410">
        <v>7</v>
      </c>
      <c r="R76" s="416">
        <v>9</v>
      </c>
      <c r="S76" s="411"/>
      <c r="T76" s="167">
        <v>1</v>
      </c>
      <c r="U76" s="167">
        <v>3</v>
      </c>
      <c r="V76" s="167">
        <v>3</v>
      </c>
      <c r="W76" s="415">
        <v>3</v>
      </c>
      <c r="X76" s="418">
        <v>4</v>
      </c>
      <c r="Y76" s="411"/>
      <c r="Z76" s="411">
        <v>1</v>
      </c>
      <c r="AA76" s="409">
        <v>3</v>
      </c>
      <c r="AB76" s="419">
        <v>4</v>
      </c>
      <c r="AC76" s="401">
        <v>5</v>
      </c>
      <c r="AD76" s="409">
        <v>7</v>
      </c>
      <c r="AE76" s="420">
        <v>9</v>
      </c>
      <c r="AF76" s="917" t="s">
        <v>1176</v>
      </c>
      <c r="AG76" s="913" t="s">
        <v>1177</v>
      </c>
      <c r="AH76" s="813" t="s">
        <v>1178</v>
      </c>
      <c r="AI76" s="813" t="s">
        <v>1179</v>
      </c>
      <c r="AJ76" s="914" t="s">
        <v>1135</v>
      </c>
      <c r="AK76" s="813" t="s">
        <v>457</v>
      </c>
      <c r="AL76" s="813" t="s">
        <v>178</v>
      </c>
      <c r="AM76" s="813" t="s">
        <v>1136</v>
      </c>
      <c r="AN76" s="909">
        <v>388154</v>
      </c>
      <c r="AO76" s="910">
        <v>183971</v>
      </c>
      <c r="AP76" s="910">
        <v>204184</v>
      </c>
      <c r="AQ76" s="911" t="s">
        <v>459</v>
      </c>
      <c r="AR76" s="911" t="s">
        <v>459</v>
      </c>
      <c r="AS76" s="911" t="s">
        <v>459</v>
      </c>
      <c r="AT76" s="911" t="s">
        <v>459</v>
      </c>
      <c r="AU76" s="915" t="s">
        <v>459</v>
      </c>
      <c r="AV76" s="915" t="s">
        <v>459</v>
      </c>
      <c r="AW76" s="915" t="s">
        <v>459</v>
      </c>
      <c r="AX76" s="910">
        <v>388154</v>
      </c>
      <c r="AY76" s="427"/>
    </row>
    <row r="77" spans="1:51" ht="15.75" customHeight="1" x14ac:dyDescent="0.25">
      <c r="A77" s="829"/>
      <c r="B77" s="710"/>
      <c r="C77" s="710"/>
      <c r="D77" s="404" t="s">
        <v>343</v>
      </c>
      <c r="E77" s="179"/>
      <c r="F77" s="180"/>
      <c r="G77" s="174">
        <f>+G76*$G$11/$G$10</f>
        <v>5272055.0458715595</v>
      </c>
      <c r="H77" s="174">
        <f>+H76*$H$11/$H$10</f>
        <v>15816165.137614679</v>
      </c>
      <c r="I77" s="174" t="e">
        <f>+I76*$I$11/$I$10</f>
        <v>#REF!</v>
      </c>
      <c r="J77" s="410" t="e">
        <f>+J76*$J$11/$J$10</f>
        <v>#REF!</v>
      </c>
      <c r="K77" s="409"/>
      <c r="L77" s="410"/>
      <c r="M77" s="421" t="e">
        <f>+M76*$M$11/$M$10</f>
        <v>#VALUE!</v>
      </c>
      <c r="N77" s="422">
        <f>+N76*$N$11/$N$10</f>
        <v>16448181.818181818</v>
      </c>
      <c r="O77" s="410">
        <f>+O76*$O$11/$O$10</f>
        <v>21930909.09090909</v>
      </c>
      <c r="P77" s="410" t="e">
        <f>+P76*$P$11/$P$10</f>
        <v>#VALUE!</v>
      </c>
      <c r="Q77" s="410" t="e">
        <f>+Q76*$Q$11/$Q$10</f>
        <v>#VALUE!</v>
      </c>
      <c r="R77" s="410" t="e">
        <f>+R76*$R$11/$R$10</f>
        <v>#VALUE!</v>
      </c>
      <c r="S77" s="411"/>
      <c r="T77" s="174">
        <f>+T76*$T$11/$T$10</f>
        <v>0</v>
      </c>
      <c r="U77" s="174">
        <f>+U76*$U$11/$U$10</f>
        <v>71178461.538461536</v>
      </c>
      <c r="V77" s="423" t="e">
        <f>+V76*$V$11/$V$10</f>
        <v>#REF!</v>
      </c>
      <c r="W77" s="410" t="e">
        <f>+W76*$W$11/$W$10</f>
        <v>#REF!</v>
      </c>
      <c r="X77" s="411"/>
      <c r="Y77" s="411"/>
      <c r="Z77" s="424">
        <f>+Z76*$Z$11/$Z$10</f>
        <v>12780000</v>
      </c>
      <c r="AA77" s="425">
        <f>+AA76*$AA$11/$AA$10</f>
        <v>35789590.909090906</v>
      </c>
      <c r="AB77" s="409">
        <f>+AB76*$AB$11/$AB$10</f>
        <v>31812969.696969695</v>
      </c>
      <c r="AC77" s="409" t="e">
        <f>+AC76*$AC$11/$AC$10</f>
        <v>#VALUE!</v>
      </c>
      <c r="AD77" s="409" t="e">
        <f>+AD76*$AD$11/$AD$10</f>
        <v>#VALUE!</v>
      </c>
      <c r="AE77" s="409" t="e">
        <f>+AE76*$AE$11/$AE$10</f>
        <v>#VALUE!</v>
      </c>
      <c r="AF77" s="710"/>
      <c r="AG77" s="829"/>
      <c r="AH77" s="710"/>
      <c r="AI77" s="710"/>
      <c r="AJ77" s="710"/>
      <c r="AK77" s="710"/>
      <c r="AL77" s="710"/>
      <c r="AM77" s="710"/>
      <c r="AN77" s="710"/>
      <c r="AO77" s="710"/>
      <c r="AP77" s="710"/>
      <c r="AQ77" s="710"/>
      <c r="AR77" s="710"/>
      <c r="AS77" s="710"/>
      <c r="AT77" s="710"/>
      <c r="AU77" s="710"/>
      <c r="AV77" s="710"/>
      <c r="AW77" s="710"/>
      <c r="AX77" s="710"/>
      <c r="AY77" s="427"/>
    </row>
    <row r="78" spans="1:51" ht="15.75" customHeight="1" x14ac:dyDescent="0.25">
      <c r="A78" s="829"/>
      <c r="B78" s="710"/>
      <c r="C78" s="710"/>
      <c r="D78" s="408" t="s">
        <v>345</v>
      </c>
      <c r="E78" s="179"/>
      <c r="F78" s="180"/>
      <c r="G78" s="174"/>
      <c r="H78" s="174"/>
      <c r="I78" s="174"/>
      <c r="J78" s="410"/>
      <c r="K78" s="409"/>
      <c r="L78" s="410"/>
      <c r="M78" s="415"/>
      <c r="N78" s="410"/>
      <c r="O78" s="410"/>
      <c r="P78" s="410"/>
      <c r="Q78" s="410"/>
      <c r="R78" s="416"/>
      <c r="S78" s="411"/>
      <c r="T78" s="167"/>
      <c r="U78" s="167"/>
      <c r="V78" s="167"/>
      <c r="W78" s="415"/>
      <c r="X78" s="411"/>
      <c r="Y78" s="411"/>
      <c r="Z78" s="411"/>
      <c r="AA78" s="409"/>
      <c r="AB78" s="419"/>
      <c r="AC78" s="401"/>
      <c r="AD78" s="409"/>
      <c r="AE78" s="420"/>
      <c r="AF78" s="710"/>
      <c r="AG78" s="829"/>
      <c r="AH78" s="710"/>
      <c r="AI78" s="710"/>
      <c r="AJ78" s="710"/>
      <c r="AK78" s="710"/>
      <c r="AL78" s="710"/>
      <c r="AM78" s="710"/>
      <c r="AN78" s="710"/>
      <c r="AO78" s="710"/>
      <c r="AP78" s="710"/>
      <c r="AQ78" s="710"/>
      <c r="AR78" s="710"/>
      <c r="AS78" s="710"/>
      <c r="AT78" s="710"/>
      <c r="AU78" s="710"/>
      <c r="AV78" s="710"/>
      <c r="AW78" s="710"/>
      <c r="AX78" s="710"/>
      <c r="AY78" s="427"/>
    </row>
    <row r="79" spans="1:51" ht="15.75" customHeight="1" x14ac:dyDescent="0.25">
      <c r="A79" s="829"/>
      <c r="B79" s="710"/>
      <c r="C79" s="710"/>
      <c r="D79" s="404" t="s">
        <v>346</v>
      </c>
      <c r="E79" s="179"/>
      <c r="F79" s="180"/>
      <c r="G79" s="174"/>
      <c r="H79" s="174"/>
      <c r="I79" s="174"/>
      <c r="J79" s="410"/>
      <c r="K79" s="409"/>
      <c r="L79" s="410"/>
      <c r="M79" s="415"/>
      <c r="N79" s="410"/>
      <c r="O79" s="410"/>
      <c r="P79" s="410"/>
      <c r="Q79" s="410"/>
      <c r="R79" s="416"/>
      <c r="S79" s="411"/>
      <c r="T79" s="174">
        <f>+T76*$T$13/$T$10</f>
        <v>1355400</v>
      </c>
      <c r="U79" s="395">
        <f>($U$13/5)</f>
        <v>14532248.6</v>
      </c>
      <c r="V79" s="167"/>
      <c r="W79" s="415"/>
      <c r="X79" s="411"/>
      <c r="Y79" s="411"/>
      <c r="Z79" s="411"/>
      <c r="AA79" s="409"/>
      <c r="AB79" s="419"/>
      <c r="AC79" s="401"/>
      <c r="AD79" s="409"/>
      <c r="AE79" s="420"/>
      <c r="AF79" s="710"/>
      <c r="AG79" s="829"/>
      <c r="AH79" s="710"/>
      <c r="AI79" s="710"/>
      <c r="AJ79" s="710"/>
      <c r="AK79" s="710"/>
      <c r="AL79" s="710"/>
      <c r="AM79" s="710"/>
      <c r="AN79" s="710"/>
      <c r="AO79" s="710"/>
      <c r="AP79" s="710"/>
      <c r="AQ79" s="710"/>
      <c r="AR79" s="710"/>
      <c r="AS79" s="710"/>
      <c r="AT79" s="710"/>
      <c r="AU79" s="710"/>
      <c r="AV79" s="710"/>
      <c r="AW79" s="710"/>
      <c r="AX79" s="710"/>
      <c r="AY79" s="427"/>
    </row>
    <row r="80" spans="1:51" ht="15.75" customHeight="1" x14ac:dyDescent="0.25">
      <c r="A80" s="829"/>
      <c r="B80" s="710"/>
      <c r="C80" s="710"/>
      <c r="D80" s="408" t="s">
        <v>347</v>
      </c>
      <c r="E80" s="179"/>
      <c r="F80" s="180"/>
      <c r="G80" s="174">
        <v>1</v>
      </c>
      <c r="H80" s="174">
        <v>3</v>
      </c>
      <c r="I80" s="174">
        <v>3</v>
      </c>
      <c r="J80" s="410">
        <v>3</v>
      </c>
      <c r="K80" s="409"/>
      <c r="L80" s="410"/>
      <c r="M80" s="415"/>
      <c r="N80" s="410"/>
      <c r="O80" s="410">
        <f>+O76</f>
        <v>4</v>
      </c>
      <c r="P80" s="410">
        <v>5</v>
      </c>
      <c r="Q80" s="410">
        <v>7</v>
      </c>
      <c r="R80" s="416">
        <v>9</v>
      </c>
      <c r="S80" s="411"/>
      <c r="T80" s="167">
        <v>1</v>
      </c>
      <c r="U80" s="167">
        <v>3</v>
      </c>
      <c r="V80" s="167">
        <v>3</v>
      </c>
      <c r="W80" s="415">
        <v>3</v>
      </c>
      <c r="X80" s="411"/>
      <c r="Y80" s="411"/>
      <c r="Z80" s="411"/>
      <c r="AA80" s="409"/>
      <c r="AB80" s="419">
        <f>+AB76</f>
        <v>4</v>
      </c>
      <c r="AC80" s="401">
        <v>5</v>
      </c>
      <c r="AD80" s="409">
        <v>7</v>
      </c>
      <c r="AE80" s="420">
        <v>9</v>
      </c>
      <c r="AF80" s="710"/>
      <c r="AG80" s="829"/>
      <c r="AH80" s="710"/>
      <c r="AI80" s="710"/>
      <c r="AJ80" s="710"/>
      <c r="AK80" s="710"/>
      <c r="AL80" s="710"/>
      <c r="AM80" s="710"/>
      <c r="AN80" s="710"/>
      <c r="AO80" s="710"/>
      <c r="AP80" s="710"/>
      <c r="AQ80" s="710"/>
      <c r="AR80" s="710"/>
      <c r="AS80" s="710"/>
      <c r="AT80" s="710"/>
      <c r="AU80" s="710"/>
      <c r="AV80" s="710"/>
      <c r="AW80" s="710"/>
      <c r="AX80" s="710"/>
      <c r="AY80" s="427"/>
    </row>
    <row r="81" spans="1:51" ht="15.75" customHeight="1" x14ac:dyDescent="0.25">
      <c r="A81" s="829"/>
      <c r="B81" s="710"/>
      <c r="C81" s="731"/>
      <c r="D81" s="412" t="s">
        <v>348</v>
      </c>
      <c r="E81" s="179"/>
      <c r="F81" s="180"/>
      <c r="G81" s="174">
        <f>+G80*$G$11/$G$10</f>
        <v>5272055.0458715595</v>
      </c>
      <c r="H81" s="174">
        <f>+H80*$H$11/$H$10</f>
        <v>15816165.137614679</v>
      </c>
      <c r="I81" s="174" t="e">
        <f>+I80*$I$11/$I$10</f>
        <v>#REF!</v>
      </c>
      <c r="J81" s="410" t="e">
        <f>+J80*$J$11/$J$10</f>
        <v>#REF!</v>
      </c>
      <c r="K81" s="409"/>
      <c r="L81" s="410"/>
      <c r="M81" s="415"/>
      <c r="N81" s="410"/>
      <c r="O81" s="410">
        <f>+O77</f>
        <v>21930909.09090909</v>
      </c>
      <c r="P81" s="410" t="e">
        <f>+P80*$P$11/$P$10</f>
        <v>#VALUE!</v>
      </c>
      <c r="Q81" s="410" t="e">
        <f>+Q80*$Q$11/$Q$10</f>
        <v>#VALUE!</v>
      </c>
      <c r="R81" s="410" t="e">
        <f>+R80*$R$11/$R$10</f>
        <v>#VALUE!</v>
      </c>
      <c r="S81" s="411"/>
      <c r="T81" s="174">
        <f>+T80*$T$11/$T$10</f>
        <v>0</v>
      </c>
      <c r="U81" s="174">
        <f>+U80*$U$11/$U$10</f>
        <v>71178461.538461536</v>
      </c>
      <c r="V81" s="423" t="e">
        <f>+V80*$V$11/$V$10</f>
        <v>#REF!</v>
      </c>
      <c r="W81" s="410" t="e">
        <f>+W80*$W$11/$W$10</f>
        <v>#REF!</v>
      </c>
      <c r="X81" s="411"/>
      <c r="Y81" s="411"/>
      <c r="Z81" s="411"/>
      <c r="AA81" s="409"/>
      <c r="AB81" s="428">
        <f>+AB77</f>
        <v>31812969.696969695</v>
      </c>
      <c r="AC81" s="409" t="e">
        <f>+AC80*$AC$11/$AC$10</f>
        <v>#VALUE!</v>
      </c>
      <c r="AD81" s="409" t="e">
        <f>+AD80*$AD$11/$AD$10</f>
        <v>#VALUE!</v>
      </c>
      <c r="AE81" s="409" t="e">
        <f>+AE80*$AE$11/$AE$10</f>
        <v>#VALUE!</v>
      </c>
      <c r="AF81" s="731"/>
      <c r="AG81" s="823"/>
      <c r="AH81" s="731"/>
      <c r="AI81" s="731"/>
      <c r="AJ81" s="731"/>
      <c r="AK81" s="731"/>
      <c r="AL81" s="731"/>
      <c r="AM81" s="731"/>
      <c r="AN81" s="731"/>
      <c r="AO81" s="731"/>
      <c r="AP81" s="731"/>
      <c r="AQ81" s="731"/>
      <c r="AR81" s="731"/>
      <c r="AS81" s="731"/>
      <c r="AT81" s="731"/>
      <c r="AU81" s="731"/>
      <c r="AV81" s="731"/>
      <c r="AW81" s="731"/>
      <c r="AX81" s="731"/>
      <c r="AY81" s="427"/>
    </row>
    <row r="82" spans="1:51" ht="18" customHeight="1" x14ac:dyDescent="0.25">
      <c r="A82" s="829"/>
      <c r="B82" s="710"/>
      <c r="C82" s="818" t="s">
        <v>1180</v>
      </c>
      <c r="D82" s="413" t="s">
        <v>340</v>
      </c>
      <c r="E82" s="179"/>
      <c r="F82" s="180"/>
      <c r="G82" s="174"/>
      <c r="H82" s="174"/>
      <c r="I82" s="174">
        <v>1</v>
      </c>
      <c r="J82" s="410">
        <v>2</v>
      </c>
      <c r="K82" s="414">
        <v>2</v>
      </c>
      <c r="L82" s="410"/>
      <c r="M82" s="415">
        <v>1</v>
      </c>
      <c r="N82" s="410">
        <v>1</v>
      </c>
      <c r="O82" s="410">
        <v>1</v>
      </c>
      <c r="P82" s="410">
        <v>1</v>
      </c>
      <c r="Q82" s="410">
        <v>1</v>
      </c>
      <c r="R82" s="416">
        <v>1</v>
      </c>
      <c r="S82" s="411"/>
      <c r="T82" s="167"/>
      <c r="U82" s="167"/>
      <c r="V82" s="167">
        <v>1</v>
      </c>
      <c r="W82" s="417">
        <v>2</v>
      </c>
      <c r="X82" s="418">
        <v>2</v>
      </c>
      <c r="Y82" s="411"/>
      <c r="Z82" s="411">
        <v>1</v>
      </c>
      <c r="AA82" s="409">
        <v>1</v>
      </c>
      <c r="AB82" s="419">
        <v>1</v>
      </c>
      <c r="AC82" s="401">
        <v>1</v>
      </c>
      <c r="AD82" s="409">
        <v>1</v>
      </c>
      <c r="AE82" s="420">
        <v>1</v>
      </c>
      <c r="AF82" s="918" t="s">
        <v>1181</v>
      </c>
      <c r="AG82" s="913" t="s">
        <v>654</v>
      </c>
      <c r="AH82" s="813" t="s">
        <v>1182</v>
      </c>
      <c r="AI82" s="813" t="s">
        <v>1183</v>
      </c>
      <c r="AJ82" s="914" t="s">
        <v>1184</v>
      </c>
      <c r="AK82" s="813" t="s">
        <v>457</v>
      </c>
      <c r="AL82" s="813" t="s">
        <v>1185</v>
      </c>
      <c r="AM82" s="813" t="s">
        <v>1136</v>
      </c>
      <c r="AN82" s="909">
        <v>831378</v>
      </c>
      <c r="AO82" s="910">
        <v>392164</v>
      </c>
      <c r="AP82" s="910">
        <v>439214</v>
      </c>
      <c r="AQ82" s="911" t="s">
        <v>459</v>
      </c>
      <c r="AR82" s="911" t="s">
        <v>459</v>
      </c>
      <c r="AS82" s="911" t="s">
        <v>459</v>
      </c>
      <c r="AT82" s="911" t="s">
        <v>459</v>
      </c>
      <c r="AU82" s="915" t="s">
        <v>459</v>
      </c>
      <c r="AV82" s="915" t="s">
        <v>459</v>
      </c>
      <c r="AW82" s="915" t="s">
        <v>459</v>
      </c>
      <c r="AX82" s="910">
        <v>831378</v>
      </c>
      <c r="AY82" s="427"/>
    </row>
    <row r="83" spans="1:51" ht="18" customHeight="1" x14ac:dyDescent="0.25">
      <c r="A83" s="829"/>
      <c r="B83" s="710"/>
      <c r="C83" s="710"/>
      <c r="D83" s="404" t="s">
        <v>343</v>
      </c>
      <c r="E83" s="179"/>
      <c r="F83" s="180"/>
      <c r="G83" s="174"/>
      <c r="H83" s="174"/>
      <c r="I83" s="174"/>
      <c r="J83" s="410" t="e">
        <f>+J82*$J$11/$J$10</f>
        <v>#REF!</v>
      </c>
      <c r="K83" s="409"/>
      <c r="L83" s="410"/>
      <c r="M83" s="421" t="e">
        <f>+M82*$M$11/$M$10</f>
        <v>#VALUE!</v>
      </c>
      <c r="N83" s="422">
        <f>+N82*$N$11/$N$10</f>
        <v>5482727.2727272725</v>
      </c>
      <c r="O83" s="410">
        <f>+O82*$O$11/$O$10</f>
        <v>5482727.2727272725</v>
      </c>
      <c r="P83" s="410" t="e">
        <f>+P82*$P$11/$P$10</f>
        <v>#VALUE!</v>
      </c>
      <c r="Q83" s="410" t="e">
        <f>+Q82*$Q$11/$Q$10</f>
        <v>#VALUE!</v>
      </c>
      <c r="R83" s="410" t="e">
        <f>+R82*$R$11/$R$10</f>
        <v>#VALUE!</v>
      </c>
      <c r="S83" s="411"/>
      <c r="T83" s="167"/>
      <c r="U83" s="167"/>
      <c r="V83" s="423" t="e">
        <f>+V82*$V$11/$V$10</f>
        <v>#REF!</v>
      </c>
      <c r="W83" s="410" t="e">
        <f>+W82*$W$11/$W$10</f>
        <v>#REF!</v>
      </c>
      <c r="X83" s="411"/>
      <c r="Y83" s="411"/>
      <c r="Z83" s="424">
        <f>+Z82*$Z$11/$Z$10</f>
        <v>12780000</v>
      </c>
      <c r="AA83" s="425">
        <f>+AA82*$AA$11/$AA$10</f>
        <v>11929863.636363637</v>
      </c>
      <c r="AB83" s="409">
        <f>+AB82*$AB$11/$AB$10</f>
        <v>7953242.4242424238</v>
      </c>
      <c r="AC83" s="409" t="e">
        <f>+AC82*$AC$11/$AC$10</f>
        <v>#VALUE!</v>
      </c>
      <c r="AD83" s="409" t="e">
        <f>+AD82*$AD$11/$AD$10</f>
        <v>#VALUE!</v>
      </c>
      <c r="AE83" s="409" t="e">
        <f>+AE82*$AE$11/$AE$10</f>
        <v>#VALUE!</v>
      </c>
      <c r="AF83" s="713"/>
      <c r="AG83" s="829"/>
      <c r="AH83" s="710"/>
      <c r="AI83" s="710"/>
      <c r="AJ83" s="710"/>
      <c r="AK83" s="710"/>
      <c r="AL83" s="710"/>
      <c r="AM83" s="710"/>
      <c r="AN83" s="710"/>
      <c r="AO83" s="710"/>
      <c r="AP83" s="710"/>
      <c r="AQ83" s="710"/>
      <c r="AR83" s="710"/>
      <c r="AS83" s="710"/>
      <c r="AT83" s="710"/>
      <c r="AU83" s="710"/>
      <c r="AV83" s="710"/>
      <c r="AW83" s="710"/>
      <c r="AX83" s="710"/>
      <c r="AY83" s="427"/>
    </row>
    <row r="84" spans="1:51" ht="27" customHeight="1" x14ac:dyDescent="0.25">
      <c r="A84" s="829"/>
      <c r="B84" s="710"/>
      <c r="C84" s="710"/>
      <c r="D84" s="408" t="s">
        <v>345</v>
      </c>
      <c r="E84" s="179"/>
      <c r="F84" s="180"/>
      <c r="G84" s="174"/>
      <c r="H84" s="174"/>
      <c r="I84" s="174"/>
      <c r="J84" s="410"/>
      <c r="K84" s="409"/>
      <c r="L84" s="410"/>
      <c r="M84" s="415"/>
      <c r="N84" s="410"/>
      <c r="O84" s="410"/>
      <c r="P84" s="410"/>
      <c r="Q84" s="410"/>
      <c r="R84" s="416"/>
      <c r="S84" s="411"/>
      <c r="T84" s="167"/>
      <c r="U84" s="167"/>
      <c r="V84" s="167"/>
      <c r="W84" s="415"/>
      <c r="X84" s="411"/>
      <c r="Y84" s="411"/>
      <c r="Z84" s="411"/>
      <c r="AA84" s="409"/>
      <c r="AB84" s="419"/>
      <c r="AC84" s="401"/>
      <c r="AD84" s="409"/>
      <c r="AE84" s="420"/>
      <c r="AF84" s="713"/>
      <c r="AG84" s="829"/>
      <c r="AH84" s="710"/>
      <c r="AI84" s="710"/>
      <c r="AJ84" s="710"/>
      <c r="AK84" s="710"/>
      <c r="AL84" s="710"/>
      <c r="AM84" s="710"/>
      <c r="AN84" s="710"/>
      <c r="AO84" s="710"/>
      <c r="AP84" s="710"/>
      <c r="AQ84" s="710"/>
      <c r="AR84" s="710"/>
      <c r="AS84" s="710"/>
      <c r="AT84" s="710"/>
      <c r="AU84" s="710"/>
      <c r="AV84" s="710"/>
      <c r="AW84" s="710"/>
      <c r="AX84" s="710"/>
      <c r="AY84" s="427"/>
    </row>
    <row r="85" spans="1:51" ht="27" customHeight="1" x14ac:dyDescent="0.25">
      <c r="A85" s="829"/>
      <c r="B85" s="710"/>
      <c r="C85" s="710"/>
      <c r="D85" s="404" t="s">
        <v>346</v>
      </c>
      <c r="E85" s="179"/>
      <c r="F85" s="180"/>
      <c r="G85" s="174"/>
      <c r="H85" s="174"/>
      <c r="I85" s="174"/>
      <c r="J85" s="410"/>
      <c r="K85" s="409"/>
      <c r="L85" s="410"/>
      <c r="M85" s="415"/>
      <c r="N85" s="410"/>
      <c r="O85" s="410"/>
      <c r="P85" s="410"/>
      <c r="Q85" s="410"/>
      <c r="R85" s="416"/>
      <c r="S85" s="411"/>
      <c r="T85" s="167"/>
      <c r="U85" s="167"/>
      <c r="V85" s="167"/>
      <c r="W85" s="415"/>
      <c r="X85" s="411"/>
      <c r="Y85" s="411"/>
      <c r="Z85" s="411"/>
      <c r="AA85" s="409"/>
      <c r="AB85" s="419"/>
      <c r="AC85" s="401"/>
      <c r="AD85" s="409"/>
      <c r="AE85" s="420"/>
      <c r="AF85" s="713"/>
      <c r="AG85" s="829"/>
      <c r="AH85" s="710"/>
      <c r="AI85" s="710"/>
      <c r="AJ85" s="710"/>
      <c r="AK85" s="710"/>
      <c r="AL85" s="710"/>
      <c r="AM85" s="710"/>
      <c r="AN85" s="710"/>
      <c r="AO85" s="710"/>
      <c r="AP85" s="710"/>
      <c r="AQ85" s="710"/>
      <c r="AR85" s="710"/>
      <c r="AS85" s="710"/>
      <c r="AT85" s="710"/>
      <c r="AU85" s="710"/>
      <c r="AV85" s="710"/>
      <c r="AW85" s="710"/>
      <c r="AX85" s="710"/>
      <c r="AY85" s="427"/>
    </row>
    <row r="86" spans="1:51" ht="27" customHeight="1" x14ac:dyDescent="0.25">
      <c r="A86" s="829"/>
      <c r="B86" s="710"/>
      <c r="C86" s="710"/>
      <c r="D86" s="408" t="s">
        <v>347</v>
      </c>
      <c r="E86" s="179"/>
      <c r="F86" s="180"/>
      <c r="G86" s="174"/>
      <c r="H86" s="174"/>
      <c r="I86" s="174">
        <v>1</v>
      </c>
      <c r="J86" s="410">
        <v>2</v>
      </c>
      <c r="K86" s="409"/>
      <c r="L86" s="410"/>
      <c r="M86" s="415"/>
      <c r="N86" s="410"/>
      <c r="O86" s="410">
        <f>+O82</f>
        <v>1</v>
      </c>
      <c r="P86" s="410">
        <v>1</v>
      </c>
      <c r="Q86" s="410">
        <v>1</v>
      </c>
      <c r="R86" s="416">
        <v>1</v>
      </c>
      <c r="S86" s="411"/>
      <c r="T86" s="167"/>
      <c r="U86" s="167"/>
      <c r="V86" s="167">
        <v>1</v>
      </c>
      <c r="W86" s="415">
        <v>2</v>
      </c>
      <c r="X86" s="411"/>
      <c r="Y86" s="411"/>
      <c r="Z86" s="411"/>
      <c r="AA86" s="409"/>
      <c r="AB86" s="409">
        <f>+AB82</f>
        <v>1</v>
      </c>
      <c r="AC86" s="401">
        <v>1</v>
      </c>
      <c r="AD86" s="409">
        <v>1</v>
      </c>
      <c r="AE86" s="420">
        <v>1</v>
      </c>
      <c r="AF86" s="713"/>
      <c r="AG86" s="829"/>
      <c r="AH86" s="710"/>
      <c r="AI86" s="710"/>
      <c r="AJ86" s="710"/>
      <c r="AK86" s="710"/>
      <c r="AL86" s="710"/>
      <c r="AM86" s="710"/>
      <c r="AN86" s="710"/>
      <c r="AO86" s="710"/>
      <c r="AP86" s="710"/>
      <c r="AQ86" s="710"/>
      <c r="AR86" s="710"/>
      <c r="AS86" s="710"/>
      <c r="AT86" s="710"/>
      <c r="AU86" s="710"/>
      <c r="AV86" s="710"/>
      <c r="AW86" s="710"/>
      <c r="AX86" s="710"/>
      <c r="AY86" s="427"/>
    </row>
    <row r="87" spans="1:51" ht="27.75" customHeight="1" x14ac:dyDescent="0.25">
      <c r="A87" s="829"/>
      <c r="B87" s="710"/>
      <c r="C87" s="731"/>
      <c r="D87" s="412" t="s">
        <v>348</v>
      </c>
      <c r="E87" s="179"/>
      <c r="F87" s="180"/>
      <c r="G87" s="174"/>
      <c r="H87" s="174"/>
      <c r="I87" s="174" t="e">
        <f>+I86*$I$11/$I$10</f>
        <v>#REF!</v>
      </c>
      <c r="J87" s="410" t="e">
        <f>+J86*$J$11/$J$10</f>
        <v>#REF!</v>
      </c>
      <c r="K87" s="409"/>
      <c r="L87" s="410"/>
      <c r="M87" s="415"/>
      <c r="N87" s="410"/>
      <c r="O87" s="410">
        <f>+O83</f>
        <v>5482727.2727272725</v>
      </c>
      <c r="P87" s="410" t="e">
        <f>+P86*$P$11/$P$10</f>
        <v>#VALUE!</v>
      </c>
      <c r="Q87" s="410" t="e">
        <f>+Q86*$Q$11/$Q$10</f>
        <v>#VALUE!</v>
      </c>
      <c r="R87" s="410" t="e">
        <f>+R86*$R$11/$R$10</f>
        <v>#VALUE!</v>
      </c>
      <c r="S87" s="411"/>
      <c r="T87" s="167"/>
      <c r="U87" s="167"/>
      <c r="V87" s="423" t="e">
        <f>+V86*$V$11/$V$10</f>
        <v>#REF!</v>
      </c>
      <c r="W87" s="410" t="e">
        <f>+W86*$W$11/$W$10</f>
        <v>#REF!</v>
      </c>
      <c r="X87" s="411"/>
      <c r="Y87" s="411"/>
      <c r="Z87" s="411"/>
      <c r="AA87" s="409"/>
      <c r="AB87" s="409">
        <f>+AB83</f>
        <v>7953242.4242424238</v>
      </c>
      <c r="AC87" s="409" t="e">
        <f>+AC86*$AC$11/$AC$10</f>
        <v>#VALUE!</v>
      </c>
      <c r="AD87" s="409" t="e">
        <f>+AD86*$AD$11/$AD$10</f>
        <v>#VALUE!</v>
      </c>
      <c r="AE87" s="409" t="e">
        <f>+AE86*$AE$11/$AE$10</f>
        <v>#VALUE!</v>
      </c>
      <c r="AF87" s="830"/>
      <c r="AG87" s="823"/>
      <c r="AH87" s="731"/>
      <c r="AI87" s="731"/>
      <c r="AJ87" s="731"/>
      <c r="AK87" s="731"/>
      <c r="AL87" s="731"/>
      <c r="AM87" s="731"/>
      <c r="AN87" s="731"/>
      <c r="AO87" s="731"/>
      <c r="AP87" s="731"/>
      <c r="AQ87" s="731"/>
      <c r="AR87" s="731"/>
      <c r="AS87" s="731"/>
      <c r="AT87" s="731"/>
      <c r="AU87" s="731"/>
      <c r="AV87" s="731"/>
      <c r="AW87" s="731"/>
      <c r="AX87" s="731"/>
      <c r="AY87" s="427"/>
    </row>
    <row r="88" spans="1:51" ht="49.5" customHeight="1" x14ac:dyDescent="0.25">
      <c r="A88" s="829"/>
      <c r="B88" s="710"/>
      <c r="C88" s="958" t="s">
        <v>656</v>
      </c>
      <c r="D88" s="413" t="s">
        <v>340</v>
      </c>
      <c r="E88" s="179"/>
      <c r="F88" s="180"/>
      <c r="G88" s="174"/>
      <c r="H88" s="174">
        <v>2</v>
      </c>
      <c r="I88" s="174">
        <v>6</v>
      </c>
      <c r="J88" s="410">
        <v>6</v>
      </c>
      <c r="K88" s="414">
        <v>9</v>
      </c>
      <c r="L88" s="410"/>
      <c r="M88" s="415">
        <v>1</v>
      </c>
      <c r="N88" s="410">
        <v>3</v>
      </c>
      <c r="O88" s="410">
        <v>4</v>
      </c>
      <c r="P88" s="410">
        <v>6</v>
      </c>
      <c r="Q88" s="410">
        <v>8</v>
      </c>
      <c r="R88" s="416">
        <v>9</v>
      </c>
      <c r="S88" s="411"/>
      <c r="T88" s="167"/>
      <c r="U88" s="167">
        <v>2</v>
      </c>
      <c r="V88" s="167">
        <v>6</v>
      </c>
      <c r="W88" s="415">
        <v>6</v>
      </c>
      <c r="X88" s="418">
        <v>9</v>
      </c>
      <c r="Y88" s="411"/>
      <c r="Z88" s="411">
        <v>1</v>
      </c>
      <c r="AA88" s="409">
        <v>3</v>
      </c>
      <c r="AB88" s="419">
        <v>4</v>
      </c>
      <c r="AC88" s="401">
        <v>6</v>
      </c>
      <c r="AD88" s="409">
        <v>8</v>
      </c>
      <c r="AE88" s="420">
        <v>9</v>
      </c>
      <c r="AF88" s="917" t="s">
        <v>1186</v>
      </c>
      <c r="AG88" s="913" t="s">
        <v>656</v>
      </c>
      <c r="AH88" s="813" t="s">
        <v>1187</v>
      </c>
      <c r="AI88" s="813" t="s">
        <v>1188</v>
      </c>
      <c r="AJ88" s="914" t="s">
        <v>1135</v>
      </c>
      <c r="AK88" s="813" t="s">
        <v>457</v>
      </c>
      <c r="AL88" s="813" t="s">
        <v>1189</v>
      </c>
      <c r="AM88" s="813" t="s">
        <v>1136</v>
      </c>
      <c r="AN88" s="910">
        <v>1229903</v>
      </c>
      <c r="AO88" s="910">
        <v>579046</v>
      </c>
      <c r="AP88" s="910">
        <v>650857</v>
      </c>
      <c r="AQ88" s="911" t="s">
        <v>459</v>
      </c>
      <c r="AR88" s="911" t="s">
        <v>459</v>
      </c>
      <c r="AS88" s="911" t="s">
        <v>459</v>
      </c>
      <c r="AT88" s="911" t="s">
        <v>459</v>
      </c>
      <c r="AU88" s="915" t="s">
        <v>459</v>
      </c>
      <c r="AV88" s="915" t="s">
        <v>459</v>
      </c>
      <c r="AW88" s="915" t="s">
        <v>459</v>
      </c>
      <c r="AX88" s="910">
        <v>1229903</v>
      </c>
      <c r="AY88" s="427"/>
    </row>
    <row r="89" spans="1:51" ht="49.5" customHeight="1" x14ac:dyDescent="0.25">
      <c r="A89" s="829"/>
      <c r="B89" s="710"/>
      <c r="C89" s="710"/>
      <c r="D89" s="404" t="s">
        <v>343</v>
      </c>
      <c r="E89" s="179"/>
      <c r="F89" s="180"/>
      <c r="G89" s="174"/>
      <c r="H89" s="174">
        <f>+H88*$H$11/$H$10</f>
        <v>10544110.091743119</v>
      </c>
      <c r="I89" s="174"/>
      <c r="J89" s="410" t="e">
        <f>+J88*$J$11/$J$10</f>
        <v>#REF!</v>
      </c>
      <c r="K89" s="409"/>
      <c r="L89" s="410"/>
      <c r="M89" s="421" t="e">
        <f>+M88*$M$11/$M$10</f>
        <v>#VALUE!</v>
      </c>
      <c r="N89" s="422">
        <f>+N88*$N$11/$N$10</f>
        <v>16448181.818181818</v>
      </c>
      <c r="O89" s="410">
        <f>+O88*$O$11/$O$10</f>
        <v>21930909.09090909</v>
      </c>
      <c r="P89" s="410" t="e">
        <f>+P88*$P$11/$P$10</f>
        <v>#VALUE!</v>
      </c>
      <c r="Q89" s="410" t="e">
        <f>+Q88*$Q$11/$Q$10</f>
        <v>#VALUE!</v>
      </c>
      <c r="R89" s="410" t="e">
        <f>+R88*$R$11/$R$10</f>
        <v>#VALUE!</v>
      </c>
      <c r="S89" s="411"/>
      <c r="T89" s="167"/>
      <c r="U89" s="174">
        <f>+U88*$U$11/$U$10</f>
        <v>47452307.692307696</v>
      </c>
      <c r="V89" s="423" t="e">
        <f>+V88*$V$11/$V$10</f>
        <v>#REF!</v>
      </c>
      <c r="W89" s="410" t="e">
        <f>+W88*$W$11/$W$10</f>
        <v>#REF!</v>
      </c>
      <c r="X89" s="411"/>
      <c r="Y89" s="411"/>
      <c r="Z89" s="424">
        <f>+Z88*$Z$11/$Z$10</f>
        <v>12780000</v>
      </c>
      <c r="AA89" s="425">
        <f>+AA88*$AA$11/$AA$10</f>
        <v>35789590.909090906</v>
      </c>
      <c r="AB89" s="409">
        <f>+AB88*$AB$11/$AB$10</f>
        <v>31812969.696969695</v>
      </c>
      <c r="AC89" s="409" t="e">
        <f>+AC88*$AC$11/$AC$10</f>
        <v>#VALUE!</v>
      </c>
      <c r="AD89" s="409" t="e">
        <f>+AD88*$AD$11/$AD$10</f>
        <v>#VALUE!</v>
      </c>
      <c r="AE89" s="409" t="e">
        <f>+AE88*$AE$11/$AE$10</f>
        <v>#VALUE!</v>
      </c>
      <c r="AF89" s="710"/>
      <c r="AG89" s="829"/>
      <c r="AH89" s="710"/>
      <c r="AI89" s="710"/>
      <c r="AJ89" s="710"/>
      <c r="AK89" s="710"/>
      <c r="AL89" s="710"/>
      <c r="AM89" s="710"/>
      <c r="AN89" s="710"/>
      <c r="AO89" s="710"/>
      <c r="AP89" s="710"/>
      <c r="AQ89" s="710"/>
      <c r="AR89" s="710"/>
      <c r="AS89" s="710"/>
      <c r="AT89" s="710"/>
      <c r="AU89" s="710"/>
      <c r="AV89" s="710"/>
      <c r="AW89" s="710"/>
      <c r="AX89" s="710"/>
      <c r="AY89" s="427"/>
    </row>
    <row r="90" spans="1:51" ht="49.5" customHeight="1" x14ac:dyDescent="0.25">
      <c r="A90" s="829"/>
      <c r="B90" s="710"/>
      <c r="C90" s="710"/>
      <c r="D90" s="408" t="s">
        <v>345</v>
      </c>
      <c r="E90" s="179"/>
      <c r="F90" s="180"/>
      <c r="G90" s="174"/>
      <c r="H90" s="174"/>
      <c r="I90" s="174"/>
      <c r="J90" s="410"/>
      <c r="K90" s="409"/>
      <c r="L90" s="410"/>
      <c r="M90" s="415"/>
      <c r="N90" s="410"/>
      <c r="O90" s="410"/>
      <c r="P90" s="410"/>
      <c r="Q90" s="410"/>
      <c r="R90" s="416"/>
      <c r="S90" s="411"/>
      <c r="T90" s="167"/>
      <c r="U90" s="167"/>
      <c r="V90" s="167"/>
      <c r="W90" s="415"/>
      <c r="X90" s="411"/>
      <c r="Y90" s="411"/>
      <c r="Z90" s="411"/>
      <c r="AA90" s="409"/>
      <c r="AB90" s="419"/>
      <c r="AC90" s="401"/>
      <c r="AD90" s="409"/>
      <c r="AE90" s="420"/>
      <c r="AF90" s="710"/>
      <c r="AG90" s="829"/>
      <c r="AH90" s="710"/>
      <c r="AI90" s="710"/>
      <c r="AJ90" s="710"/>
      <c r="AK90" s="710"/>
      <c r="AL90" s="710"/>
      <c r="AM90" s="710"/>
      <c r="AN90" s="710"/>
      <c r="AO90" s="710"/>
      <c r="AP90" s="710"/>
      <c r="AQ90" s="710"/>
      <c r="AR90" s="710"/>
      <c r="AS90" s="710"/>
      <c r="AT90" s="710"/>
      <c r="AU90" s="710"/>
      <c r="AV90" s="710"/>
      <c r="AW90" s="710"/>
      <c r="AX90" s="710"/>
      <c r="AY90" s="427"/>
    </row>
    <row r="91" spans="1:51" ht="77.25" customHeight="1" x14ac:dyDescent="0.25">
      <c r="A91" s="829"/>
      <c r="B91" s="710"/>
      <c r="C91" s="710"/>
      <c r="D91" s="404" t="s">
        <v>346</v>
      </c>
      <c r="E91" s="179"/>
      <c r="F91" s="180"/>
      <c r="G91" s="174"/>
      <c r="H91" s="174"/>
      <c r="I91" s="174"/>
      <c r="J91" s="410"/>
      <c r="K91" s="409"/>
      <c r="L91" s="410"/>
      <c r="M91" s="415"/>
      <c r="N91" s="410"/>
      <c r="O91" s="410"/>
      <c r="P91" s="410"/>
      <c r="Q91" s="410"/>
      <c r="R91" s="416"/>
      <c r="S91" s="411"/>
      <c r="T91" s="167"/>
      <c r="U91" s="167"/>
      <c r="V91" s="167"/>
      <c r="W91" s="415"/>
      <c r="X91" s="411"/>
      <c r="Y91" s="411"/>
      <c r="Z91" s="411"/>
      <c r="AA91" s="409"/>
      <c r="AB91" s="419"/>
      <c r="AC91" s="401"/>
      <c r="AD91" s="409"/>
      <c r="AE91" s="420"/>
      <c r="AF91" s="710"/>
      <c r="AG91" s="829"/>
      <c r="AH91" s="710"/>
      <c r="AI91" s="710"/>
      <c r="AJ91" s="710"/>
      <c r="AK91" s="710"/>
      <c r="AL91" s="710"/>
      <c r="AM91" s="710"/>
      <c r="AN91" s="710"/>
      <c r="AO91" s="710"/>
      <c r="AP91" s="710"/>
      <c r="AQ91" s="710"/>
      <c r="AR91" s="710"/>
      <c r="AS91" s="710"/>
      <c r="AT91" s="710"/>
      <c r="AU91" s="710"/>
      <c r="AV91" s="710"/>
      <c r="AW91" s="710"/>
      <c r="AX91" s="710"/>
      <c r="AY91" s="427"/>
    </row>
    <row r="92" spans="1:51" ht="101.25" customHeight="1" x14ac:dyDescent="0.25">
      <c r="A92" s="829"/>
      <c r="B92" s="710"/>
      <c r="C92" s="710"/>
      <c r="D92" s="408" t="s">
        <v>347</v>
      </c>
      <c r="E92" s="179"/>
      <c r="F92" s="180"/>
      <c r="G92" s="174"/>
      <c r="H92" s="174">
        <v>2</v>
      </c>
      <c r="I92" s="174">
        <v>6</v>
      </c>
      <c r="J92" s="410">
        <v>6</v>
      </c>
      <c r="K92" s="409"/>
      <c r="L92" s="410"/>
      <c r="M92" s="415"/>
      <c r="N92" s="410"/>
      <c r="O92" s="410">
        <f>+O88</f>
        <v>4</v>
      </c>
      <c r="P92" s="410">
        <v>6</v>
      </c>
      <c r="Q92" s="410">
        <v>8</v>
      </c>
      <c r="R92" s="416">
        <v>9</v>
      </c>
      <c r="S92" s="411"/>
      <c r="T92" s="167"/>
      <c r="U92" s="167">
        <v>2</v>
      </c>
      <c r="V92" s="167">
        <v>6</v>
      </c>
      <c r="W92" s="415">
        <v>6</v>
      </c>
      <c r="X92" s="411"/>
      <c r="Y92" s="411"/>
      <c r="Z92" s="411"/>
      <c r="AA92" s="409"/>
      <c r="AB92" s="409">
        <f>+AB88</f>
        <v>4</v>
      </c>
      <c r="AC92" s="401">
        <v>6</v>
      </c>
      <c r="AD92" s="409">
        <v>8</v>
      </c>
      <c r="AE92" s="420">
        <v>9</v>
      </c>
      <c r="AF92" s="710"/>
      <c r="AG92" s="829"/>
      <c r="AH92" s="710"/>
      <c r="AI92" s="710"/>
      <c r="AJ92" s="710"/>
      <c r="AK92" s="710"/>
      <c r="AL92" s="710"/>
      <c r="AM92" s="710"/>
      <c r="AN92" s="710"/>
      <c r="AO92" s="710"/>
      <c r="AP92" s="710"/>
      <c r="AQ92" s="710"/>
      <c r="AR92" s="710"/>
      <c r="AS92" s="710"/>
      <c r="AT92" s="710"/>
      <c r="AU92" s="710"/>
      <c r="AV92" s="710"/>
      <c r="AW92" s="710"/>
      <c r="AX92" s="710"/>
      <c r="AY92" s="427"/>
    </row>
    <row r="93" spans="1:51" ht="49.5" customHeight="1" x14ac:dyDescent="0.25">
      <c r="A93" s="829"/>
      <c r="B93" s="710"/>
      <c r="C93" s="731"/>
      <c r="D93" s="412" t="s">
        <v>348</v>
      </c>
      <c r="E93" s="179"/>
      <c r="F93" s="180"/>
      <c r="G93" s="174"/>
      <c r="H93" s="174">
        <f>+H92*$H$11/$H$10</f>
        <v>10544110.091743119</v>
      </c>
      <c r="I93" s="174" t="e">
        <f>+I92*$I$11/$I$10</f>
        <v>#REF!</v>
      </c>
      <c r="J93" s="410" t="e">
        <f>+J92*$J$11/$J$10</f>
        <v>#REF!</v>
      </c>
      <c r="K93" s="409"/>
      <c r="L93" s="410"/>
      <c r="M93" s="415"/>
      <c r="N93" s="410"/>
      <c r="O93" s="410">
        <f>+O89</f>
        <v>21930909.09090909</v>
      </c>
      <c r="P93" s="410" t="e">
        <f>+P92*$P$11/$P$10</f>
        <v>#VALUE!</v>
      </c>
      <c r="Q93" s="410" t="e">
        <f>+Q92*$Q$11/$Q$10</f>
        <v>#VALUE!</v>
      </c>
      <c r="R93" s="410" t="e">
        <f>+R92*$R$11/$R$10</f>
        <v>#VALUE!</v>
      </c>
      <c r="S93" s="411"/>
      <c r="T93" s="167"/>
      <c r="U93" s="174">
        <f>+U92*$U$11/$U$10</f>
        <v>47452307.692307696</v>
      </c>
      <c r="V93" s="423" t="e">
        <f>+V92*$V$11/$V$10</f>
        <v>#REF!</v>
      </c>
      <c r="W93" s="410" t="e">
        <f>+W92*$W$11/$W$10</f>
        <v>#REF!</v>
      </c>
      <c r="X93" s="411"/>
      <c r="Y93" s="411"/>
      <c r="Z93" s="411"/>
      <c r="AA93" s="409"/>
      <c r="AB93" s="409">
        <f>+AB89</f>
        <v>31812969.696969695</v>
      </c>
      <c r="AC93" s="409" t="e">
        <f>+AC92*$AC$11/$AC$10</f>
        <v>#VALUE!</v>
      </c>
      <c r="AD93" s="409" t="e">
        <f>+AD92*$AD$11/$AD$10</f>
        <v>#VALUE!</v>
      </c>
      <c r="AE93" s="409" t="e">
        <f>+AE92*$AE$11/$AE$10</f>
        <v>#VALUE!</v>
      </c>
      <c r="AF93" s="731"/>
      <c r="AG93" s="823"/>
      <c r="AH93" s="731"/>
      <c r="AI93" s="731"/>
      <c r="AJ93" s="731"/>
      <c r="AK93" s="731"/>
      <c r="AL93" s="731"/>
      <c r="AM93" s="731"/>
      <c r="AN93" s="731"/>
      <c r="AO93" s="731"/>
      <c r="AP93" s="731"/>
      <c r="AQ93" s="731"/>
      <c r="AR93" s="731"/>
      <c r="AS93" s="731"/>
      <c r="AT93" s="731"/>
      <c r="AU93" s="731"/>
      <c r="AV93" s="731"/>
      <c r="AW93" s="731"/>
      <c r="AX93" s="731"/>
      <c r="AY93" s="427"/>
    </row>
    <row r="94" spans="1:51" ht="18" hidden="1" customHeight="1" x14ac:dyDescent="0.25">
      <c r="A94" s="829"/>
      <c r="B94" s="710"/>
      <c r="C94" s="818" t="s">
        <v>659</v>
      </c>
      <c r="D94" s="413" t="s">
        <v>340</v>
      </c>
      <c r="E94" s="179"/>
      <c r="F94" s="180"/>
      <c r="G94" s="174"/>
      <c r="H94" s="174"/>
      <c r="I94" s="174"/>
      <c r="J94" s="410"/>
      <c r="K94" s="409"/>
      <c r="L94" s="410"/>
      <c r="M94" s="415"/>
      <c r="N94" s="410">
        <v>1</v>
      </c>
      <c r="O94" s="410">
        <v>1</v>
      </c>
      <c r="P94" s="410">
        <v>1</v>
      </c>
      <c r="Q94" s="410">
        <v>1</v>
      </c>
      <c r="R94" s="416">
        <v>1</v>
      </c>
      <c r="S94" s="411"/>
      <c r="T94" s="167"/>
      <c r="U94" s="167"/>
      <c r="V94" s="167"/>
      <c r="W94" s="415"/>
      <c r="X94" s="411"/>
      <c r="Y94" s="411"/>
      <c r="Z94" s="411"/>
      <c r="AA94" s="409">
        <v>1</v>
      </c>
      <c r="AB94" s="419">
        <v>1</v>
      </c>
      <c r="AC94" s="401">
        <v>1</v>
      </c>
      <c r="AD94" s="409">
        <v>1</v>
      </c>
      <c r="AE94" s="420">
        <v>1</v>
      </c>
      <c r="AF94" s="426"/>
      <c r="AG94" s="913" t="s">
        <v>659</v>
      </c>
      <c r="AH94" s="813" t="s">
        <v>1190</v>
      </c>
      <c r="AI94" s="813" t="s">
        <v>1190</v>
      </c>
      <c r="AJ94" s="813" t="s">
        <v>1191</v>
      </c>
      <c r="AK94" s="813" t="s">
        <v>457</v>
      </c>
      <c r="AL94" s="813" t="s">
        <v>178</v>
      </c>
      <c r="AM94" s="813" t="s">
        <v>1136</v>
      </c>
      <c r="AN94" s="909">
        <v>137026</v>
      </c>
      <c r="AO94" s="910">
        <v>64519</v>
      </c>
      <c r="AP94" s="910">
        <v>72507</v>
      </c>
      <c r="AQ94" s="911" t="s">
        <v>459</v>
      </c>
      <c r="AR94" s="911" t="s">
        <v>459</v>
      </c>
      <c r="AS94" s="911" t="s">
        <v>459</v>
      </c>
      <c r="AT94" s="911" t="s">
        <v>459</v>
      </c>
      <c r="AU94" s="915" t="s">
        <v>459</v>
      </c>
      <c r="AV94" s="915" t="s">
        <v>459</v>
      </c>
      <c r="AW94" s="915" t="s">
        <v>459</v>
      </c>
      <c r="AX94" s="910">
        <v>137026</v>
      </c>
      <c r="AY94" s="427"/>
    </row>
    <row r="95" spans="1:51" ht="18" hidden="1" customHeight="1" x14ac:dyDescent="0.25">
      <c r="A95" s="829"/>
      <c r="B95" s="710"/>
      <c r="C95" s="710"/>
      <c r="D95" s="404" t="s">
        <v>343</v>
      </c>
      <c r="E95" s="179"/>
      <c r="F95" s="180"/>
      <c r="G95" s="174"/>
      <c r="H95" s="174"/>
      <c r="I95" s="174"/>
      <c r="J95" s="410"/>
      <c r="K95" s="409"/>
      <c r="L95" s="410"/>
      <c r="M95" s="415"/>
      <c r="N95" s="422">
        <f>+N94*$N$11/$N$10</f>
        <v>5482727.2727272725</v>
      </c>
      <c r="O95" s="410">
        <f>+O94*$O$11/$O$10</f>
        <v>5482727.2727272725</v>
      </c>
      <c r="P95" s="410" t="e">
        <f>+P94*$P$11/$P$10</f>
        <v>#VALUE!</v>
      </c>
      <c r="Q95" s="410" t="e">
        <f>+Q94*$Q$11/$Q$10</f>
        <v>#VALUE!</v>
      </c>
      <c r="R95" s="410" t="e">
        <f>+R94*$R$11/$R$10</f>
        <v>#VALUE!</v>
      </c>
      <c r="S95" s="411"/>
      <c r="T95" s="167"/>
      <c r="U95" s="167"/>
      <c r="V95" s="167"/>
      <c r="W95" s="415"/>
      <c r="X95" s="411"/>
      <c r="Y95" s="411"/>
      <c r="Z95" s="411"/>
      <c r="AA95" s="425">
        <f>+AA94*$AA$11/$AA$10</f>
        <v>11929863.636363637</v>
      </c>
      <c r="AB95" s="409">
        <f>+AB94*$AB$11/$AB$10</f>
        <v>7953242.4242424238</v>
      </c>
      <c r="AC95" s="401"/>
      <c r="AD95" s="409" t="e">
        <f>+AD94*$AD$11/$AD$10</f>
        <v>#VALUE!</v>
      </c>
      <c r="AE95" s="409" t="e">
        <f>+AE94*$AE$11/$AE$10</f>
        <v>#VALUE!</v>
      </c>
      <c r="AF95" s="426"/>
      <c r="AG95" s="829"/>
      <c r="AH95" s="710"/>
      <c r="AI95" s="710"/>
      <c r="AJ95" s="710"/>
      <c r="AK95" s="710"/>
      <c r="AL95" s="710"/>
      <c r="AM95" s="710"/>
      <c r="AN95" s="710"/>
      <c r="AO95" s="710"/>
      <c r="AP95" s="710"/>
      <c r="AQ95" s="710"/>
      <c r="AR95" s="710"/>
      <c r="AS95" s="710"/>
      <c r="AT95" s="710"/>
      <c r="AU95" s="710"/>
      <c r="AV95" s="710"/>
      <c r="AW95" s="710"/>
      <c r="AX95" s="710"/>
      <c r="AY95" s="427"/>
    </row>
    <row r="96" spans="1:51" ht="27" hidden="1" customHeight="1" x14ac:dyDescent="0.25">
      <c r="A96" s="829"/>
      <c r="B96" s="710"/>
      <c r="C96" s="710"/>
      <c r="D96" s="408" t="s">
        <v>345</v>
      </c>
      <c r="E96" s="179"/>
      <c r="F96" s="180"/>
      <c r="G96" s="174"/>
      <c r="H96" s="174"/>
      <c r="I96" s="174"/>
      <c r="J96" s="410"/>
      <c r="K96" s="409"/>
      <c r="L96" s="410"/>
      <c r="M96" s="415"/>
      <c r="N96" s="410"/>
      <c r="O96" s="410"/>
      <c r="P96" s="410"/>
      <c r="Q96" s="410"/>
      <c r="R96" s="416"/>
      <c r="S96" s="411"/>
      <c r="T96" s="167"/>
      <c r="U96" s="167"/>
      <c r="V96" s="167"/>
      <c r="W96" s="415"/>
      <c r="X96" s="411"/>
      <c r="Y96" s="411"/>
      <c r="Z96" s="411"/>
      <c r="AA96" s="409"/>
      <c r="AB96" s="419"/>
      <c r="AC96" s="401"/>
      <c r="AD96" s="409"/>
      <c r="AE96" s="420"/>
      <c r="AF96" s="426"/>
      <c r="AG96" s="829"/>
      <c r="AH96" s="710"/>
      <c r="AI96" s="710"/>
      <c r="AJ96" s="710"/>
      <c r="AK96" s="710"/>
      <c r="AL96" s="710"/>
      <c r="AM96" s="710"/>
      <c r="AN96" s="710"/>
      <c r="AO96" s="710"/>
      <c r="AP96" s="710"/>
      <c r="AQ96" s="710"/>
      <c r="AR96" s="710"/>
      <c r="AS96" s="710"/>
      <c r="AT96" s="710"/>
      <c r="AU96" s="710"/>
      <c r="AV96" s="710"/>
      <c r="AW96" s="710"/>
      <c r="AX96" s="710"/>
      <c r="AY96" s="427"/>
    </row>
    <row r="97" spans="1:51" ht="27" hidden="1" customHeight="1" x14ac:dyDescent="0.25">
      <c r="A97" s="829"/>
      <c r="B97" s="710"/>
      <c r="C97" s="710"/>
      <c r="D97" s="404" t="s">
        <v>346</v>
      </c>
      <c r="E97" s="179"/>
      <c r="F97" s="180"/>
      <c r="G97" s="174"/>
      <c r="H97" s="174"/>
      <c r="I97" s="174"/>
      <c r="J97" s="410"/>
      <c r="K97" s="409"/>
      <c r="L97" s="410"/>
      <c r="M97" s="415"/>
      <c r="N97" s="410"/>
      <c r="O97" s="410"/>
      <c r="P97" s="410"/>
      <c r="Q97" s="410"/>
      <c r="R97" s="416"/>
      <c r="S97" s="411"/>
      <c r="T97" s="167"/>
      <c r="U97" s="167"/>
      <c r="V97" s="167"/>
      <c r="W97" s="415"/>
      <c r="X97" s="411"/>
      <c r="Y97" s="411"/>
      <c r="Z97" s="411"/>
      <c r="AA97" s="409"/>
      <c r="AB97" s="419"/>
      <c r="AC97" s="401"/>
      <c r="AD97" s="409"/>
      <c r="AE97" s="420"/>
      <c r="AF97" s="426"/>
      <c r="AG97" s="829"/>
      <c r="AH97" s="710"/>
      <c r="AI97" s="710"/>
      <c r="AJ97" s="710"/>
      <c r="AK97" s="710"/>
      <c r="AL97" s="710"/>
      <c r="AM97" s="710"/>
      <c r="AN97" s="710"/>
      <c r="AO97" s="710"/>
      <c r="AP97" s="710"/>
      <c r="AQ97" s="710"/>
      <c r="AR97" s="710"/>
      <c r="AS97" s="710"/>
      <c r="AT97" s="710"/>
      <c r="AU97" s="710"/>
      <c r="AV97" s="710"/>
      <c r="AW97" s="710"/>
      <c r="AX97" s="710"/>
      <c r="AY97" s="427"/>
    </row>
    <row r="98" spans="1:51" ht="27" hidden="1" customHeight="1" x14ac:dyDescent="0.25">
      <c r="A98" s="829"/>
      <c r="B98" s="710"/>
      <c r="C98" s="710"/>
      <c r="D98" s="408" t="s">
        <v>347</v>
      </c>
      <c r="E98" s="179"/>
      <c r="F98" s="180"/>
      <c r="G98" s="174"/>
      <c r="H98" s="174"/>
      <c r="I98" s="174"/>
      <c r="J98" s="410"/>
      <c r="K98" s="409"/>
      <c r="L98" s="410"/>
      <c r="M98" s="415"/>
      <c r="N98" s="410"/>
      <c r="O98" s="410">
        <f>+O94</f>
        <v>1</v>
      </c>
      <c r="P98" s="410">
        <v>1</v>
      </c>
      <c r="Q98" s="410">
        <v>1</v>
      </c>
      <c r="R98" s="416">
        <v>1</v>
      </c>
      <c r="S98" s="411"/>
      <c r="T98" s="167"/>
      <c r="U98" s="167"/>
      <c r="V98" s="167"/>
      <c r="W98" s="415"/>
      <c r="X98" s="411"/>
      <c r="Y98" s="411"/>
      <c r="Z98" s="411"/>
      <c r="AA98" s="409"/>
      <c r="AB98" s="409">
        <f>+AB94</f>
        <v>1</v>
      </c>
      <c r="AC98" s="401">
        <v>1</v>
      </c>
      <c r="AD98" s="409">
        <v>1</v>
      </c>
      <c r="AE98" s="420">
        <v>1</v>
      </c>
      <c r="AF98" s="426"/>
      <c r="AG98" s="829"/>
      <c r="AH98" s="710"/>
      <c r="AI98" s="710"/>
      <c r="AJ98" s="710"/>
      <c r="AK98" s="710"/>
      <c r="AL98" s="710"/>
      <c r="AM98" s="710"/>
      <c r="AN98" s="710"/>
      <c r="AO98" s="710"/>
      <c r="AP98" s="710"/>
      <c r="AQ98" s="710"/>
      <c r="AR98" s="710"/>
      <c r="AS98" s="710"/>
      <c r="AT98" s="710"/>
      <c r="AU98" s="710"/>
      <c r="AV98" s="710"/>
      <c r="AW98" s="710"/>
      <c r="AX98" s="710"/>
      <c r="AY98" s="427"/>
    </row>
    <row r="99" spans="1:51" ht="27.75" hidden="1" customHeight="1" x14ac:dyDescent="0.25">
      <c r="A99" s="829"/>
      <c r="B99" s="710"/>
      <c r="C99" s="731"/>
      <c r="D99" s="412" t="s">
        <v>348</v>
      </c>
      <c r="E99" s="179"/>
      <c r="F99" s="180"/>
      <c r="G99" s="174"/>
      <c r="H99" s="174"/>
      <c r="I99" s="174"/>
      <c r="J99" s="410"/>
      <c r="K99" s="409"/>
      <c r="L99" s="410"/>
      <c r="M99" s="415"/>
      <c r="N99" s="410"/>
      <c r="O99" s="410">
        <f>+O95</f>
        <v>5482727.2727272725</v>
      </c>
      <c r="P99" s="410" t="e">
        <f>+P98*$P$11/$P$10</f>
        <v>#VALUE!</v>
      </c>
      <c r="Q99" s="410" t="e">
        <f>+Q98*$Q$11/$Q$10</f>
        <v>#VALUE!</v>
      </c>
      <c r="R99" s="410" t="e">
        <f>+R98*$R$11/$R$10</f>
        <v>#VALUE!</v>
      </c>
      <c r="S99" s="411"/>
      <c r="T99" s="167"/>
      <c r="U99" s="167"/>
      <c r="V99" s="167"/>
      <c r="W99" s="415"/>
      <c r="X99" s="411"/>
      <c r="Y99" s="411"/>
      <c r="Z99" s="411"/>
      <c r="AA99" s="409"/>
      <c r="AB99" s="409">
        <f>+AB95</f>
        <v>7953242.4242424238</v>
      </c>
      <c r="AC99" s="409" t="e">
        <f>+AC98*$AC$11/$AC$10</f>
        <v>#VALUE!</v>
      </c>
      <c r="AD99" s="409" t="e">
        <f>+AD98*$AD$11/$AD$10</f>
        <v>#VALUE!</v>
      </c>
      <c r="AE99" s="409" t="e">
        <f>+AE98*$AE$11/$AE$10</f>
        <v>#VALUE!</v>
      </c>
      <c r="AF99" s="426"/>
      <c r="AG99" s="823"/>
      <c r="AH99" s="731"/>
      <c r="AI99" s="731"/>
      <c r="AJ99" s="731"/>
      <c r="AK99" s="731"/>
      <c r="AL99" s="731"/>
      <c r="AM99" s="731"/>
      <c r="AN99" s="731"/>
      <c r="AO99" s="731"/>
      <c r="AP99" s="731"/>
      <c r="AQ99" s="731"/>
      <c r="AR99" s="731"/>
      <c r="AS99" s="731"/>
      <c r="AT99" s="731"/>
      <c r="AU99" s="731"/>
      <c r="AV99" s="731"/>
      <c r="AW99" s="731"/>
      <c r="AX99" s="731"/>
      <c r="AY99" s="427"/>
    </row>
    <row r="100" spans="1:51" ht="18" hidden="1" customHeight="1" x14ac:dyDescent="0.25">
      <c r="A100" s="829"/>
      <c r="B100" s="710"/>
      <c r="C100" s="818" t="s">
        <v>1192</v>
      </c>
      <c r="D100" s="413" t="s">
        <v>340</v>
      </c>
      <c r="E100" s="179"/>
      <c r="F100" s="180"/>
      <c r="G100" s="174"/>
      <c r="H100" s="174"/>
      <c r="I100" s="174"/>
      <c r="J100" s="410"/>
      <c r="K100" s="409"/>
      <c r="L100" s="410"/>
      <c r="M100" s="415"/>
      <c r="N100" s="410"/>
      <c r="O100" s="410"/>
      <c r="P100" s="410"/>
      <c r="Q100" s="410">
        <v>1</v>
      </c>
      <c r="R100" s="416">
        <v>2</v>
      </c>
      <c r="S100" s="411"/>
      <c r="T100" s="167"/>
      <c r="U100" s="167"/>
      <c r="V100" s="167"/>
      <c r="W100" s="415"/>
      <c r="X100" s="411"/>
      <c r="Y100" s="411"/>
      <c r="Z100" s="411"/>
      <c r="AA100" s="409"/>
      <c r="AB100" s="419"/>
      <c r="AC100" s="401"/>
      <c r="AD100" s="409">
        <v>1</v>
      </c>
      <c r="AE100" s="420">
        <v>2</v>
      </c>
      <c r="AF100" s="426"/>
      <c r="AG100" s="913" t="s">
        <v>1192</v>
      </c>
      <c r="AH100" s="813" t="s">
        <v>1193</v>
      </c>
      <c r="AI100" s="813" t="s">
        <v>1194</v>
      </c>
      <c r="AJ100" s="914" t="s">
        <v>1149</v>
      </c>
      <c r="AK100" s="813" t="s">
        <v>457</v>
      </c>
      <c r="AL100" s="813" t="s">
        <v>178</v>
      </c>
      <c r="AM100" s="813" t="s">
        <v>1136</v>
      </c>
      <c r="AN100" s="909">
        <v>140135</v>
      </c>
      <c r="AO100" s="910">
        <v>70844</v>
      </c>
      <c r="AP100" s="910">
        <v>80573</v>
      </c>
      <c r="AQ100" s="911" t="s">
        <v>459</v>
      </c>
      <c r="AR100" s="911" t="s">
        <v>459</v>
      </c>
      <c r="AS100" s="911" t="s">
        <v>459</v>
      </c>
      <c r="AT100" s="911" t="s">
        <v>459</v>
      </c>
      <c r="AU100" s="915" t="s">
        <v>459</v>
      </c>
      <c r="AV100" s="915" t="s">
        <v>459</v>
      </c>
      <c r="AW100" s="915" t="s">
        <v>459</v>
      </c>
      <c r="AX100" s="910">
        <v>140135</v>
      </c>
      <c r="AY100" s="427"/>
    </row>
    <row r="101" spans="1:51" ht="18.75" hidden="1" customHeight="1" x14ac:dyDescent="0.25">
      <c r="A101" s="829"/>
      <c r="B101" s="710"/>
      <c r="C101" s="710"/>
      <c r="D101" s="404" t="s">
        <v>343</v>
      </c>
      <c r="E101" s="179"/>
      <c r="F101" s="180"/>
      <c r="G101" s="174"/>
      <c r="H101" s="174"/>
      <c r="I101" s="174"/>
      <c r="J101" s="410"/>
      <c r="K101" s="409"/>
      <c r="L101" s="410"/>
      <c r="M101" s="415"/>
      <c r="N101" s="410"/>
      <c r="O101" s="410"/>
      <c r="P101" s="410"/>
      <c r="Q101" s="410" t="e">
        <f>+Q100*$Q$11/$Q$10</f>
        <v>#VALUE!</v>
      </c>
      <c r="R101" s="410" t="e">
        <f>+R100*$R$11/$R$10</f>
        <v>#VALUE!</v>
      </c>
      <c r="S101" s="411"/>
      <c r="T101" s="167"/>
      <c r="U101" s="167"/>
      <c r="V101" s="167"/>
      <c r="W101" s="415"/>
      <c r="X101" s="411"/>
      <c r="Y101" s="411"/>
      <c r="Z101" s="411"/>
      <c r="AA101" s="409"/>
      <c r="AB101" s="419"/>
      <c r="AC101" s="401"/>
      <c r="AD101" s="409" t="e">
        <f>+AD100*$AD$11/$AD$10</f>
        <v>#VALUE!</v>
      </c>
      <c r="AE101" s="409" t="e">
        <f>+AE100*$AE$11/$AE$10</f>
        <v>#VALUE!</v>
      </c>
      <c r="AF101" s="426"/>
      <c r="AG101" s="829"/>
      <c r="AH101" s="710"/>
      <c r="AI101" s="710"/>
      <c r="AJ101" s="710"/>
      <c r="AK101" s="710"/>
      <c r="AL101" s="710"/>
      <c r="AM101" s="710"/>
      <c r="AN101" s="710"/>
      <c r="AO101" s="710"/>
      <c r="AP101" s="710"/>
      <c r="AQ101" s="710"/>
      <c r="AR101" s="710"/>
      <c r="AS101" s="710"/>
      <c r="AT101" s="710"/>
      <c r="AU101" s="710"/>
      <c r="AV101" s="710"/>
      <c r="AW101" s="710"/>
      <c r="AX101" s="710"/>
      <c r="AY101" s="427"/>
    </row>
    <row r="102" spans="1:51" ht="27.75" hidden="1" customHeight="1" x14ac:dyDescent="0.25">
      <c r="A102" s="829"/>
      <c r="B102" s="710"/>
      <c r="C102" s="710"/>
      <c r="D102" s="408" t="s">
        <v>345</v>
      </c>
      <c r="E102" s="179"/>
      <c r="F102" s="180"/>
      <c r="G102" s="174"/>
      <c r="H102" s="174"/>
      <c r="I102" s="174"/>
      <c r="J102" s="410"/>
      <c r="K102" s="409"/>
      <c r="L102" s="410"/>
      <c r="M102" s="415"/>
      <c r="N102" s="410"/>
      <c r="O102" s="410"/>
      <c r="P102" s="410"/>
      <c r="Q102" s="410"/>
      <c r="R102" s="416"/>
      <c r="S102" s="411"/>
      <c r="T102" s="167"/>
      <c r="U102" s="167"/>
      <c r="V102" s="167"/>
      <c r="W102" s="415"/>
      <c r="X102" s="411"/>
      <c r="Y102" s="411"/>
      <c r="Z102" s="411"/>
      <c r="AA102" s="409"/>
      <c r="AB102" s="419"/>
      <c r="AC102" s="401"/>
      <c r="AD102" s="409"/>
      <c r="AE102" s="420"/>
      <c r="AF102" s="426"/>
      <c r="AG102" s="829"/>
      <c r="AH102" s="710"/>
      <c r="AI102" s="710"/>
      <c r="AJ102" s="710"/>
      <c r="AK102" s="710"/>
      <c r="AL102" s="710"/>
      <c r="AM102" s="710"/>
      <c r="AN102" s="710"/>
      <c r="AO102" s="710"/>
      <c r="AP102" s="710"/>
      <c r="AQ102" s="710"/>
      <c r="AR102" s="710"/>
      <c r="AS102" s="710"/>
      <c r="AT102" s="710"/>
      <c r="AU102" s="710"/>
      <c r="AV102" s="710"/>
      <c r="AW102" s="710"/>
      <c r="AX102" s="710"/>
      <c r="AY102" s="427"/>
    </row>
    <row r="103" spans="1:51" ht="27.75" hidden="1" customHeight="1" x14ac:dyDescent="0.25">
      <c r="A103" s="829"/>
      <c r="B103" s="710"/>
      <c r="C103" s="710"/>
      <c r="D103" s="404" t="s">
        <v>346</v>
      </c>
      <c r="E103" s="179"/>
      <c r="F103" s="180"/>
      <c r="G103" s="174"/>
      <c r="H103" s="174"/>
      <c r="I103" s="174"/>
      <c r="J103" s="410"/>
      <c r="K103" s="409"/>
      <c r="L103" s="410"/>
      <c r="M103" s="415"/>
      <c r="N103" s="410"/>
      <c r="O103" s="410"/>
      <c r="P103" s="410"/>
      <c r="Q103" s="410"/>
      <c r="R103" s="416"/>
      <c r="S103" s="411"/>
      <c r="T103" s="167"/>
      <c r="U103" s="167"/>
      <c r="V103" s="167"/>
      <c r="W103" s="415"/>
      <c r="X103" s="411"/>
      <c r="Y103" s="411"/>
      <c r="Z103" s="411"/>
      <c r="AA103" s="409"/>
      <c r="AB103" s="419"/>
      <c r="AC103" s="401"/>
      <c r="AD103" s="409"/>
      <c r="AE103" s="420"/>
      <c r="AF103" s="426"/>
      <c r="AG103" s="829"/>
      <c r="AH103" s="710"/>
      <c r="AI103" s="710"/>
      <c r="AJ103" s="710"/>
      <c r="AK103" s="710"/>
      <c r="AL103" s="710"/>
      <c r="AM103" s="710"/>
      <c r="AN103" s="710"/>
      <c r="AO103" s="710"/>
      <c r="AP103" s="710"/>
      <c r="AQ103" s="710"/>
      <c r="AR103" s="710"/>
      <c r="AS103" s="710"/>
      <c r="AT103" s="710"/>
      <c r="AU103" s="710"/>
      <c r="AV103" s="710"/>
      <c r="AW103" s="710"/>
      <c r="AX103" s="710"/>
      <c r="AY103" s="427"/>
    </row>
    <row r="104" spans="1:51" ht="27.75" hidden="1" customHeight="1" x14ac:dyDescent="0.25">
      <c r="A104" s="829"/>
      <c r="B104" s="710"/>
      <c r="C104" s="710"/>
      <c r="D104" s="408" t="s">
        <v>347</v>
      </c>
      <c r="E104" s="179"/>
      <c r="F104" s="180"/>
      <c r="G104" s="174"/>
      <c r="H104" s="174"/>
      <c r="I104" s="174"/>
      <c r="J104" s="410"/>
      <c r="K104" s="409"/>
      <c r="L104" s="410"/>
      <c r="M104" s="415"/>
      <c r="N104" s="410"/>
      <c r="O104" s="410">
        <f>+O100</f>
        <v>0</v>
      </c>
      <c r="P104" s="410"/>
      <c r="Q104" s="410">
        <v>1</v>
      </c>
      <c r="R104" s="416">
        <v>2</v>
      </c>
      <c r="S104" s="411"/>
      <c r="T104" s="167"/>
      <c r="U104" s="167"/>
      <c r="V104" s="167"/>
      <c r="W104" s="415"/>
      <c r="X104" s="411"/>
      <c r="Y104" s="411"/>
      <c r="Z104" s="411"/>
      <c r="AA104" s="409"/>
      <c r="AB104" s="419"/>
      <c r="AC104" s="401"/>
      <c r="AD104" s="409">
        <v>1</v>
      </c>
      <c r="AE104" s="420">
        <v>2</v>
      </c>
      <c r="AF104" s="426"/>
      <c r="AG104" s="829"/>
      <c r="AH104" s="710"/>
      <c r="AI104" s="710"/>
      <c r="AJ104" s="710"/>
      <c r="AK104" s="710"/>
      <c r="AL104" s="710"/>
      <c r="AM104" s="710"/>
      <c r="AN104" s="710"/>
      <c r="AO104" s="710"/>
      <c r="AP104" s="710"/>
      <c r="AQ104" s="710"/>
      <c r="AR104" s="710"/>
      <c r="AS104" s="710"/>
      <c r="AT104" s="710"/>
      <c r="AU104" s="710"/>
      <c r="AV104" s="710"/>
      <c r="AW104" s="710"/>
      <c r="AX104" s="710"/>
      <c r="AY104" s="427"/>
    </row>
    <row r="105" spans="1:51" ht="27.75" hidden="1" customHeight="1" x14ac:dyDescent="0.25">
      <c r="A105" s="829"/>
      <c r="B105" s="710"/>
      <c r="C105" s="731"/>
      <c r="D105" s="412" t="s">
        <v>348</v>
      </c>
      <c r="E105" s="179"/>
      <c r="F105" s="180"/>
      <c r="G105" s="174"/>
      <c r="H105" s="174"/>
      <c r="I105" s="174"/>
      <c r="J105" s="410"/>
      <c r="K105" s="409"/>
      <c r="L105" s="410"/>
      <c r="M105" s="415"/>
      <c r="N105" s="410"/>
      <c r="O105" s="410">
        <f>+O101</f>
        <v>0</v>
      </c>
      <c r="P105" s="410"/>
      <c r="Q105" s="410" t="e">
        <f>+Q104*$Q$11/$Q$10</f>
        <v>#VALUE!</v>
      </c>
      <c r="R105" s="410" t="e">
        <f>+R104*$R$11/$R$10</f>
        <v>#VALUE!</v>
      </c>
      <c r="S105" s="411"/>
      <c r="T105" s="167"/>
      <c r="U105" s="167"/>
      <c r="V105" s="167"/>
      <c r="W105" s="415"/>
      <c r="X105" s="411"/>
      <c r="Y105" s="411"/>
      <c r="Z105" s="411"/>
      <c r="AA105" s="409"/>
      <c r="AB105" s="419"/>
      <c r="AC105" s="401"/>
      <c r="AD105" s="409" t="e">
        <f>+AD104*$AD$11/$AD$10</f>
        <v>#VALUE!</v>
      </c>
      <c r="AE105" s="409" t="e">
        <f>+AE104*$AE$11/$AE$10</f>
        <v>#VALUE!</v>
      </c>
      <c r="AF105" s="426"/>
      <c r="AG105" s="823"/>
      <c r="AH105" s="731"/>
      <c r="AI105" s="731"/>
      <c r="AJ105" s="731"/>
      <c r="AK105" s="731"/>
      <c r="AL105" s="731"/>
      <c r="AM105" s="731"/>
      <c r="AN105" s="731"/>
      <c r="AO105" s="731"/>
      <c r="AP105" s="731"/>
      <c r="AQ105" s="731"/>
      <c r="AR105" s="731"/>
      <c r="AS105" s="731"/>
      <c r="AT105" s="731"/>
      <c r="AU105" s="731"/>
      <c r="AV105" s="731"/>
      <c r="AW105" s="731"/>
      <c r="AX105" s="731"/>
      <c r="AY105" s="427"/>
    </row>
    <row r="106" spans="1:51" ht="18" hidden="1" customHeight="1" x14ac:dyDescent="0.25">
      <c r="A106" s="829"/>
      <c r="B106" s="710"/>
      <c r="C106" s="818" t="s">
        <v>662</v>
      </c>
      <c r="D106" s="413" t="s">
        <v>340</v>
      </c>
      <c r="E106" s="179"/>
      <c r="F106" s="180"/>
      <c r="G106" s="174"/>
      <c r="H106" s="174"/>
      <c r="I106" s="174"/>
      <c r="J106" s="410"/>
      <c r="K106" s="409"/>
      <c r="L106" s="410"/>
      <c r="M106" s="415"/>
      <c r="N106" s="410">
        <v>1</v>
      </c>
      <c r="O106" s="410">
        <v>1</v>
      </c>
      <c r="P106" s="410">
        <v>1</v>
      </c>
      <c r="Q106" s="410">
        <v>1</v>
      </c>
      <c r="R106" s="416">
        <v>1</v>
      </c>
      <c r="S106" s="411"/>
      <c r="T106" s="167"/>
      <c r="U106" s="167"/>
      <c r="V106" s="167"/>
      <c r="W106" s="415"/>
      <c r="X106" s="411"/>
      <c r="Y106" s="411"/>
      <c r="Z106" s="411"/>
      <c r="AA106" s="409">
        <v>1</v>
      </c>
      <c r="AB106" s="419">
        <v>1</v>
      </c>
      <c r="AC106" s="401">
        <v>1</v>
      </c>
      <c r="AD106" s="409">
        <v>1</v>
      </c>
      <c r="AE106" s="420">
        <v>1</v>
      </c>
      <c r="AF106" s="426"/>
      <c r="AG106" s="913" t="s">
        <v>662</v>
      </c>
      <c r="AH106" s="813" t="s">
        <v>1190</v>
      </c>
      <c r="AI106" s="813" t="s">
        <v>1190</v>
      </c>
      <c r="AJ106" s="813" t="s">
        <v>1191</v>
      </c>
      <c r="AK106" s="813" t="s">
        <v>457</v>
      </c>
      <c r="AL106" s="813" t="s">
        <v>178</v>
      </c>
      <c r="AM106" s="813" t="s">
        <v>1136</v>
      </c>
      <c r="AN106" s="909">
        <v>75776</v>
      </c>
      <c r="AO106" s="910">
        <v>37102</v>
      </c>
      <c r="AP106" s="910">
        <v>38674</v>
      </c>
      <c r="AQ106" s="911" t="s">
        <v>459</v>
      </c>
      <c r="AR106" s="911" t="s">
        <v>459</v>
      </c>
      <c r="AS106" s="911" t="s">
        <v>459</v>
      </c>
      <c r="AT106" s="911" t="s">
        <v>459</v>
      </c>
      <c r="AU106" s="915" t="s">
        <v>459</v>
      </c>
      <c r="AV106" s="915" t="s">
        <v>459</v>
      </c>
      <c r="AW106" s="915" t="s">
        <v>459</v>
      </c>
      <c r="AX106" s="910">
        <v>75776</v>
      </c>
      <c r="AY106" s="427"/>
    </row>
    <row r="107" spans="1:51" ht="18" hidden="1" customHeight="1" x14ac:dyDescent="0.25">
      <c r="A107" s="829"/>
      <c r="B107" s="710"/>
      <c r="C107" s="710"/>
      <c r="D107" s="404" t="s">
        <v>343</v>
      </c>
      <c r="E107" s="179"/>
      <c r="F107" s="180"/>
      <c r="G107" s="174"/>
      <c r="H107" s="174"/>
      <c r="I107" s="174"/>
      <c r="J107" s="410"/>
      <c r="K107" s="409"/>
      <c r="L107" s="410"/>
      <c r="M107" s="415"/>
      <c r="N107" s="422">
        <f>+N106*$N$11/$N$10</f>
        <v>5482727.2727272725</v>
      </c>
      <c r="O107" s="410">
        <f>+O106*$O$11/$O$10</f>
        <v>5482727.2727272725</v>
      </c>
      <c r="P107" s="410" t="e">
        <f>+P106*$P$11/$P$10</f>
        <v>#VALUE!</v>
      </c>
      <c r="Q107" s="410" t="e">
        <f>+Q106*$Q$11/$Q$10</f>
        <v>#VALUE!</v>
      </c>
      <c r="R107" s="410" t="e">
        <f>+R106*$R$11/$R$10</f>
        <v>#VALUE!</v>
      </c>
      <c r="S107" s="411"/>
      <c r="T107" s="167"/>
      <c r="U107" s="167"/>
      <c r="V107" s="167"/>
      <c r="W107" s="415"/>
      <c r="X107" s="411"/>
      <c r="Y107" s="411"/>
      <c r="Z107" s="411"/>
      <c r="AA107" s="425">
        <f>+AA106*$AA$11/$AA$10</f>
        <v>11929863.636363637</v>
      </c>
      <c r="AB107" s="409">
        <f>+AB106*$AB$11/$AB$10</f>
        <v>7953242.4242424238</v>
      </c>
      <c r="AC107" s="409" t="e">
        <f>+AC106*$AC$11/$AC$10</f>
        <v>#VALUE!</v>
      </c>
      <c r="AD107" s="409" t="e">
        <f>+AD106*$AD$11/$AD$10</f>
        <v>#VALUE!</v>
      </c>
      <c r="AE107" s="409" t="e">
        <f>+AE106*$AE$11/$AE$10</f>
        <v>#VALUE!</v>
      </c>
      <c r="AF107" s="426"/>
      <c r="AG107" s="829"/>
      <c r="AH107" s="710"/>
      <c r="AI107" s="710"/>
      <c r="AJ107" s="710"/>
      <c r="AK107" s="710"/>
      <c r="AL107" s="710"/>
      <c r="AM107" s="710"/>
      <c r="AN107" s="710"/>
      <c r="AO107" s="710"/>
      <c r="AP107" s="710"/>
      <c r="AQ107" s="710"/>
      <c r="AR107" s="710"/>
      <c r="AS107" s="710"/>
      <c r="AT107" s="710"/>
      <c r="AU107" s="710"/>
      <c r="AV107" s="710"/>
      <c r="AW107" s="710"/>
      <c r="AX107" s="710"/>
      <c r="AY107" s="427"/>
    </row>
    <row r="108" spans="1:51" ht="27" hidden="1" customHeight="1" x14ac:dyDescent="0.25">
      <c r="A108" s="829"/>
      <c r="B108" s="710"/>
      <c r="C108" s="710"/>
      <c r="D108" s="408" t="s">
        <v>345</v>
      </c>
      <c r="E108" s="179"/>
      <c r="F108" s="180"/>
      <c r="G108" s="174"/>
      <c r="H108" s="174"/>
      <c r="I108" s="174"/>
      <c r="J108" s="410"/>
      <c r="K108" s="409"/>
      <c r="L108" s="410"/>
      <c r="M108" s="415"/>
      <c r="N108" s="410"/>
      <c r="O108" s="410"/>
      <c r="P108" s="410"/>
      <c r="Q108" s="410"/>
      <c r="R108" s="416"/>
      <c r="S108" s="411"/>
      <c r="T108" s="167"/>
      <c r="U108" s="167"/>
      <c r="V108" s="167"/>
      <c r="W108" s="415"/>
      <c r="X108" s="411"/>
      <c r="Y108" s="411"/>
      <c r="Z108" s="411"/>
      <c r="AA108" s="409"/>
      <c r="AB108" s="419"/>
      <c r="AC108" s="401"/>
      <c r="AD108" s="409"/>
      <c r="AE108" s="420"/>
      <c r="AF108" s="426"/>
      <c r="AG108" s="829"/>
      <c r="AH108" s="710"/>
      <c r="AI108" s="710"/>
      <c r="AJ108" s="710"/>
      <c r="AK108" s="710"/>
      <c r="AL108" s="710"/>
      <c r="AM108" s="710"/>
      <c r="AN108" s="710"/>
      <c r="AO108" s="710"/>
      <c r="AP108" s="710"/>
      <c r="AQ108" s="710"/>
      <c r="AR108" s="710"/>
      <c r="AS108" s="710"/>
      <c r="AT108" s="710"/>
      <c r="AU108" s="710"/>
      <c r="AV108" s="710"/>
      <c r="AW108" s="710"/>
      <c r="AX108" s="710"/>
      <c r="AY108" s="427"/>
    </row>
    <row r="109" spans="1:51" ht="27" hidden="1" customHeight="1" x14ac:dyDescent="0.25">
      <c r="A109" s="829"/>
      <c r="B109" s="710"/>
      <c r="C109" s="710"/>
      <c r="D109" s="404" t="s">
        <v>346</v>
      </c>
      <c r="E109" s="179"/>
      <c r="F109" s="180"/>
      <c r="G109" s="174"/>
      <c r="H109" s="174"/>
      <c r="I109" s="174"/>
      <c r="J109" s="410"/>
      <c r="K109" s="409"/>
      <c r="L109" s="410"/>
      <c r="M109" s="415"/>
      <c r="N109" s="410"/>
      <c r="O109" s="410"/>
      <c r="P109" s="410"/>
      <c r="Q109" s="410"/>
      <c r="R109" s="416"/>
      <c r="S109" s="411"/>
      <c r="T109" s="167"/>
      <c r="U109" s="167"/>
      <c r="V109" s="167"/>
      <c r="W109" s="415"/>
      <c r="X109" s="411"/>
      <c r="Y109" s="411"/>
      <c r="Z109" s="411"/>
      <c r="AA109" s="409"/>
      <c r="AB109" s="419"/>
      <c r="AC109" s="401"/>
      <c r="AD109" s="409"/>
      <c r="AE109" s="420"/>
      <c r="AF109" s="426"/>
      <c r="AG109" s="829"/>
      <c r="AH109" s="710"/>
      <c r="AI109" s="710"/>
      <c r="AJ109" s="710"/>
      <c r="AK109" s="710"/>
      <c r="AL109" s="710"/>
      <c r="AM109" s="710"/>
      <c r="AN109" s="710"/>
      <c r="AO109" s="710"/>
      <c r="AP109" s="710"/>
      <c r="AQ109" s="710"/>
      <c r="AR109" s="710"/>
      <c r="AS109" s="710"/>
      <c r="AT109" s="710"/>
      <c r="AU109" s="710"/>
      <c r="AV109" s="710"/>
      <c r="AW109" s="710"/>
      <c r="AX109" s="710"/>
      <c r="AY109" s="427"/>
    </row>
    <row r="110" spans="1:51" ht="27" hidden="1" customHeight="1" x14ac:dyDescent="0.25">
      <c r="A110" s="829"/>
      <c r="B110" s="710"/>
      <c r="C110" s="710"/>
      <c r="D110" s="408" t="s">
        <v>347</v>
      </c>
      <c r="E110" s="179"/>
      <c r="F110" s="180"/>
      <c r="G110" s="174"/>
      <c r="H110" s="174"/>
      <c r="I110" s="174"/>
      <c r="J110" s="410"/>
      <c r="K110" s="409"/>
      <c r="L110" s="410"/>
      <c r="M110" s="415"/>
      <c r="N110" s="410"/>
      <c r="O110" s="410">
        <f>+O106</f>
        <v>1</v>
      </c>
      <c r="P110" s="410">
        <v>1</v>
      </c>
      <c r="Q110" s="410">
        <v>1</v>
      </c>
      <c r="R110" s="416">
        <v>1</v>
      </c>
      <c r="S110" s="411"/>
      <c r="T110" s="167"/>
      <c r="U110" s="167"/>
      <c r="V110" s="167"/>
      <c r="W110" s="415"/>
      <c r="X110" s="411"/>
      <c r="Y110" s="411"/>
      <c r="Z110" s="411"/>
      <c r="AA110" s="409"/>
      <c r="AB110" s="409">
        <f>+AB106</f>
        <v>1</v>
      </c>
      <c r="AC110" s="401">
        <v>1</v>
      </c>
      <c r="AD110" s="409">
        <v>1</v>
      </c>
      <c r="AE110" s="420">
        <v>1</v>
      </c>
      <c r="AF110" s="426"/>
      <c r="AG110" s="829"/>
      <c r="AH110" s="710"/>
      <c r="AI110" s="710"/>
      <c r="AJ110" s="710"/>
      <c r="AK110" s="710"/>
      <c r="AL110" s="710"/>
      <c r="AM110" s="710"/>
      <c r="AN110" s="710"/>
      <c r="AO110" s="710"/>
      <c r="AP110" s="710"/>
      <c r="AQ110" s="710"/>
      <c r="AR110" s="710"/>
      <c r="AS110" s="710"/>
      <c r="AT110" s="710"/>
      <c r="AU110" s="710"/>
      <c r="AV110" s="710"/>
      <c r="AW110" s="710"/>
      <c r="AX110" s="710"/>
      <c r="AY110" s="427"/>
    </row>
    <row r="111" spans="1:51" ht="27.75" hidden="1" customHeight="1" x14ac:dyDescent="0.25">
      <c r="A111" s="829"/>
      <c r="B111" s="710"/>
      <c r="C111" s="731"/>
      <c r="D111" s="412" t="s">
        <v>348</v>
      </c>
      <c r="E111" s="179"/>
      <c r="F111" s="180"/>
      <c r="G111" s="174"/>
      <c r="H111" s="174"/>
      <c r="I111" s="174"/>
      <c r="J111" s="410"/>
      <c r="K111" s="409"/>
      <c r="L111" s="410"/>
      <c r="M111" s="415"/>
      <c r="N111" s="410"/>
      <c r="O111" s="410">
        <f>+O107</f>
        <v>5482727.2727272725</v>
      </c>
      <c r="P111" s="410" t="e">
        <f>+P110*$P$11/$P$10</f>
        <v>#VALUE!</v>
      </c>
      <c r="Q111" s="410" t="e">
        <f>+Q110*$Q$11/$Q$10</f>
        <v>#VALUE!</v>
      </c>
      <c r="R111" s="410" t="e">
        <f>+R110*$R$11/$R$10</f>
        <v>#VALUE!</v>
      </c>
      <c r="S111" s="411"/>
      <c r="T111" s="167"/>
      <c r="U111" s="167"/>
      <c r="V111" s="167"/>
      <c r="W111" s="415"/>
      <c r="X111" s="411"/>
      <c r="Y111" s="411"/>
      <c r="Z111" s="411"/>
      <c r="AA111" s="409"/>
      <c r="AB111" s="409">
        <f>+AB107</f>
        <v>7953242.4242424238</v>
      </c>
      <c r="AC111" s="409" t="e">
        <f>+AC110*$AC$11/$AC$10</f>
        <v>#VALUE!</v>
      </c>
      <c r="AD111" s="409" t="e">
        <f>+AD110*$AD$11/$AD$10</f>
        <v>#VALUE!</v>
      </c>
      <c r="AE111" s="409" t="e">
        <f>+AE110*$AE$11/$AE$10</f>
        <v>#VALUE!</v>
      </c>
      <c r="AF111" s="426"/>
      <c r="AG111" s="823"/>
      <c r="AH111" s="731"/>
      <c r="AI111" s="731"/>
      <c r="AJ111" s="731"/>
      <c r="AK111" s="731"/>
      <c r="AL111" s="731"/>
      <c r="AM111" s="731"/>
      <c r="AN111" s="731"/>
      <c r="AO111" s="731"/>
      <c r="AP111" s="731"/>
      <c r="AQ111" s="731"/>
      <c r="AR111" s="731"/>
      <c r="AS111" s="731"/>
      <c r="AT111" s="731"/>
      <c r="AU111" s="731"/>
      <c r="AV111" s="731"/>
      <c r="AW111" s="731"/>
      <c r="AX111" s="731"/>
      <c r="AY111" s="427"/>
    </row>
    <row r="112" spans="1:51" ht="18" customHeight="1" x14ac:dyDescent="0.25">
      <c r="A112" s="829"/>
      <c r="B112" s="710"/>
      <c r="C112" s="818" t="s">
        <v>666</v>
      </c>
      <c r="D112" s="413" t="s">
        <v>340</v>
      </c>
      <c r="E112" s="179"/>
      <c r="F112" s="180"/>
      <c r="G112" s="174"/>
      <c r="H112" s="174">
        <v>1</v>
      </c>
      <c r="I112" s="174">
        <v>1</v>
      </c>
      <c r="J112" s="410">
        <v>1</v>
      </c>
      <c r="K112" s="414">
        <v>1</v>
      </c>
      <c r="L112" s="410"/>
      <c r="M112" s="415"/>
      <c r="N112" s="410"/>
      <c r="O112" s="410"/>
      <c r="P112" s="410"/>
      <c r="Q112" s="410">
        <v>1</v>
      </c>
      <c r="R112" s="416">
        <v>1</v>
      </c>
      <c r="S112" s="411"/>
      <c r="T112" s="167"/>
      <c r="U112" s="167">
        <v>1</v>
      </c>
      <c r="V112" s="167">
        <v>1</v>
      </c>
      <c r="W112" s="415">
        <v>1</v>
      </c>
      <c r="X112" s="418">
        <v>1</v>
      </c>
      <c r="Y112" s="411"/>
      <c r="Z112" s="411"/>
      <c r="AA112" s="409"/>
      <c r="AB112" s="419"/>
      <c r="AC112" s="401"/>
      <c r="AD112" s="409">
        <v>1</v>
      </c>
      <c r="AE112" s="420">
        <v>1</v>
      </c>
      <c r="AF112" s="916" t="s">
        <v>1195</v>
      </c>
      <c r="AG112" s="913" t="s">
        <v>666</v>
      </c>
      <c r="AH112" s="813" t="s">
        <v>1196</v>
      </c>
      <c r="AI112" s="813" t="s">
        <v>1197</v>
      </c>
      <c r="AJ112" s="914" t="s">
        <v>1135</v>
      </c>
      <c r="AK112" s="813" t="s">
        <v>457</v>
      </c>
      <c r="AL112" s="813" t="s">
        <v>178</v>
      </c>
      <c r="AM112" s="813" t="s">
        <v>1136</v>
      </c>
      <c r="AN112" s="909">
        <v>83774</v>
      </c>
      <c r="AO112" s="910">
        <v>40068</v>
      </c>
      <c r="AP112" s="910">
        <v>43706</v>
      </c>
      <c r="AQ112" s="911" t="s">
        <v>459</v>
      </c>
      <c r="AR112" s="911" t="s">
        <v>459</v>
      </c>
      <c r="AS112" s="911" t="s">
        <v>459</v>
      </c>
      <c r="AT112" s="911" t="s">
        <v>459</v>
      </c>
      <c r="AU112" s="915" t="s">
        <v>459</v>
      </c>
      <c r="AV112" s="915" t="s">
        <v>459</v>
      </c>
      <c r="AW112" s="915" t="s">
        <v>459</v>
      </c>
      <c r="AX112" s="910">
        <v>83774</v>
      </c>
      <c r="AY112" s="427"/>
    </row>
    <row r="113" spans="1:51" ht="18.75" customHeight="1" x14ac:dyDescent="0.25">
      <c r="A113" s="829"/>
      <c r="B113" s="710"/>
      <c r="C113" s="710"/>
      <c r="D113" s="404" t="s">
        <v>343</v>
      </c>
      <c r="E113" s="179"/>
      <c r="F113" s="180"/>
      <c r="G113" s="174"/>
      <c r="H113" s="174">
        <f>+H112*$H$11/$H$10</f>
        <v>5272055.0458715595</v>
      </c>
      <c r="I113" s="174" t="e">
        <f>+I112*$I$11/$I$10</f>
        <v>#REF!</v>
      </c>
      <c r="J113" s="410" t="e">
        <f>+J112*$J$11/$J$10</f>
        <v>#REF!</v>
      </c>
      <c r="K113" s="409"/>
      <c r="L113" s="410"/>
      <c r="M113" s="415"/>
      <c r="N113" s="410"/>
      <c r="O113" s="410"/>
      <c r="P113" s="410"/>
      <c r="Q113" s="410" t="e">
        <f>+Q112*$Q$11/$Q$10</f>
        <v>#VALUE!</v>
      </c>
      <c r="R113" s="410" t="e">
        <f>+R112*$R$11/$R$10</f>
        <v>#VALUE!</v>
      </c>
      <c r="S113" s="411"/>
      <c r="T113" s="167"/>
      <c r="U113" s="174">
        <f>+U112*$U$11/$U$10</f>
        <v>23726153.846153848</v>
      </c>
      <c r="V113" s="423" t="e">
        <f>+V112*$V$11/$V$10</f>
        <v>#REF!</v>
      </c>
      <c r="W113" s="410" t="e">
        <f>+W112*$W$11/$W$10</f>
        <v>#REF!</v>
      </c>
      <c r="X113" s="411"/>
      <c r="Y113" s="411"/>
      <c r="Z113" s="411"/>
      <c r="AA113" s="409"/>
      <c r="AB113" s="419"/>
      <c r="AC113" s="401"/>
      <c r="AD113" s="409" t="e">
        <f>+AD112*$AD$11/$AD$10</f>
        <v>#VALUE!</v>
      </c>
      <c r="AE113" s="409" t="e">
        <f>+AE112*$AE$11/$AE$10</f>
        <v>#VALUE!</v>
      </c>
      <c r="AF113" s="710"/>
      <c r="AG113" s="829"/>
      <c r="AH113" s="710"/>
      <c r="AI113" s="710"/>
      <c r="AJ113" s="710"/>
      <c r="AK113" s="710"/>
      <c r="AL113" s="710"/>
      <c r="AM113" s="710"/>
      <c r="AN113" s="710"/>
      <c r="AO113" s="710"/>
      <c r="AP113" s="710"/>
      <c r="AQ113" s="710"/>
      <c r="AR113" s="710"/>
      <c r="AS113" s="710"/>
      <c r="AT113" s="710"/>
      <c r="AU113" s="710"/>
      <c r="AV113" s="710"/>
      <c r="AW113" s="710"/>
      <c r="AX113" s="710"/>
      <c r="AY113" s="427"/>
    </row>
    <row r="114" spans="1:51" ht="27.75" customHeight="1" x14ac:dyDescent="0.25">
      <c r="A114" s="829"/>
      <c r="B114" s="710"/>
      <c r="C114" s="710"/>
      <c r="D114" s="408" t="s">
        <v>345</v>
      </c>
      <c r="E114" s="179"/>
      <c r="F114" s="180"/>
      <c r="G114" s="174"/>
      <c r="H114" s="174"/>
      <c r="I114" s="174"/>
      <c r="J114" s="410"/>
      <c r="K114" s="409"/>
      <c r="L114" s="410"/>
      <c r="M114" s="415"/>
      <c r="N114" s="410"/>
      <c r="O114" s="410"/>
      <c r="P114" s="410"/>
      <c r="Q114" s="410"/>
      <c r="R114" s="416"/>
      <c r="S114" s="411"/>
      <c r="T114" s="167"/>
      <c r="U114" s="167"/>
      <c r="V114" s="167"/>
      <c r="W114" s="415"/>
      <c r="X114" s="411"/>
      <c r="Y114" s="411"/>
      <c r="Z114" s="411"/>
      <c r="AA114" s="409"/>
      <c r="AB114" s="419"/>
      <c r="AC114" s="401"/>
      <c r="AD114" s="409"/>
      <c r="AE114" s="420"/>
      <c r="AF114" s="710"/>
      <c r="AG114" s="829"/>
      <c r="AH114" s="710"/>
      <c r="AI114" s="710"/>
      <c r="AJ114" s="710"/>
      <c r="AK114" s="710"/>
      <c r="AL114" s="710"/>
      <c r="AM114" s="710"/>
      <c r="AN114" s="710"/>
      <c r="AO114" s="710"/>
      <c r="AP114" s="710"/>
      <c r="AQ114" s="710"/>
      <c r="AR114" s="710"/>
      <c r="AS114" s="710"/>
      <c r="AT114" s="710"/>
      <c r="AU114" s="710"/>
      <c r="AV114" s="710"/>
      <c r="AW114" s="710"/>
      <c r="AX114" s="710"/>
      <c r="AY114" s="427"/>
    </row>
    <row r="115" spans="1:51" ht="27.75" customHeight="1" x14ac:dyDescent="0.25">
      <c r="A115" s="829"/>
      <c r="B115" s="710"/>
      <c r="C115" s="710"/>
      <c r="D115" s="404" t="s">
        <v>346</v>
      </c>
      <c r="E115" s="179"/>
      <c r="F115" s="180"/>
      <c r="G115" s="174"/>
      <c r="H115" s="174"/>
      <c r="I115" s="174"/>
      <c r="J115" s="410"/>
      <c r="K115" s="409"/>
      <c r="L115" s="410"/>
      <c r="M115" s="415"/>
      <c r="N115" s="410"/>
      <c r="O115" s="410"/>
      <c r="P115" s="410"/>
      <c r="Q115" s="410"/>
      <c r="R115" s="416"/>
      <c r="S115" s="411"/>
      <c r="T115" s="167"/>
      <c r="U115" s="167"/>
      <c r="V115" s="167"/>
      <c r="W115" s="415"/>
      <c r="X115" s="411"/>
      <c r="Y115" s="411"/>
      <c r="Z115" s="411"/>
      <c r="AA115" s="409"/>
      <c r="AB115" s="419"/>
      <c r="AC115" s="401"/>
      <c r="AD115" s="409"/>
      <c r="AE115" s="420"/>
      <c r="AF115" s="710"/>
      <c r="AG115" s="829"/>
      <c r="AH115" s="710"/>
      <c r="AI115" s="710"/>
      <c r="AJ115" s="710"/>
      <c r="AK115" s="710"/>
      <c r="AL115" s="710"/>
      <c r="AM115" s="710"/>
      <c r="AN115" s="710"/>
      <c r="AO115" s="710"/>
      <c r="AP115" s="710"/>
      <c r="AQ115" s="710"/>
      <c r="AR115" s="710"/>
      <c r="AS115" s="710"/>
      <c r="AT115" s="710"/>
      <c r="AU115" s="710"/>
      <c r="AV115" s="710"/>
      <c r="AW115" s="710"/>
      <c r="AX115" s="710"/>
      <c r="AY115" s="427"/>
    </row>
    <row r="116" spans="1:51" ht="27.75" customHeight="1" x14ac:dyDescent="0.25">
      <c r="A116" s="829"/>
      <c r="B116" s="710"/>
      <c r="C116" s="710"/>
      <c r="D116" s="408" t="s">
        <v>347</v>
      </c>
      <c r="E116" s="179"/>
      <c r="F116" s="180"/>
      <c r="G116" s="174"/>
      <c r="H116" s="174">
        <v>1</v>
      </c>
      <c r="I116" s="174">
        <v>1</v>
      </c>
      <c r="J116" s="410">
        <v>1</v>
      </c>
      <c r="K116" s="409"/>
      <c r="L116" s="410"/>
      <c r="M116" s="415"/>
      <c r="N116" s="410"/>
      <c r="O116" s="410"/>
      <c r="P116" s="410"/>
      <c r="Q116" s="410">
        <v>1</v>
      </c>
      <c r="R116" s="416">
        <v>1</v>
      </c>
      <c r="S116" s="411"/>
      <c r="T116" s="167"/>
      <c r="U116" s="167">
        <v>1</v>
      </c>
      <c r="V116" s="167">
        <v>1</v>
      </c>
      <c r="W116" s="415">
        <v>1</v>
      </c>
      <c r="X116" s="411"/>
      <c r="Y116" s="411"/>
      <c r="Z116" s="411"/>
      <c r="AA116" s="409"/>
      <c r="AB116" s="419"/>
      <c r="AC116" s="401"/>
      <c r="AD116" s="409">
        <v>1</v>
      </c>
      <c r="AE116" s="420">
        <v>1</v>
      </c>
      <c r="AF116" s="710"/>
      <c r="AG116" s="829"/>
      <c r="AH116" s="710"/>
      <c r="AI116" s="710"/>
      <c r="AJ116" s="710"/>
      <c r="AK116" s="710"/>
      <c r="AL116" s="710"/>
      <c r="AM116" s="710"/>
      <c r="AN116" s="710"/>
      <c r="AO116" s="710"/>
      <c r="AP116" s="710"/>
      <c r="AQ116" s="710"/>
      <c r="AR116" s="710"/>
      <c r="AS116" s="710"/>
      <c r="AT116" s="710"/>
      <c r="AU116" s="710"/>
      <c r="AV116" s="710"/>
      <c r="AW116" s="710"/>
      <c r="AX116" s="710"/>
      <c r="AY116" s="427"/>
    </row>
    <row r="117" spans="1:51" ht="27.75" customHeight="1" x14ac:dyDescent="0.25">
      <c r="A117" s="829"/>
      <c r="B117" s="710"/>
      <c r="C117" s="731"/>
      <c r="D117" s="412" t="s">
        <v>348</v>
      </c>
      <c r="E117" s="179"/>
      <c r="F117" s="180"/>
      <c r="G117" s="174"/>
      <c r="H117" s="174">
        <f>+H116*$H$11/$H$10</f>
        <v>5272055.0458715595</v>
      </c>
      <c r="I117" s="174" t="e">
        <f>+I116*$I$11/$I$10</f>
        <v>#REF!</v>
      </c>
      <c r="J117" s="410" t="e">
        <f>+J116*$J$11/$J$10</f>
        <v>#REF!</v>
      </c>
      <c r="K117" s="409"/>
      <c r="L117" s="410"/>
      <c r="M117" s="415"/>
      <c r="N117" s="410"/>
      <c r="O117" s="410"/>
      <c r="P117" s="410"/>
      <c r="Q117" s="410" t="e">
        <f>+Q116*$Q$11/$Q$10</f>
        <v>#VALUE!</v>
      </c>
      <c r="R117" s="410" t="e">
        <f>+R116*$R$11/$R$10</f>
        <v>#VALUE!</v>
      </c>
      <c r="S117" s="411"/>
      <c r="T117" s="167"/>
      <c r="U117" s="174">
        <f>+U116*$U$11/$U$10</f>
        <v>23726153.846153848</v>
      </c>
      <c r="V117" s="423" t="e">
        <f>+V116*$V$11/$V$10</f>
        <v>#REF!</v>
      </c>
      <c r="W117" s="410" t="e">
        <f>+W116*$W$11/$W$10</f>
        <v>#REF!</v>
      </c>
      <c r="X117" s="411"/>
      <c r="Y117" s="411"/>
      <c r="Z117" s="411"/>
      <c r="AA117" s="409"/>
      <c r="AB117" s="419"/>
      <c r="AC117" s="401"/>
      <c r="AD117" s="409" t="e">
        <f>+AD116*$AD$11/$AD$10</f>
        <v>#VALUE!</v>
      </c>
      <c r="AE117" s="409" t="e">
        <f>+AE116*$AE$11/$AE$10</f>
        <v>#VALUE!</v>
      </c>
      <c r="AF117" s="731"/>
      <c r="AG117" s="823"/>
      <c r="AH117" s="731"/>
      <c r="AI117" s="731"/>
      <c r="AJ117" s="731"/>
      <c r="AK117" s="731"/>
      <c r="AL117" s="731"/>
      <c r="AM117" s="731"/>
      <c r="AN117" s="731"/>
      <c r="AO117" s="731"/>
      <c r="AP117" s="731"/>
      <c r="AQ117" s="731"/>
      <c r="AR117" s="731"/>
      <c r="AS117" s="731"/>
      <c r="AT117" s="731"/>
      <c r="AU117" s="731"/>
      <c r="AV117" s="731"/>
      <c r="AW117" s="731"/>
      <c r="AX117" s="731"/>
      <c r="AY117" s="427"/>
    </row>
    <row r="118" spans="1:51" ht="18" customHeight="1" x14ac:dyDescent="0.25">
      <c r="A118" s="829"/>
      <c r="B118" s="710"/>
      <c r="C118" s="958" t="s">
        <v>670</v>
      </c>
      <c r="D118" s="413" t="s">
        <v>340</v>
      </c>
      <c r="E118" s="179"/>
      <c r="F118" s="180"/>
      <c r="G118" s="174">
        <v>1</v>
      </c>
      <c r="H118" s="174">
        <v>2</v>
      </c>
      <c r="I118" s="167">
        <v>3</v>
      </c>
      <c r="J118" s="410">
        <v>5</v>
      </c>
      <c r="K118" s="414">
        <v>7</v>
      </c>
      <c r="L118" s="410"/>
      <c r="M118" s="415">
        <v>1</v>
      </c>
      <c r="N118" s="410">
        <v>1</v>
      </c>
      <c r="O118" s="410">
        <v>2</v>
      </c>
      <c r="P118" s="410">
        <v>4</v>
      </c>
      <c r="Q118" s="410">
        <v>4</v>
      </c>
      <c r="R118" s="416">
        <v>5</v>
      </c>
      <c r="S118" s="411"/>
      <c r="T118" s="167">
        <v>1</v>
      </c>
      <c r="U118" s="167">
        <v>2</v>
      </c>
      <c r="V118" s="167">
        <v>3</v>
      </c>
      <c r="W118" s="417">
        <v>5</v>
      </c>
      <c r="X118" s="418">
        <v>7</v>
      </c>
      <c r="Y118" s="411"/>
      <c r="Z118" s="411">
        <v>1</v>
      </c>
      <c r="AA118" s="409">
        <v>1</v>
      </c>
      <c r="AB118" s="419">
        <v>2</v>
      </c>
      <c r="AC118" s="401">
        <v>4</v>
      </c>
      <c r="AD118" s="409">
        <v>4</v>
      </c>
      <c r="AE118" s="420">
        <v>5</v>
      </c>
      <c r="AF118" s="917" t="s">
        <v>1198</v>
      </c>
      <c r="AG118" s="913" t="s">
        <v>670</v>
      </c>
      <c r="AH118" s="813" t="s">
        <v>1199</v>
      </c>
      <c r="AI118" s="813" t="s">
        <v>1200</v>
      </c>
      <c r="AJ118" s="914" t="s">
        <v>1135</v>
      </c>
      <c r="AK118" s="813" t="s">
        <v>457</v>
      </c>
      <c r="AL118" s="813" t="s">
        <v>178</v>
      </c>
      <c r="AM118" s="813" t="s">
        <v>1136</v>
      </c>
      <c r="AN118" s="909">
        <v>254469</v>
      </c>
      <c r="AO118" s="910">
        <v>120116</v>
      </c>
      <c r="AP118" s="910">
        <v>134352</v>
      </c>
      <c r="AQ118" s="911" t="s">
        <v>459</v>
      </c>
      <c r="AR118" s="911" t="s">
        <v>459</v>
      </c>
      <c r="AS118" s="911" t="s">
        <v>459</v>
      </c>
      <c r="AT118" s="911" t="s">
        <v>459</v>
      </c>
      <c r="AU118" s="915" t="s">
        <v>459</v>
      </c>
      <c r="AV118" s="915" t="s">
        <v>459</v>
      </c>
      <c r="AW118" s="915" t="s">
        <v>459</v>
      </c>
      <c r="AX118" s="910">
        <v>254469</v>
      </c>
      <c r="AY118" s="427"/>
    </row>
    <row r="119" spans="1:51" ht="15.75" customHeight="1" x14ac:dyDescent="0.25">
      <c r="A119" s="829"/>
      <c r="B119" s="710"/>
      <c r="C119" s="710"/>
      <c r="D119" s="404" t="s">
        <v>343</v>
      </c>
      <c r="E119" s="179"/>
      <c r="F119" s="180"/>
      <c r="G119" s="174">
        <f>+G118*$G$11/$G$10</f>
        <v>5272055.0458715595</v>
      </c>
      <c r="H119" s="174">
        <f>+H118*$H$11/$H$10</f>
        <v>10544110.091743119</v>
      </c>
      <c r="I119" s="174" t="e">
        <f>+I118*$I$11/$I$10</f>
        <v>#REF!</v>
      </c>
      <c r="J119" s="410" t="e">
        <f>+J118*$J$11/$J$10</f>
        <v>#REF!</v>
      </c>
      <c r="K119" s="409"/>
      <c r="L119" s="410"/>
      <c r="M119" s="421" t="e">
        <f>+M118*$M$11/$M$10</f>
        <v>#VALUE!</v>
      </c>
      <c r="N119" s="422">
        <f>+N118*$N$11/$N$10</f>
        <v>5482727.2727272725</v>
      </c>
      <c r="O119" s="410">
        <f>+O118*$O$11/$O$10</f>
        <v>10965454.545454545</v>
      </c>
      <c r="P119" s="410" t="e">
        <f>+P118*$P$11/$P$10</f>
        <v>#VALUE!</v>
      </c>
      <c r="Q119" s="410" t="e">
        <f>+Q118*$Q$11/$Q$10</f>
        <v>#VALUE!</v>
      </c>
      <c r="R119" s="410" t="e">
        <f>+R118*$R$11/$R$10</f>
        <v>#VALUE!</v>
      </c>
      <c r="S119" s="411"/>
      <c r="T119" s="174">
        <f>+T118*$T$11/$T$10</f>
        <v>0</v>
      </c>
      <c r="U119" s="174">
        <f>+U118*$U$11/$U$10</f>
        <v>47452307.692307696</v>
      </c>
      <c r="V119" s="423" t="e">
        <f>+V118*$V$11/$V$10</f>
        <v>#REF!</v>
      </c>
      <c r="W119" s="410" t="e">
        <f>+W118*$W$11/$W$10</f>
        <v>#REF!</v>
      </c>
      <c r="X119" s="411"/>
      <c r="Y119" s="411"/>
      <c r="Z119" s="424">
        <f>+Z118*$Z$11/$Z$10</f>
        <v>12780000</v>
      </c>
      <c r="AA119" s="425">
        <f>+AA118*$AA$11/$AA$10</f>
        <v>11929863.636363637</v>
      </c>
      <c r="AB119" s="409">
        <f>+AB118*$AB$11/$AB$10</f>
        <v>15906484.848484848</v>
      </c>
      <c r="AC119" s="409" t="e">
        <f>+AC118*$AC$11/$AC$10</f>
        <v>#VALUE!</v>
      </c>
      <c r="AD119" s="409" t="e">
        <f>+AD118*$AD$11/$AD$10</f>
        <v>#VALUE!</v>
      </c>
      <c r="AE119" s="409" t="e">
        <f>+AE118*$AE$11/$AE$10</f>
        <v>#VALUE!</v>
      </c>
      <c r="AF119" s="710"/>
      <c r="AG119" s="829"/>
      <c r="AH119" s="710"/>
      <c r="AI119" s="710"/>
      <c r="AJ119" s="710"/>
      <c r="AK119" s="710"/>
      <c r="AL119" s="710"/>
      <c r="AM119" s="710"/>
      <c r="AN119" s="710"/>
      <c r="AO119" s="710"/>
      <c r="AP119" s="710"/>
      <c r="AQ119" s="710"/>
      <c r="AR119" s="710"/>
      <c r="AS119" s="710"/>
      <c r="AT119" s="710"/>
      <c r="AU119" s="710"/>
      <c r="AV119" s="710"/>
      <c r="AW119" s="710"/>
      <c r="AX119" s="710"/>
      <c r="AY119" s="427"/>
    </row>
    <row r="120" spans="1:51" ht="15.75" customHeight="1" x14ac:dyDescent="0.25">
      <c r="A120" s="829"/>
      <c r="B120" s="710"/>
      <c r="C120" s="710"/>
      <c r="D120" s="408" t="s">
        <v>345</v>
      </c>
      <c r="E120" s="179"/>
      <c r="F120" s="180"/>
      <c r="G120" s="174"/>
      <c r="H120" s="174"/>
      <c r="I120" s="174"/>
      <c r="J120" s="410"/>
      <c r="K120" s="409"/>
      <c r="L120" s="410"/>
      <c r="M120" s="415"/>
      <c r="N120" s="410"/>
      <c r="O120" s="410"/>
      <c r="P120" s="410"/>
      <c r="Q120" s="410"/>
      <c r="R120" s="416"/>
      <c r="S120" s="411"/>
      <c r="T120" s="167"/>
      <c r="U120" s="167"/>
      <c r="V120" s="167"/>
      <c r="W120" s="415"/>
      <c r="X120" s="411"/>
      <c r="Y120" s="411"/>
      <c r="Z120" s="411"/>
      <c r="AA120" s="409"/>
      <c r="AB120" s="419"/>
      <c r="AC120" s="401"/>
      <c r="AD120" s="409"/>
      <c r="AE120" s="420"/>
      <c r="AF120" s="710"/>
      <c r="AG120" s="829"/>
      <c r="AH120" s="710"/>
      <c r="AI120" s="710"/>
      <c r="AJ120" s="710"/>
      <c r="AK120" s="710"/>
      <c r="AL120" s="710"/>
      <c r="AM120" s="710"/>
      <c r="AN120" s="710"/>
      <c r="AO120" s="710"/>
      <c r="AP120" s="710"/>
      <c r="AQ120" s="710"/>
      <c r="AR120" s="710"/>
      <c r="AS120" s="710"/>
      <c r="AT120" s="710"/>
      <c r="AU120" s="710"/>
      <c r="AV120" s="710"/>
      <c r="AW120" s="710"/>
      <c r="AX120" s="710"/>
      <c r="AY120" s="427"/>
    </row>
    <row r="121" spans="1:51" ht="15.75" customHeight="1" x14ac:dyDescent="0.25">
      <c r="A121" s="829"/>
      <c r="B121" s="710"/>
      <c r="C121" s="710"/>
      <c r="D121" s="404" t="s">
        <v>346</v>
      </c>
      <c r="E121" s="179"/>
      <c r="F121" s="180"/>
      <c r="G121" s="174"/>
      <c r="H121" s="174"/>
      <c r="I121" s="174"/>
      <c r="J121" s="410"/>
      <c r="K121" s="409"/>
      <c r="L121" s="410"/>
      <c r="M121" s="415"/>
      <c r="N121" s="410"/>
      <c r="O121" s="410"/>
      <c r="P121" s="410"/>
      <c r="Q121" s="410"/>
      <c r="R121" s="416"/>
      <c r="S121" s="411"/>
      <c r="T121" s="174">
        <f>+T118*$T$13/$T$10</f>
        <v>1355400</v>
      </c>
      <c r="U121" s="395">
        <f>($U$13/5)</f>
        <v>14532248.6</v>
      </c>
      <c r="V121" s="167"/>
      <c r="W121" s="415"/>
      <c r="X121" s="411"/>
      <c r="Y121" s="411"/>
      <c r="Z121" s="411"/>
      <c r="AA121" s="409"/>
      <c r="AB121" s="419"/>
      <c r="AC121" s="401"/>
      <c r="AD121" s="409"/>
      <c r="AE121" s="420"/>
      <c r="AF121" s="710"/>
      <c r="AG121" s="829"/>
      <c r="AH121" s="710"/>
      <c r="AI121" s="710"/>
      <c r="AJ121" s="710"/>
      <c r="AK121" s="710"/>
      <c r="AL121" s="710"/>
      <c r="AM121" s="710"/>
      <c r="AN121" s="710"/>
      <c r="AO121" s="710"/>
      <c r="AP121" s="710"/>
      <c r="AQ121" s="710"/>
      <c r="AR121" s="710"/>
      <c r="AS121" s="710"/>
      <c r="AT121" s="710"/>
      <c r="AU121" s="710"/>
      <c r="AV121" s="710"/>
      <c r="AW121" s="710"/>
      <c r="AX121" s="710"/>
      <c r="AY121" s="427"/>
    </row>
    <row r="122" spans="1:51" ht="15.75" customHeight="1" x14ac:dyDescent="0.25">
      <c r="A122" s="829"/>
      <c r="B122" s="710"/>
      <c r="C122" s="710"/>
      <c r="D122" s="408" t="s">
        <v>347</v>
      </c>
      <c r="E122" s="179"/>
      <c r="F122" s="180"/>
      <c r="G122" s="174">
        <v>1</v>
      </c>
      <c r="H122" s="174">
        <v>2</v>
      </c>
      <c r="I122" s="174">
        <v>2</v>
      </c>
      <c r="J122" s="410">
        <v>5</v>
      </c>
      <c r="K122" s="409"/>
      <c r="L122" s="410"/>
      <c r="M122" s="415"/>
      <c r="N122" s="410"/>
      <c r="O122" s="410">
        <f>+O118</f>
        <v>2</v>
      </c>
      <c r="P122" s="410">
        <v>2</v>
      </c>
      <c r="Q122" s="410">
        <v>4</v>
      </c>
      <c r="R122" s="416">
        <v>5</v>
      </c>
      <c r="S122" s="411"/>
      <c r="T122" s="167">
        <v>1</v>
      </c>
      <c r="U122" s="167">
        <v>2</v>
      </c>
      <c r="V122" s="167">
        <v>2</v>
      </c>
      <c r="W122" s="415">
        <v>5</v>
      </c>
      <c r="X122" s="411"/>
      <c r="Y122" s="411"/>
      <c r="Z122" s="411"/>
      <c r="AA122" s="409"/>
      <c r="AB122" s="409">
        <f>+AB118</f>
        <v>2</v>
      </c>
      <c r="AC122" s="401">
        <v>2</v>
      </c>
      <c r="AD122" s="409">
        <v>4</v>
      </c>
      <c r="AE122" s="420">
        <v>4</v>
      </c>
      <c r="AF122" s="710"/>
      <c r="AG122" s="829"/>
      <c r="AH122" s="710"/>
      <c r="AI122" s="710"/>
      <c r="AJ122" s="710"/>
      <c r="AK122" s="710"/>
      <c r="AL122" s="710"/>
      <c r="AM122" s="710"/>
      <c r="AN122" s="710"/>
      <c r="AO122" s="710"/>
      <c r="AP122" s="710"/>
      <c r="AQ122" s="710"/>
      <c r="AR122" s="710"/>
      <c r="AS122" s="710"/>
      <c r="AT122" s="710"/>
      <c r="AU122" s="710"/>
      <c r="AV122" s="710"/>
      <c r="AW122" s="710"/>
      <c r="AX122" s="710"/>
      <c r="AY122" s="427"/>
    </row>
    <row r="123" spans="1:51" ht="15.75" customHeight="1" x14ac:dyDescent="0.25">
      <c r="A123" s="829"/>
      <c r="B123" s="710"/>
      <c r="C123" s="731"/>
      <c r="D123" s="412" t="s">
        <v>348</v>
      </c>
      <c r="E123" s="179"/>
      <c r="F123" s="180"/>
      <c r="G123" s="174">
        <f>+G122*$G$11/$G$10</f>
        <v>5272055.0458715595</v>
      </c>
      <c r="H123" s="174">
        <f>+H122*$H$11/$H$10</f>
        <v>10544110.091743119</v>
      </c>
      <c r="I123" s="174" t="e">
        <f>+I122*$I$11/$I$10</f>
        <v>#REF!</v>
      </c>
      <c r="J123" s="410" t="e">
        <f>+J122*$J$11/$J$10</f>
        <v>#REF!</v>
      </c>
      <c r="K123" s="409"/>
      <c r="L123" s="410"/>
      <c r="M123" s="415"/>
      <c r="N123" s="410"/>
      <c r="O123" s="410">
        <f>+O119</f>
        <v>10965454.545454545</v>
      </c>
      <c r="P123" s="410" t="e">
        <f>+P122*$P$11/$P$10</f>
        <v>#VALUE!</v>
      </c>
      <c r="Q123" s="410" t="e">
        <f>+Q122*$Q$11/$Q$10</f>
        <v>#VALUE!</v>
      </c>
      <c r="R123" s="410" t="e">
        <f>+R122*$R$11/$R$10</f>
        <v>#VALUE!</v>
      </c>
      <c r="S123" s="411"/>
      <c r="T123" s="174">
        <f>+T122*$T$11/$T$10</f>
        <v>0</v>
      </c>
      <c r="U123" s="174">
        <f>+U122*$U$11/$U$10</f>
        <v>47452307.692307696</v>
      </c>
      <c r="V123" s="423" t="e">
        <f>+V122*$V$11/$V$10</f>
        <v>#REF!</v>
      </c>
      <c r="W123" s="410" t="e">
        <f>+W122*$W$11/$W$10</f>
        <v>#REF!</v>
      </c>
      <c r="X123" s="411"/>
      <c r="Y123" s="411"/>
      <c r="Z123" s="411"/>
      <c r="AA123" s="409"/>
      <c r="AB123" s="409">
        <f>+AB119</f>
        <v>15906484.848484848</v>
      </c>
      <c r="AC123" s="409" t="e">
        <f>+AC122*$AC$11/$AC$10</f>
        <v>#VALUE!</v>
      </c>
      <c r="AD123" s="409" t="e">
        <f>+AD122*$AD$11/$AD$10</f>
        <v>#VALUE!</v>
      </c>
      <c r="AE123" s="409" t="e">
        <f>+AE122*$AE$11/$AE$10</f>
        <v>#VALUE!</v>
      </c>
      <c r="AF123" s="731"/>
      <c r="AG123" s="823"/>
      <c r="AH123" s="731"/>
      <c r="AI123" s="731"/>
      <c r="AJ123" s="731"/>
      <c r="AK123" s="731"/>
      <c r="AL123" s="731"/>
      <c r="AM123" s="731"/>
      <c r="AN123" s="731"/>
      <c r="AO123" s="731"/>
      <c r="AP123" s="731"/>
      <c r="AQ123" s="731"/>
      <c r="AR123" s="731"/>
      <c r="AS123" s="731"/>
      <c r="AT123" s="731"/>
      <c r="AU123" s="731"/>
      <c r="AV123" s="731"/>
      <c r="AW123" s="731"/>
      <c r="AX123" s="731"/>
      <c r="AY123" s="427"/>
    </row>
    <row r="124" spans="1:51" ht="18" hidden="1" customHeight="1" x14ac:dyDescent="0.25">
      <c r="A124" s="829"/>
      <c r="B124" s="710"/>
      <c r="C124" s="818" t="s">
        <v>1146</v>
      </c>
      <c r="D124" s="413" t="s">
        <v>340</v>
      </c>
      <c r="E124" s="179"/>
      <c r="F124" s="180"/>
      <c r="G124" s="174"/>
      <c r="H124" s="174"/>
      <c r="I124" s="174"/>
      <c r="J124" s="410"/>
      <c r="K124" s="409"/>
      <c r="L124" s="410"/>
      <c r="M124" s="415"/>
      <c r="N124" s="410"/>
      <c r="O124" s="410"/>
      <c r="P124" s="410"/>
      <c r="Q124" s="410"/>
      <c r="R124" s="416"/>
      <c r="S124" s="411"/>
      <c r="T124" s="167"/>
      <c r="U124" s="167"/>
      <c r="V124" s="167"/>
      <c r="W124" s="415"/>
      <c r="X124" s="411"/>
      <c r="Y124" s="411"/>
      <c r="Z124" s="411"/>
      <c r="AA124" s="409"/>
      <c r="AB124" s="419"/>
      <c r="AC124" s="401"/>
      <c r="AD124" s="409"/>
      <c r="AE124" s="420"/>
      <c r="AF124" s="426"/>
      <c r="AG124" s="913" t="s">
        <v>1146</v>
      </c>
      <c r="AH124" s="813" t="s">
        <v>633</v>
      </c>
      <c r="AI124" s="813" t="s">
        <v>633</v>
      </c>
      <c r="AJ124" s="914" t="s">
        <v>1163</v>
      </c>
      <c r="AK124" s="813" t="s">
        <v>457</v>
      </c>
      <c r="AL124" s="813" t="s">
        <v>178</v>
      </c>
      <c r="AM124" s="813" t="s">
        <v>1136</v>
      </c>
      <c r="AN124" s="909">
        <v>22438</v>
      </c>
      <c r="AO124" s="910">
        <v>9562</v>
      </c>
      <c r="AP124" s="910">
        <v>9141</v>
      </c>
      <c r="AQ124" s="911" t="s">
        <v>459</v>
      </c>
      <c r="AR124" s="911" t="s">
        <v>459</v>
      </c>
      <c r="AS124" s="911" t="s">
        <v>459</v>
      </c>
      <c r="AT124" s="911" t="s">
        <v>459</v>
      </c>
      <c r="AU124" s="915" t="s">
        <v>459</v>
      </c>
      <c r="AV124" s="915" t="s">
        <v>459</v>
      </c>
      <c r="AW124" s="915" t="s">
        <v>459</v>
      </c>
      <c r="AX124" s="910">
        <v>22438</v>
      </c>
      <c r="AY124" s="427"/>
    </row>
    <row r="125" spans="1:51" ht="18.75" hidden="1" customHeight="1" x14ac:dyDescent="0.25">
      <c r="A125" s="829"/>
      <c r="B125" s="710"/>
      <c r="C125" s="710"/>
      <c r="D125" s="404" t="s">
        <v>343</v>
      </c>
      <c r="E125" s="179"/>
      <c r="F125" s="180"/>
      <c r="G125" s="174"/>
      <c r="H125" s="174"/>
      <c r="I125" s="174"/>
      <c r="J125" s="410"/>
      <c r="K125" s="409"/>
      <c r="L125" s="410"/>
      <c r="M125" s="415"/>
      <c r="N125" s="410"/>
      <c r="O125" s="410"/>
      <c r="P125" s="410"/>
      <c r="Q125" s="410"/>
      <c r="R125" s="416"/>
      <c r="S125" s="411"/>
      <c r="T125" s="167"/>
      <c r="U125" s="167"/>
      <c r="V125" s="167"/>
      <c r="W125" s="415"/>
      <c r="X125" s="411"/>
      <c r="Y125" s="411"/>
      <c r="Z125" s="411"/>
      <c r="AA125" s="409"/>
      <c r="AB125" s="419"/>
      <c r="AC125" s="401"/>
      <c r="AD125" s="409"/>
      <c r="AE125" s="420"/>
      <c r="AF125" s="426"/>
      <c r="AG125" s="829"/>
      <c r="AH125" s="710"/>
      <c r="AI125" s="710"/>
      <c r="AJ125" s="710"/>
      <c r="AK125" s="710"/>
      <c r="AL125" s="710"/>
      <c r="AM125" s="710"/>
      <c r="AN125" s="710"/>
      <c r="AO125" s="710"/>
      <c r="AP125" s="710"/>
      <c r="AQ125" s="710"/>
      <c r="AR125" s="710"/>
      <c r="AS125" s="710"/>
      <c r="AT125" s="710"/>
      <c r="AU125" s="710"/>
      <c r="AV125" s="710"/>
      <c r="AW125" s="710"/>
      <c r="AX125" s="710"/>
      <c r="AY125" s="427"/>
    </row>
    <row r="126" spans="1:51" ht="27.75" hidden="1" customHeight="1" x14ac:dyDescent="0.25">
      <c r="A126" s="829"/>
      <c r="B126" s="710"/>
      <c r="C126" s="710"/>
      <c r="D126" s="408" t="s">
        <v>345</v>
      </c>
      <c r="E126" s="179"/>
      <c r="F126" s="180"/>
      <c r="G126" s="174"/>
      <c r="H126" s="174"/>
      <c r="I126" s="174"/>
      <c r="J126" s="410"/>
      <c r="K126" s="409"/>
      <c r="L126" s="410"/>
      <c r="M126" s="415"/>
      <c r="N126" s="410"/>
      <c r="O126" s="410"/>
      <c r="P126" s="410"/>
      <c r="Q126" s="410"/>
      <c r="R126" s="416"/>
      <c r="S126" s="411"/>
      <c r="T126" s="167"/>
      <c r="U126" s="167"/>
      <c r="V126" s="167"/>
      <c r="W126" s="415"/>
      <c r="X126" s="411"/>
      <c r="Y126" s="411"/>
      <c r="Z126" s="411"/>
      <c r="AA126" s="409"/>
      <c r="AB126" s="419"/>
      <c r="AC126" s="401"/>
      <c r="AD126" s="409"/>
      <c r="AE126" s="420"/>
      <c r="AF126" s="426"/>
      <c r="AG126" s="829"/>
      <c r="AH126" s="710"/>
      <c r="AI126" s="710"/>
      <c r="AJ126" s="710"/>
      <c r="AK126" s="710"/>
      <c r="AL126" s="710"/>
      <c r="AM126" s="710"/>
      <c r="AN126" s="710"/>
      <c r="AO126" s="710"/>
      <c r="AP126" s="710"/>
      <c r="AQ126" s="710"/>
      <c r="AR126" s="710"/>
      <c r="AS126" s="710"/>
      <c r="AT126" s="710"/>
      <c r="AU126" s="710"/>
      <c r="AV126" s="710"/>
      <c r="AW126" s="710"/>
      <c r="AX126" s="710"/>
      <c r="AY126" s="427"/>
    </row>
    <row r="127" spans="1:51" ht="27.75" hidden="1" customHeight="1" x14ac:dyDescent="0.25">
      <c r="A127" s="829"/>
      <c r="B127" s="710"/>
      <c r="C127" s="710"/>
      <c r="D127" s="404" t="s">
        <v>346</v>
      </c>
      <c r="E127" s="179"/>
      <c r="F127" s="180"/>
      <c r="G127" s="174"/>
      <c r="H127" s="174"/>
      <c r="I127" s="174"/>
      <c r="J127" s="410"/>
      <c r="K127" s="409"/>
      <c r="L127" s="410"/>
      <c r="M127" s="415"/>
      <c r="N127" s="410"/>
      <c r="O127" s="410"/>
      <c r="P127" s="410"/>
      <c r="Q127" s="410"/>
      <c r="R127" s="416"/>
      <c r="S127" s="411"/>
      <c r="T127" s="167"/>
      <c r="U127" s="167"/>
      <c r="V127" s="167"/>
      <c r="W127" s="415"/>
      <c r="X127" s="411"/>
      <c r="Y127" s="411"/>
      <c r="Z127" s="411"/>
      <c r="AA127" s="409"/>
      <c r="AB127" s="419"/>
      <c r="AC127" s="401"/>
      <c r="AD127" s="409"/>
      <c r="AE127" s="420"/>
      <c r="AF127" s="426"/>
      <c r="AG127" s="829"/>
      <c r="AH127" s="710"/>
      <c r="AI127" s="710"/>
      <c r="AJ127" s="710"/>
      <c r="AK127" s="710"/>
      <c r="AL127" s="710"/>
      <c r="AM127" s="710"/>
      <c r="AN127" s="710"/>
      <c r="AO127" s="710"/>
      <c r="AP127" s="710"/>
      <c r="AQ127" s="710"/>
      <c r="AR127" s="710"/>
      <c r="AS127" s="710"/>
      <c r="AT127" s="710"/>
      <c r="AU127" s="710"/>
      <c r="AV127" s="710"/>
      <c r="AW127" s="710"/>
      <c r="AX127" s="710"/>
      <c r="AY127" s="427"/>
    </row>
    <row r="128" spans="1:51" ht="27.75" hidden="1" customHeight="1" x14ac:dyDescent="0.25">
      <c r="A128" s="829"/>
      <c r="B128" s="710"/>
      <c r="C128" s="710"/>
      <c r="D128" s="408" t="s">
        <v>347</v>
      </c>
      <c r="E128" s="179"/>
      <c r="F128" s="180"/>
      <c r="G128" s="174"/>
      <c r="H128" s="174"/>
      <c r="I128" s="174"/>
      <c r="J128" s="410"/>
      <c r="K128" s="409"/>
      <c r="L128" s="410"/>
      <c r="M128" s="415"/>
      <c r="N128" s="410"/>
      <c r="O128" s="410"/>
      <c r="P128" s="410"/>
      <c r="Q128" s="410"/>
      <c r="R128" s="416"/>
      <c r="S128" s="411"/>
      <c r="T128" s="167"/>
      <c r="U128" s="167"/>
      <c r="V128" s="167"/>
      <c r="W128" s="415"/>
      <c r="X128" s="411"/>
      <c r="Y128" s="411"/>
      <c r="Z128" s="411"/>
      <c r="AA128" s="409"/>
      <c r="AB128" s="419"/>
      <c r="AC128" s="401"/>
      <c r="AD128" s="409"/>
      <c r="AE128" s="420"/>
      <c r="AF128" s="426"/>
      <c r="AG128" s="829"/>
      <c r="AH128" s="710"/>
      <c r="AI128" s="710"/>
      <c r="AJ128" s="710"/>
      <c r="AK128" s="710"/>
      <c r="AL128" s="710"/>
      <c r="AM128" s="710"/>
      <c r="AN128" s="710"/>
      <c r="AO128" s="710"/>
      <c r="AP128" s="710"/>
      <c r="AQ128" s="710"/>
      <c r="AR128" s="710"/>
      <c r="AS128" s="710"/>
      <c r="AT128" s="710"/>
      <c r="AU128" s="710"/>
      <c r="AV128" s="710"/>
      <c r="AW128" s="710"/>
      <c r="AX128" s="710"/>
      <c r="AY128" s="427"/>
    </row>
    <row r="129" spans="1:51" ht="27.75" hidden="1" customHeight="1" x14ac:dyDescent="0.25">
      <c r="A129" s="829"/>
      <c r="B129" s="710"/>
      <c r="C129" s="731"/>
      <c r="D129" s="412" t="s">
        <v>348</v>
      </c>
      <c r="E129" s="179"/>
      <c r="F129" s="180"/>
      <c r="G129" s="174"/>
      <c r="H129" s="174"/>
      <c r="I129" s="174"/>
      <c r="J129" s="410"/>
      <c r="K129" s="409"/>
      <c r="L129" s="410"/>
      <c r="M129" s="415"/>
      <c r="N129" s="410"/>
      <c r="O129" s="410"/>
      <c r="P129" s="410"/>
      <c r="Q129" s="410"/>
      <c r="R129" s="416"/>
      <c r="S129" s="411"/>
      <c r="T129" s="167"/>
      <c r="U129" s="167"/>
      <c r="V129" s="167"/>
      <c r="W129" s="415"/>
      <c r="X129" s="411"/>
      <c r="Y129" s="411"/>
      <c r="Z129" s="411"/>
      <c r="AA129" s="409"/>
      <c r="AB129" s="419"/>
      <c r="AC129" s="401"/>
      <c r="AD129" s="409"/>
      <c r="AE129" s="420"/>
      <c r="AF129" s="426"/>
      <c r="AG129" s="823"/>
      <c r="AH129" s="731"/>
      <c r="AI129" s="731"/>
      <c r="AJ129" s="731"/>
      <c r="AK129" s="731"/>
      <c r="AL129" s="731"/>
      <c r="AM129" s="731"/>
      <c r="AN129" s="731"/>
      <c r="AO129" s="731"/>
      <c r="AP129" s="731"/>
      <c r="AQ129" s="731"/>
      <c r="AR129" s="731"/>
      <c r="AS129" s="731"/>
      <c r="AT129" s="731"/>
      <c r="AU129" s="731"/>
      <c r="AV129" s="731"/>
      <c r="AW129" s="731"/>
      <c r="AX129" s="731"/>
      <c r="AY129" s="427"/>
    </row>
    <row r="130" spans="1:51" ht="59.25" customHeight="1" x14ac:dyDescent="0.25">
      <c r="A130" s="829"/>
      <c r="B130" s="710"/>
      <c r="C130" s="958" t="s">
        <v>1201</v>
      </c>
      <c r="D130" s="413" t="s">
        <v>340</v>
      </c>
      <c r="E130" s="179"/>
      <c r="F130" s="180"/>
      <c r="G130" s="174"/>
      <c r="H130" s="174"/>
      <c r="I130" s="167">
        <v>1</v>
      </c>
      <c r="J130" s="410">
        <v>3</v>
      </c>
      <c r="K130" s="429">
        <v>7</v>
      </c>
      <c r="L130" s="410"/>
      <c r="M130" s="415">
        <v>1</v>
      </c>
      <c r="N130" s="410">
        <v>1</v>
      </c>
      <c r="O130" s="410">
        <v>1</v>
      </c>
      <c r="P130" s="410">
        <v>1</v>
      </c>
      <c r="Q130" s="410">
        <v>1</v>
      </c>
      <c r="R130" s="416">
        <v>1</v>
      </c>
      <c r="S130" s="411"/>
      <c r="T130" s="167"/>
      <c r="U130" s="167"/>
      <c r="V130" s="167">
        <v>1</v>
      </c>
      <c r="W130" s="417">
        <v>3</v>
      </c>
      <c r="X130" s="430">
        <v>7</v>
      </c>
      <c r="Y130" s="411"/>
      <c r="Z130" s="411">
        <v>1</v>
      </c>
      <c r="AA130" s="409">
        <v>1</v>
      </c>
      <c r="AB130" s="419">
        <v>1</v>
      </c>
      <c r="AC130" s="401">
        <v>1</v>
      </c>
      <c r="AD130" s="409">
        <v>1</v>
      </c>
      <c r="AE130" s="420">
        <v>1</v>
      </c>
      <c r="AF130" s="927" t="s">
        <v>1202</v>
      </c>
      <c r="AG130" s="913" t="s">
        <v>1201</v>
      </c>
      <c r="AH130" s="813" t="s">
        <v>1203</v>
      </c>
      <c r="AI130" s="813" t="s">
        <v>1204</v>
      </c>
      <c r="AJ130" s="914" t="s">
        <v>1205</v>
      </c>
      <c r="AK130" s="813" t="s">
        <v>457</v>
      </c>
      <c r="AL130" s="813" t="s">
        <v>1206</v>
      </c>
      <c r="AM130" s="813" t="s">
        <v>1136</v>
      </c>
      <c r="AN130" s="909">
        <v>372618</v>
      </c>
      <c r="AO130" s="910">
        <v>179866</v>
      </c>
      <c r="AP130" s="910">
        <v>192751</v>
      </c>
      <c r="AQ130" s="911" t="s">
        <v>459</v>
      </c>
      <c r="AR130" s="911" t="s">
        <v>459</v>
      </c>
      <c r="AS130" s="911" t="s">
        <v>459</v>
      </c>
      <c r="AT130" s="911" t="s">
        <v>459</v>
      </c>
      <c r="AU130" s="915" t="s">
        <v>459</v>
      </c>
      <c r="AV130" s="915" t="s">
        <v>459</v>
      </c>
      <c r="AW130" s="915" t="s">
        <v>459</v>
      </c>
      <c r="AX130" s="910">
        <v>372618</v>
      </c>
      <c r="AY130" s="427"/>
    </row>
    <row r="131" spans="1:51" ht="47.25" customHeight="1" x14ac:dyDescent="0.25">
      <c r="A131" s="829"/>
      <c r="B131" s="710"/>
      <c r="C131" s="710"/>
      <c r="D131" s="404" t="s">
        <v>343</v>
      </c>
      <c r="E131" s="179"/>
      <c r="F131" s="180"/>
      <c r="G131" s="174"/>
      <c r="H131" s="174"/>
      <c r="I131" s="174" t="e">
        <f>+I130*$I$11/$I$10</f>
        <v>#REF!</v>
      </c>
      <c r="J131" s="410" t="e">
        <f>+J130*$J$11/$J$10</f>
        <v>#REF!</v>
      </c>
      <c r="K131" s="409"/>
      <c r="L131" s="410"/>
      <c r="M131" s="421" t="e">
        <f>+M130*$M$11/$M$10</f>
        <v>#VALUE!</v>
      </c>
      <c r="N131" s="422">
        <f>+N130*$N$11/$N$10</f>
        <v>5482727.2727272725</v>
      </c>
      <c r="O131" s="410">
        <f>+O130*$O$11/$O$10</f>
        <v>5482727.2727272725</v>
      </c>
      <c r="P131" s="410" t="e">
        <f>+P130*$P$11/$P$10</f>
        <v>#VALUE!</v>
      </c>
      <c r="Q131" s="410" t="e">
        <f>+Q130*$Q$11/$Q$10</f>
        <v>#VALUE!</v>
      </c>
      <c r="R131" s="410" t="e">
        <f>+R130*$R$11/$R$10</f>
        <v>#VALUE!</v>
      </c>
      <c r="S131" s="411"/>
      <c r="T131" s="167"/>
      <c r="U131" s="167"/>
      <c r="V131" s="423" t="e">
        <f>+V130*$V$11/$V$10</f>
        <v>#REF!</v>
      </c>
      <c r="W131" s="410" t="e">
        <f>+W130*$W$11/$W$10</f>
        <v>#REF!</v>
      </c>
      <c r="X131" s="411"/>
      <c r="Y131" s="411"/>
      <c r="Z131" s="424">
        <f>+Z130*$Z$11/$Z$10</f>
        <v>12780000</v>
      </c>
      <c r="AA131" s="425">
        <f>+AA130*$AA$11/$AA$10</f>
        <v>11929863.636363637</v>
      </c>
      <c r="AB131" s="409">
        <f>+AB130*$AB$11/$AB$10</f>
        <v>7953242.4242424238</v>
      </c>
      <c r="AC131" s="409" t="e">
        <f>+AC130*$AC$11/$AC$10</f>
        <v>#VALUE!</v>
      </c>
      <c r="AD131" s="409" t="e">
        <f>+AD130*$AD$11/$AD$10</f>
        <v>#VALUE!</v>
      </c>
      <c r="AE131" s="409" t="e">
        <f>+AE130*$AE$11/$AE$10</f>
        <v>#VALUE!</v>
      </c>
      <c r="AF131" s="713"/>
      <c r="AG131" s="829"/>
      <c r="AH131" s="710"/>
      <c r="AI131" s="710"/>
      <c r="AJ131" s="710"/>
      <c r="AK131" s="710"/>
      <c r="AL131" s="710"/>
      <c r="AM131" s="710"/>
      <c r="AN131" s="710"/>
      <c r="AO131" s="710"/>
      <c r="AP131" s="710"/>
      <c r="AQ131" s="710"/>
      <c r="AR131" s="710"/>
      <c r="AS131" s="710"/>
      <c r="AT131" s="710"/>
      <c r="AU131" s="710"/>
      <c r="AV131" s="710"/>
      <c r="AW131" s="710"/>
      <c r="AX131" s="710"/>
      <c r="AY131" s="427"/>
    </row>
    <row r="132" spans="1:51" ht="47.25" customHeight="1" x14ac:dyDescent="0.25">
      <c r="A132" s="829"/>
      <c r="B132" s="710"/>
      <c r="C132" s="710"/>
      <c r="D132" s="408" t="s">
        <v>345</v>
      </c>
      <c r="E132" s="179"/>
      <c r="F132" s="180"/>
      <c r="G132" s="174"/>
      <c r="H132" s="174"/>
      <c r="I132" s="174"/>
      <c r="J132" s="410"/>
      <c r="K132" s="409"/>
      <c r="L132" s="410"/>
      <c r="M132" s="415"/>
      <c r="N132" s="410"/>
      <c r="O132" s="410"/>
      <c r="P132" s="410"/>
      <c r="Q132" s="410"/>
      <c r="R132" s="416"/>
      <c r="S132" s="411"/>
      <c r="T132" s="167"/>
      <c r="U132" s="167"/>
      <c r="V132" s="167"/>
      <c r="W132" s="415"/>
      <c r="X132" s="411"/>
      <c r="Y132" s="411"/>
      <c r="Z132" s="411"/>
      <c r="AA132" s="409"/>
      <c r="AB132" s="419"/>
      <c r="AC132" s="401"/>
      <c r="AD132" s="409"/>
      <c r="AE132" s="420"/>
      <c r="AF132" s="713"/>
      <c r="AG132" s="829"/>
      <c r="AH132" s="710"/>
      <c r="AI132" s="710"/>
      <c r="AJ132" s="710"/>
      <c r="AK132" s="710"/>
      <c r="AL132" s="710"/>
      <c r="AM132" s="710"/>
      <c r="AN132" s="710"/>
      <c r="AO132" s="710"/>
      <c r="AP132" s="710"/>
      <c r="AQ132" s="710"/>
      <c r="AR132" s="710"/>
      <c r="AS132" s="710"/>
      <c r="AT132" s="710"/>
      <c r="AU132" s="710"/>
      <c r="AV132" s="710"/>
      <c r="AW132" s="710"/>
      <c r="AX132" s="710"/>
      <c r="AY132" s="427"/>
    </row>
    <row r="133" spans="1:51" ht="47.25" customHeight="1" x14ac:dyDescent="0.25">
      <c r="A133" s="829"/>
      <c r="B133" s="710"/>
      <c r="C133" s="710"/>
      <c r="D133" s="404" t="s">
        <v>346</v>
      </c>
      <c r="E133" s="179"/>
      <c r="F133" s="180"/>
      <c r="G133" s="174"/>
      <c r="H133" s="174"/>
      <c r="I133" s="174"/>
      <c r="J133" s="410"/>
      <c r="K133" s="409"/>
      <c r="L133" s="410"/>
      <c r="M133" s="415"/>
      <c r="N133" s="410"/>
      <c r="O133" s="410"/>
      <c r="P133" s="410"/>
      <c r="Q133" s="410"/>
      <c r="R133" s="416"/>
      <c r="S133" s="411"/>
      <c r="T133" s="167"/>
      <c r="U133" s="167"/>
      <c r="V133" s="167"/>
      <c r="W133" s="415"/>
      <c r="X133" s="411"/>
      <c r="Y133" s="411"/>
      <c r="Z133" s="411"/>
      <c r="AA133" s="409"/>
      <c r="AB133" s="419"/>
      <c r="AC133" s="401"/>
      <c r="AD133" s="409"/>
      <c r="AE133" s="420"/>
      <c r="AF133" s="713"/>
      <c r="AG133" s="829"/>
      <c r="AH133" s="710"/>
      <c r="AI133" s="710"/>
      <c r="AJ133" s="710"/>
      <c r="AK133" s="710"/>
      <c r="AL133" s="710"/>
      <c r="AM133" s="710"/>
      <c r="AN133" s="710"/>
      <c r="AO133" s="710"/>
      <c r="AP133" s="710"/>
      <c r="AQ133" s="710"/>
      <c r="AR133" s="710"/>
      <c r="AS133" s="710"/>
      <c r="AT133" s="710"/>
      <c r="AU133" s="710"/>
      <c r="AV133" s="710"/>
      <c r="AW133" s="710"/>
      <c r="AX133" s="710"/>
      <c r="AY133" s="427"/>
    </row>
    <row r="134" spans="1:51" ht="47.25" customHeight="1" x14ac:dyDescent="0.25">
      <c r="A134" s="829"/>
      <c r="B134" s="710"/>
      <c r="C134" s="710"/>
      <c r="D134" s="408" t="s">
        <v>347</v>
      </c>
      <c r="E134" s="179"/>
      <c r="F134" s="180"/>
      <c r="G134" s="174"/>
      <c r="H134" s="174"/>
      <c r="I134" s="174">
        <v>1</v>
      </c>
      <c r="J134" s="410">
        <v>3</v>
      </c>
      <c r="K134" s="409"/>
      <c r="L134" s="410"/>
      <c r="M134" s="415"/>
      <c r="N134" s="410"/>
      <c r="O134" s="410">
        <f>+O130</f>
        <v>1</v>
      </c>
      <c r="P134" s="410">
        <v>1</v>
      </c>
      <c r="Q134" s="410">
        <v>1</v>
      </c>
      <c r="R134" s="416">
        <v>1</v>
      </c>
      <c r="S134" s="411"/>
      <c r="T134" s="167"/>
      <c r="U134" s="167"/>
      <c r="V134" s="167">
        <v>1</v>
      </c>
      <c r="W134" s="415">
        <v>3</v>
      </c>
      <c r="X134" s="411"/>
      <c r="Y134" s="411"/>
      <c r="Z134" s="411"/>
      <c r="AA134" s="409"/>
      <c r="AB134" s="409">
        <f>+AB130</f>
        <v>1</v>
      </c>
      <c r="AC134" s="401">
        <v>1</v>
      </c>
      <c r="AD134" s="409">
        <v>1</v>
      </c>
      <c r="AE134" s="420">
        <v>1</v>
      </c>
      <c r="AF134" s="713"/>
      <c r="AG134" s="829"/>
      <c r="AH134" s="710"/>
      <c r="AI134" s="710"/>
      <c r="AJ134" s="710"/>
      <c r="AK134" s="710"/>
      <c r="AL134" s="710"/>
      <c r="AM134" s="710"/>
      <c r="AN134" s="710"/>
      <c r="AO134" s="710"/>
      <c r="AP134" s="710"/>
      <c r="AQ134" s="710"/>
      <c r="AR134" s="710"/>
      <c r="AS134" s="710"/>
      <c r="AT134" s="710"/>
      <c r="AU134" s="710"/>
      <c r="AV134" s="710"/>
      <c r="AW134" s="710"/>
      <c r="AX134" s="710"/>
      <c r="AY134" s="427"/>
    </row>
    <row r="135" spans="1:51" ht="47.25" customHeight="1" x14ac:dyDescent="0.25">
      <c r="A135" s="829"/>
      <c r="B135" s="710"/>
      <c r="C135" s="731"/>
      <c r="D135" s="412" t="s">
        <v>348</v>
      </c>
      <c r="E135" s="179"/>
      <c r="F135" s="180"/>
      <c r="G135" s="174"/>
      <c r="H135" s="174"/>
      <c r="I135" s="174" t="e">
        <f>+I134*$I$11/$I$10</f>
        <v>#REF!</v>
      </c>
      <c r="J135" s="410" t="e">
        <f>+J134*$J$11/$J$10</f>
        <v>#REF!</v>
      </c>
      <c r="K135" s="409"/>
      <c r="L135" s="410"/>
      <c r="M135" s="415"/>
      <c r="N135" s="410"/>
      <c r="O135" s="410">
        <f>+O131</f>
        <v>5482727.2727272725</v>
      </c>
      <c r="P135" s="410" t="e">
        <f>+P134*$P$11/$P$10</f>
        <v>#VALUE!</v>
      </c>
      <c r="Q135" s="410" t="e">
        <f>+Q134*$Q$11/$Q$10</f>
        <v>#VALUE!</v>
      </c>
      <c r="R135" s="410" t="e">
        <f>+R134*$R$11/$R$10</f>
        <v>#VALUE!</v>
      </c>
      <c r="S135" s="411"/>
      <c r="T135" s="167"/>
      <c r="U135" s="167"/>
      <c r="V135" s="423" t="e">
        <f>+V134*$V$11/$V$10</f>
        <v>#REF!</v>
      </c>
      <c r="W135" s="410" t="e">
        <f>+W134*$W$11/$W$10</f>
        <v>#REF!</v>
      </c>
      <c r="X135" s="411"/>
      <c r="Y135" s="411"/>
      <c r="Z135" s="411"/>
      <c r="AA135" s="409"/>
      <c r="AB135" s="409">
        <f>+AB131</f>
        <v>7953242.4242424238</v>
      </c>
      <c r="AC135" s="409" t="e">
        <f>+AC134*$AC$11/$AC$10</f>
        <v>#VALUE!</v>
      </c>
      <c r="AD135" s="409" t="e">
        <f>+AD134*$AD$11/$AD$10</f>
        <v>#VALUE!</v>
      </c>
      <c r="AE135" s="409" t="e">
        <f>+AE134*$AE$11/$AE$10</f>
        <v>#VALUE!</v>
      </c>
      <c r="AF135" s="714"/>
      <c r="AG135" s="823"/>
      <c r="AH135" s="731"/>
      <c r="AI135" s="731"/>
      <c r="AJ135" s="731"/>
      <c r="AK135" s="731"/>
      <c r="AL135" s="731"/>
      <c r="AM135" s="731"/>
      <c r="AN135" s="731"/>
      <c r="AO135" s="731"/>
      <c r="AP135" s="731"/>
      <c r="AQ135" s="731"/>
      <c r="AR135" s="731"/>
      <c r="AS135" s="731"/>
      <c r="AT135" s="731"/>
      <c r="AU135" s="731"/>
      <c r="AV135" s="731"/>
      <c r="AW135" s="731"/>
      <c r="AX135" s="731"/>
      <c r="AY135" s="427"/>
    </row>
    <row r="136" spans="1:51" ht="50.25" customHeight="1" x14ac:dyDescent="0.25">
      <c r="A136" s="829"/>
      <c r="B136" s="710"/>
      <c r="C136" s="818" t="s">
        <v>1207</v>
      </c>
      <c r="D136" s="413" t="s">
        <v>340</v>
      </c>
      <c r="E136" s="179"/>
      <c r="F136" s="180"/>
      <c r="G136" s="174"/>
      <c r="H136" s="174"/>
      <c r="I136" s="167">
        <v>1</v>
      </c>
      <c r="J136" s="410">
        <v>2</v>
      </c>
      <c r="K136" s="414">
        <v>2</v>
      </c>
      <c r="L136" s="410"/>
      <c r="M136" s="415">
        <v>1</v>
      </c>
      <c r="N136" s="410">
        <v>2</v>
      </c>
      <c r="O136" s="410">
        <v>3</v>
      </c>
      <c r="P136" s="410">
        <v>3</v>
      </c>
      <c r="Q136" s="410">
        <v>3</v>
      </c>
      <c r="R136" s="416">
        <v>3</v>
      </c>
      <c r="S136" s="411"/>
      <c r="T136" s="167"/>
      <c r="U136" s="167"/>
      <c r="V136" s="167">
        <v>1</v>
      </c>
      <c r="W136" s="417">
        <v>2</v>
      </c>
      <c r="X136" s="418">
        <v>2</v>
      </c>
      <c r="Y136" s="411"/>
      <c r="Z136" s="411">
        <v>1</v>
      </c>
      <c r="AA136" s="409">
        <v>2</v>
      </c>
      <c r="AB136" s="419">
        <v>3</v>
      </c>
      <c r="AC136" s="401">
        <v>3</v>
      </c>
      <c r="AD136" s="409">
        <v>3</v>
      </c>
      <c r="AE136" s="420">
        <v>3</v>
      </c>
      <c r="AF136" s="912" t="s">
        <v>1208</v>
      </c>
      <c r="AG136" s="913" t="s">
        <v>1207</v>
      </c>
      <c r="AH136" s="813" t="s">
        <v>1209</v>
      </c>
      <c r="AI136" s="813" t="s">
        <v>1210</v>
      </c>
      <c r="AJ136" s="914" t="s">
        <v>1153</v>
      </c>
      <c r="AK136" s="813" t="s">
        <v>457</v>
      </c>
      <c r="AL136" s="813" t="s">
        <v>1211</v>
      </c>
      <c r="AM136" s="813" t="s">
        <v>1136</v>
      </c>
      <c r="AN136" s="909">
        <v>621368</v>
      </c>
      <c r="AO136" s="910">
        <v>303282</v>
      </c>
      <c r="AP136" s="910">
        <v>318086</v>
      </c>
      <c r="AQ136" s="911" t="s">
        <v>459</v>
      </c>
      <c r="AR136" s="911" t="s">
        <v>459</v>
      </c>
      <c r="AS136" s="911" t="s">
        <v>459</v>
      </c>
      <c r="AT136" s="911" t="s">
        <v>459</v>
      </c>
      <c r="AU136" s="915" t="s">
        <v>459</v>
      </c>
      <c r="AV136" s="915" t="s">
        <v>459</v>
      </c>
      <c r="AW136" s="915" t="s">
        <v>459</v>
      </c>
      <c r="AX136" s="910">
        <v>621368</v>
      </c>
      <c r="AY136" s="427"/>
    </row>
    <row r="137" spans="1:51" ht="50.25" customHeight="1" x14ac:dyDescent="0.25">
      <c r="A137" s="829"/>
      <c r="B137" s="710"/>
      <c r="C137" s="710"/>
      <c r="D137" s="404" t="s">
        <v>343</v>
      </c>
      <c r="E137" s="179"/>
      <c r="F137" s="180"/>
      <c r="G137" s="174"/>
      <c r="H137" s="174"/>
      <c r="I137" s="174" t="e">
        <f>+I136*$I$11/$I$10</f>
        <v>#REF!</v>
      </c>
      <c r="J137" s="410" t="e">
        <f>+J136*$J$11/$J$10</f>
        <v>#REF!</v>
      </c>
      <c r="K137" s="409"/>
      <c r="L137" s="410"/>
      <c r="M137" s="421" t="e">
        <f>+M136*$M$11/$M$10</f>
        <v>#VALUE!</v>
      </c>
      <c r="N137" s="422">
        <f>+N136*$N$11/$N$10</f>
        <v>10965454.545454545</v>
      </c>
      <c r="O137" s="410">
        <f>+O136*$O$11/$O$10</f>
        <v>16448181.818181818</v>
      </c>
      <c r="P137" s="410" t="e">
        <f>+P136*$P$11/$P$10</f>
        <v>#VALUE!</v>
      </c>
      <c r="Q137" s="410" t="e">
        <f>+Q136*$Q$11/$Q$10</f>
        <v>#VALUE!</v>
      </c>
      <c r="R137" s="410" t="e">
        <f>+R136*$R$11/$R$10</f>
        <v>#VALUE!</v>
      </c>
      <c r="S137" s="411"/>
      <c r="T137" s="167"/>
      <c r="U137" s="167"/>
      <c r="V137" s="423" t="e">
        <f>+V136*$V$11/$V$10</f>
        <v>#REF!</v>
      </c>
      <c r="W137" s="410" t="e">
        <f>+W136*$W$11/$W$10</f>
        <v>#REF!</v>
      </c>
      <c r="X137" s="411"/>
      <c r="Y137" s="411"/>
      <c r="Z137" s="424">
        <f>+Z136*$Z$11/$Z$10</f>
        <v>12780000</v>
      </c>
      <c r="AA137" s="425">
        <f>+AA136*$AA$11/$AA$10</f>
        <v>23859727.272727273</v>
      </c>
      <c r="AB137" s="409">
        <f>+AB136*$AB$11/$AB$10</f>
        <v>23859727.272727273</v>
      </c>
      <c r="AC137" s="409" t="e">
        <f>+AC136*$AC$11/$AC$10</f>
        <v>#VALUE!</v>
      </c>
      <c r="AD137" s="409" t="e">
        <f>+AD136*$AD$11/$AD$10</f>
        <v>#VALUE!</v>
      </c>
      <c r="AE137" s="409" t="e">
        <f>+AE136*$AE$11/$AE$10</f>
        <v>#VALUE!</v>
      </c>
      <c r="AF137" s="713"/>
      <c r="AG137" s="829"/>
      <c r="AH137" s="710"/>
      <c r="AI137" s="710"/>
      <c r="AJ137" s="710"/>
      <c r="AK137" s="710"/>
      <c r="AL137" s="710"/>
      <c r="AM137" s="710"/>
      <c r="AN137" s="710"/>
      <c r="AO137" s="710"/>
      <c r="AP137" s="710"/>
      <c r="AQ137" s="710"/>
      <c r="AR137" s="710"/>
      <c r="AS137" s="710"/>
      <c r="AT137" s="710"/>
      <c r="AU137" s="710"/>
      <c r="AV137" s="710"/>
      <c r="AW137" s="710"/>
      <c r="AX137" s="710"/>
      <c r="AY137" s="427"/>
    </row>
    <row r="138" spans="1:51" ht="50.25" customHeight="1" x14ac:dyDescent="0.25">
      <c r="A138" s="829"/>
      <c r="B138" s="710"/>
      <c r="C138" s="710"/>
      <c r="D138" s="408" t="s">
        <v>345</v>
      </c>
      <c r="E138" s="179"/>
      <c r="F138" s="180"/>
      <c r="G138" s="174"/>
      <c r="H138" s="174"/>
      <c r="I138" s="174"/>
      <c r="J138" s="410"/>
      <c r="K138" s="409"/>
      <c r="L138" s="410"/>
      <c r="M138" s="415"/>
      <c r="N138" s="410"/>
      <c r="O138" s="410"/>
      <c r="P138" s="410"/>
      <c r="Q138" s="410"/>
      <c r="R138" s="416"/>
      <c r="S138" s="411"/>
      <c r="T138" s="167"/>
      <c r="U138" s="167"/>
      <c r="V138" s="167"/>
      <c r="W138" s="415"/>
      <c r="X138" s="411"/>
      <c r="Y138" s="411"/>
      <c r="Z138" s="411"/>
      <c r="AA138" s="409"/>
      <c r="AB138" s="419"/>
      <c r="AC138" s="401"/>
      <c r="AD138" s="431"/>
      <c r="AE138" s="420"/>
      <c r="AF138" s="713"/>
      <c r="AG138" s="829"/>
      <c r="AH138" s="710"/>
      <c r="AI138" s="710"/>
      <c r="AJ138" s="710"/>
      <c r="AK138" s="710"/>
      <c r="AL138" s="710"/>
      <c r="AM138" s="710"/>
      <c r="AN138" s="710"/>
      <c r="AO138" s="710"/>
      <c r="AP138" s="710"/>
      <c r="AQ138" s="710"/>
      <c r="AR138" s="710"/>
      <c r="AS138" s="710"/>
      <c r="AT138" s="710"/>
      <c r="AU138" s="710"/>
      <c r="AV138" s="710"/>
      <c r="AW138" s="710"/>
      <c r="AX138" s="710"/>
      <c r="AY138" s="427"/>
    </row>
    <row r="139" spans="1:51" ht="50.25" customHeight="1" x14ac:dyDescent="0.25">
      <c r="A139" s="829"/>
      <c r="B139" s="710"/>
      <c r="C139" s="710"/>
      <c r="D139" s="404" t="s">
        <v>346</v>
      </c>
      <c r="E139" s="179"/>
      <c r="F139" s="180"/>
      <c r="G139" s="174"/>
      <c r="H139" s="174"/>
      <c r="I139" s="174"/>
      <c r="J139" s="410"/>
      <c r="K139" s="409"/>
      <c r="L139" s="410"/>
      <c r="M139" s="415"/>
      <c r="N139" s="410"/>
      <c r="O139" s="410"/>
      <c r="P139" s="410"/>
      <c r="Q139" s="410"/>
      <c r="R139" s="416"/>
      <c r="S139" s="411"/>
      <c r="T139" s="167"/>
      <c r="U139" s="167"/>
      <c r="V139" s="167"/>
      <c r="W139" s="415"/>
      <c r="X139" s="411"/>
      <c r="Y139" s="411"/>
      <c r="Z139" s="411"/>
      <c r="AA139" s="409"/>
      <c r="AB139" s="419"/>
      <c r="AC139" s="401"/>
      <c r="AD139" s="431"/>
      <c r="AE139" s="420"/>
      <c r="AF139" s="713"/>
      <c r="AG139" s="829"/>
      <c r="AH139" s="710"/>
      <c r="AI139" s="710"/>
      <c r="AJ139" s="710"/>
      <c r="AK139" s="710"/>
      <c r="AL139" s="710"/>
      <c r="AM139" s="710"/>
      <c r="AN139" s="710"/>
      <c r="AO139" s="710"/>
      <c r="AP139" s="710"/>
      <c r="AQ139" s="710"/>
      <c r="AR139" s="710"/>
      <c r="AS139" s="710"/>
      <c r="AT139" s="710"/>
      <c r="AU139" s="710"/>
      <c r="AV139" s="710"/>
      <c r="AW139" s="710"/>
      <c r="AX139" s="710"/>
      <c r="AY139" s="427"/>
    </row>
    <row r="140" spans="1:51" ht="50.25" customHeight="1" x14ac:dyDescent="0.25">
      <c r="A140" s="829"/>
      <c r="B140" s="710"/>
      <c r="C140" s="710"/>
      <c r="D140" s="408" t="s">
        <v>347</v>
      </c>
      <c r="E140" s="179"/>
      <c r="F140" s="180"/>
      <c r="G140" s="174"/>
      <c r="H140" s="174"/>
      <c r="I140" s="174">
        <v>1</v>
      </c>
      <c r="J140" s="410">
        <v>1</v>
      </c>
      <c r="K140" s="409"/>
      <c r="L140" s="410"/>
      <c r="M140" s="415"/>
      <c r="N140" s="410"/>
      <c r="O140" s="410">
        <f>+O136</f>
        <v>3</v>
      </c>
      <c r="P140" s="410">
        <v>3</v>
      </c>
      <c r="Q140" s="410">
        <v>3</v>
      </c>
      <c r="R140" s="416">
        <v>3</v>
      </c>
      <c r="S140" s="411"/>
      <c r="T140" s="167"/>
      <c r="U140" s="167"/>
      <c r="V140" s="167">
        <v>1</v>
      </c>
      <c r="W140" s="415">
        <v>2</v>
      </c>
      <c r="X140" s="411"/>
      <c r="Y140" s="411"/>
      <c r="Z140" s="411"/>
      <c r="AA140" s="409"/>
      <c r="AB140" s="409">
        <f>+AB136</f>
        <v>3</v>
      </c>
      <c r="AC140" s="401">
        <v>3</v>
      </c>
      <c r="AD140" s="431">
        <v>3</v>
      </c>
      <c r="AE140" s="420">
        <v>3</v>
      </c>
      <c r="AF140" s="713"/>
      <c r="AG140" s="829"/>
      <c r="AH140" s="710"/>
      <c r="AI140" s="710"/>
      <c r="AJ140" s="710"/>
      <c r="AK140" s="710"/>
      <c r="AL140" s="710"/>
      <c r="AM140" s="710"/>
      <c r="AN140" s="710"/>
      <c r="AO140" s="710"/>
      <c r="AP140" s="710"/>
      <c r="AQ140" s="710"/>
      <c r="AR140" s="710"/>
      <c r="AS140" s="710"/>
      <c r="AT140" s="710"/>
      <c r="AU140" s="710"/>
      <c r="AV140" s="710"/>
      <c r="AW140" s="710"/>
      <c r="AX140" s="710"/>
      <c r="AY140" s="427"/>
    </row>
    <row r="141" spans="1:51" ht="50.25" customHeight="1" x14ac:dyDescent="0.25">
      <c r="A141" s="829"/>
      <c r="B141" s="710"/>
      <c r="C141" s="731"/>
      <c r="D141" s="412" t="s">
        <v>348</v>
      </c>
      <c r="E141" s="179"/>
      <c r="F141" s="180"/>
      <c r="G141" s="174"/>
      <c r="H141" s="174"/>
      <c r="I141" s="174" t="e">
        <f>+I140*$I$11/$I$10</f>
        <v>#REF!</v>
      </c>
      <c r="J141" s="410" t="e">
        <f>+J140*$J$11/$J$10</f>
        <v>#REF!</v>
      </c>
      <c r="K141" s="409"/>
      <c r="L141" s="410"/>
      <c r="M141" s="415"/>
      <c r="N141" s="410"/>
      <c r="O141" s="410">
        <f>+O137</f>
        <v>16448181.818181818</v>
      </c>
      <c r="P141" s="410" t="e">
        <f>+P140*$P$11/$P$10</f>
        <v>#VALUE!</v>
      </c>
      <c r="Q141" s="410" t="e">
        <f>+Q140*$Q$11/$Q$10</f>
        <v>#VALUE!</v>
      </c>
      <c r="R141" s="410" t="e">
        <f>+R140*$R$11/$R$10</f>
        <v>#VALUE!</v>
      </c>
      <c r="S141" s="411"/>
      <c r="T141" s="167"/>
      <c r="U141" s="167"/>
      <c r="V141" s="423" t="e">
        <f>+V140*$V$11/$V$10</f>
        <v>#REF!</v>
      </c>
      <c r="W141" s="410" t="e">
        <f>+W140*$W$11/$W$10</f>
        <v>#REF!</v>
      </c>
      <c r="X141" s="411"/>
      <c r="Y141" s="411"/>
      <c r="Z141" s="411"/>
      <c r="AA141" s="409"/>
      <c r="AB141" s="409">
        <f>+AB137</f>
        <v>23859727.272727273</v>
      </c>
      <c r="AC141" s="409" t="e">
        <f>+AC140*$AC$11/$AC$10</f>
        <v>#VALUE!</v>
      </c>
      <c r="AD141" s="409" t="e">
        <f>+AD140*$AD$11/$AD$10</f>
        <v>#VALUE!</v>
      </c>
      <c r="AE141" s="409" t="e">
        <f>+AE140*$AE$11/$AE$10</f>
        <v>#VALUE!</v>
      </c>
      <c r="AF141" s="714"/>
      <c r="AG141" s="823"/>
      <c r="AH141" s="731"/>
      <c r="AI141" s="731"/>
      <c r="AJ141" s="731"/>
      <c r="AK141" s="731"/>
      <c r="AL141" s="731"/>
      <c r="AM141" s="731"/>
      <c r="AN141" s="731"/>
      <c r="AO141" s="731"/>
      <c r="AP141" s="731"/>
      <c r="AQ141" s="731"/>
      <c r="AR141" s="731"/>
      <c r="AS141" s="731"/>
      <c r="AT141" s="731"/>
      <c r="AU141" s="731"/>
      <c r="AV141" s="731"/>
      <c r="AW141" s="731"/>
      <c r="AX141" s="731"/>
      <c r="AY141" s="427"/>
    </row>
    <row r="142" spans="1:51" ht="18" customHeight="1" x14ac:dyDescent="0.25">
      <c r="A142" s="829"/>
      <c r="B142" s="710"/>
      <c r="C142" s="818" t="s">
        <v>511</v>
      </c>
      <c r="D142" s="413" t="s">
        <v>340</v>
      </c>
      <c r="E142" s="179"/>
      <c r="F142" s="180"/>
      <c r="G142" s="174">
        <v>104</v>
      </c>
      <c r="H142" s="174">
        <v>96</v>
      </c>
      <c r="I142" s="174">
        <v>86</v>
      </c>
      <c r="J142" s="410">
        <v>76</v>
      </c>
      <c r="K142" s="414">
        <v>66</v>
      </c>
      <c r="L142" s="410"/>
      <c r="M142" s="415">
        <v>55</v>
      </c>
      <c r="N142" s="410">
        <v>44</v>
      </c>
      <c r="O142" s="410">
        <v>33</v>
      </c>
      <c r="P142" s="410">
        <v>22</v>
      </c>
      <c r="Q142" s="410">
        <v>11</v>
      </c>
      <c r="R142" s="416">
        <v>0</v>
      </c>
      <c r="S142" s="411"/>
      <c r="T142" s="167"/>
      <c r="U142" s="167"/>
      <c r="V142" s="167"/>
      <c r="W142" s="415"/>
      <c r="X142" s="411"/>
      <c r="Y142" s="411"/>
      <c r="Z142" s="411"/>
      <c r="AA142" s="409"/>
      <c r="AB142" s="419">
        <v>33</v>
      </c>
      <c r="AC142" s="401"/>
      <c r="AD142" s="431"/>
      <c r="AE142" s="420"/>
      <c r="AF142" s="916"/>
      <c r="AG142" s="920"/>
      <c r="AH142" s="813"/>
      <c r="AI142" s="813"/>
      <c r="AJ142" s="914"/>
      <c r="AK142" s="813"/>
      <c r="AL142" s="813"/>
      <c r="AM142" s="813" t="s">
        <v>1136</v>
      </c>
      <c r="AN142" s="910">
        <v>7804660</v>
      </c>
      <c r="AO142" s="910">
        <v>3721767</v>
      </c>
      <c r="AP142" s="910">
        <v>4082893</v>
      </c>
      <c r="AQ142" s="911" t="s">
        <v>459</v>
      </c>
      <c r="AR142" s="911" t="s">
        <v>459</v>
      </c>
      <c r="AS142" s="911" t="s">
        <v>459</v>
      </c>
      <c r="AT142" s="911" t="s">
        <v>459</v>
      </c>
      <c r="AU142" s="915" t="s">
        <v>459</v>
      </c>
      <c r="AV142" s="915" t="s">
        <v>459</v>
      </c>
      <c r="AW142" s="915" t="s">
        <v>459</v>
      </c>
      <c r="AX142" s="910">
        <v>7804660</v>
      </c>
      <c r="AY142" s="427"/>
    </row>
    <row r="143" spans="1:51" ht="15.75" customHeight="1" x14ac:dyDescent="0.25">
      <c r="A143" s="829"/>
      <c r="B143" s="710"/>
      <c r="C143" s="710"/>
      <c r="D143" s="404" t="s">
        <v>343</v>
      </c>
      <c r="E143" s="179"/>
      <c r="F143" s="180"/>
      <c r="G143" s="174">
        <f>+G142*$G$11/$G$10</f>
        <v>548293724.77064216</v>
      </c>
      <c r="H143" s="174">
        <f>+H142*$H$11/$H$10</f>
        <v>506117284.40366971</v>
      </c>
      <c r="I143" s="174" t="e">
        <f>+I142*$I$11/$I$10</f>
        <v>#REF!</v>
      </c>
      <c r="J143" s="410" t="e">
        <f>+J142*$J$11/$J$10</f>
        <v>#REF!</v>
      </c>
      <c r="K143" s="409"/>
      <c r="L143" s="410"/>
      <c r="M143" s="421" t="e">
        <f>+M142*$M$11/$M$10</f>
        <v>#VALUE!</v>
      </c>
      <c r="N143" s="422">
        <f>+N142*$N$11/$N$10</f>
        <v>241240000</v>
      </c>
      <c r="O143" s="410">
        <f>+O142*$O$11/$O$10</f>
        <v>180930000</v>
      </c>
      <c r="P143" s="410" t="e">
        <f>+P142*$P$11/$P$10</f>
        <v>#VALUE!</v>
      </c>
      <c r="Q143" s="410" t="e">
        <f>+Q142*$Q$11/$Q$10</f>
        <v>#VALUE!</v>
      </c>
      <c r="R143" s="416"/>
      <c r="S143" s="411"/>
      <c r="T143" s="167"/>
      <c r="U143" s="174"/>
      <c r="V143" s="167"/>
      <c r="W143" s="415"/>
      <c r="X143" s="411"/>
      <c r="Y143" s="411"/>
      <c r="Z143" s="424"/>
      <c r="AA143" s="409"/>
      <c r="AB143" s="409">
        <f>+AB142*$AB$11/$AB$10</f>
        <v>262457000</v>
      </c>
      <c r="AC143" s="409" t="e">
        <f>+AC142*$AC$11/$AC$10</f>
        <v>#VALUE!</v>
      </c>
      <c r="AD143" s="431"/>
      <c r="AE143" s="420"/>
      <c r="AF143" s="710"/>
      <c r="AG143" s="724"/>
      <c r="AH143" s="710"/>
      <c r="AI143" s="710"/>
      <c r="AJ143" s="710"/>
      <c r="AK143" s="710"/>
      <c r="AL143" s="710"/>
      <c r="AM143" s="710"/>
      <c r="AN143" s="710"/>
      <c r="AO143" s="710"/>
      <c r="AP143" s="710"/>
      <c r="AQ143" s="710"/>
      <c r="AR143" s="710"/>
      <c r="AS143" s="710"/>
      <c r="AT143" s="710"/>
      <c r="AU143" s="710"/>
      <c r="AV143" s="710"/>
      <c r="AW143" s="710"/>
      <c r="AX143" s="710"/>
      <c r="AY143" s="427"/>
    </row>
    <row r="144" spans="1:51" ht="15.75" customHeight="1" x14ac:dyDescent="0.25">
      <c r="A144" s="829"/>
      <c r="B144" s="710"/>
      <c r="C144" s="710"/>
      <c r="D144" s="408" t="s">
        <v>345</v>
      </c>
      <c r="E144" s="179"/>
      <c r="F144" s="180"/>
      <c r="G144" s="174"/>
      <c r="H144" s="174"/>
      <c r="I144" s="174"/>
      <c r="J144" s="410"/>
      <c r="K144" s="409"/>
      <c r="L144" s="410"/>
      <c r="M144" s="415"/>
      <c r="N144" s="410"/>
      <c r="O144" s="410"/>
      <c r="P144" s="410"/>
      <c r="Q144" s="410"/>
      <c r="R144" s="416"/>
      <c r="S144" s="411"/>
      <c r="T144" s="167"/>
      <c r="U144" s="167"/>
      <c r="V144" s="167"/>
      <c r="W144" s="415"/>
      <c r="X144" s="411"/>
      <c r="Y144" s="411"/>
      <c r="Z144" s="411"/>
      <c r="AA144" s="409"/>
      <c r="AB144" s="419"/>
      <c r="AC144" s="401"/>
      <c r="AD144" s="431"/>
      <c r="AE144" s="420"/>
      <c r="AF144" s="710"/>
      <c r="AG144" s="724"/>
      <c r="AH144" s="710"/>
      <c r="AI144" s="710"/>
      <c r="AJ144" s="710"/>
      <c r="AK144" s="710"/>
      <c r="AL144" s="710"/>
      <c r="AM144" s="710"/>
      <c r="AN144" s="710"/>
      <c r="AO144" s="710"/>
      <c r="AP144" s="710"/>
      <c r="AQ144" s="710"/>
      <c r="AR144" s="710"/>
      <c r="AS144" s="710"/>
      <c r="AT144" s="710"/>
      <c r="AU144" s="710"/>
      <c r="AV144" s="710"/>
      <c r="AW144" s="710"/>
      <c r="AX144" s="710"/>
      <c r="AY144" s="427"/>
    </row>
    <row r="145" spans="1:51" ht="23.25" customHeight="1" x14ac:dyDescent="0.25">
      <c r="A145" s="829"/>
      <c r="B145" s="710"/>
      <c r="C145" s="710"/>
      <c r="D145" s="404" t="s">
        <v>346</v>
      </c>
      <c r="E145" s="179"/>
      <c r="F145" s="180"/>
      <c r="G145" s="174"/>
      <c r="H145" s="174"/>
      <c r="I145" s="174"/>
      <c r="J145" s="410"/>
      <c r="K145" s="409"/>
      <c r="L145" s="410"/>
      <c r="M145" s="415"/>
      <c r="N145" s="410"/>
      <c r="O145" s="410"/>
      <c r="P145" s="410"/>
      <c r="Q145" s="410"/>
      <c r="R145" s="416"/>
      <c r="S145" s="411"/>
      <c r="T145" s="167"/>
      <c r="U145" s="167"/>
      <c r="V145" s="167"/>
      <c r="W145" s="415"/>
      <c r="X145" s="411"/>
      <c r="Y145" s="411"/>
      <c r="Z145" s="411"/>
      <c r="AA145" s="409"/>
      <c r="AB145" s="419"/>
      <c r="AC145" s="401"/>
      <c r="AD145" s="431"/>
      <c r="AE145" s="420"/>
      <c r="AF145" s="710"/>
      <c r="AG145" s="724"/>
      <c r="AH145" s="710"/>
      <c r="AI145" s="710"/>
      <c r="AJ145" s="710"/>
      <c r="AK145" s="710"/>
      <c r="AL145" s="710"/>
      <c r="AM145" s="710"/>
      <c r="AN145" s="710"/>
      <c r="AO145" s="710"/>
      <c r="AP145" s="710"/>
      <c r="AQ145" s="710"/>
      <c r="AR145" s="710"/>
      <c r="AS145" s="710"/>
      <c r="AT145" s="710"/>
      <c r="AU145" s="710"/>
      <c r="AV145" s="710"/>
      <c r="AW145" s="710"/>
      <c r="AX145" s="710"/>
      <c r="AY145" s="427"/>
    </row>
    <row r="146" spans="1:51" ht="18" customHeight="1" x14ac:dyDescent="0.25">
      <c r="A146" s="829"/>
      <c r="B146" s="710"/>
      <c r="C146" s="710"/>
      <c r="D146" s="408" t="s">
        <v>347</v>
      </c>
      <c r="E146" s="179"/>
      <c r="F146" s="180"/>
      <c r="G146" s="174">
        <v>104</v>
      </c>
      <c r="H146" s="174">
        <v>96</v>
      </c>
      <c r="I146" s="174">
        <v>86</v>
      </c>
      <c r="J146" s="410">
        <v>76</v>
      </c>
      <c r="K146" s="409"/>
      <c r="L146" s="410"/>
      <c r="M146" s="415"/>
      <c r="N146" s="410"/>
      <c r="O146" s="410">
        <f>+O142</f>
        <v>33</v>
      </c>
      <c r="P146" s="410">
        <v>22</v>
      </c>
      <c r="Q146" s="410">
        <v>11</v>
      </c>
      <c r="R146" s="416">
        <v>0</v>
      </c>
      <c r="S146" s="411"/>
      <c r="T146" s="167"/>
      <c r="U146" s="167"/>
      <c r="V146" s="167"/>
      <c r="W146" s="415"/>
      <c r="X146" s="411"/>
      <c r="Y146" s="411"/>
      <c r="Z146" s="411"/>
      <c r="AA146" s="409"/>
      <c r="AB146" s="409">
        <f>+AB142</f>
        <v>33</v>
      </c>
      <c r="AC146" s="401"/>
      <c r="AD146" s="431"/>
      <c r="AE146" s="420"/>
      <c r="AF146" s="710"/>
      <c r="AG146" s="724"/>
      <c r="AH146" s="710"/>
      <c r="AI146" s="710"/>
      <c r="AJ146" s="710"/>
      <c r="AK146" s="710"/>
      <c r="AL146" s="710"/>
      <c r="AM146" s="710"/>
      <c r="AN146" s="710"/>
      <c r="AO146" s="710"/>
      <c r="AP146" s="710"/>
      <c r="AQ146" s="710"/>
      <c r="AR146" s="710"/>
      <c r="AS146" s="710"/>
      <c r="AT146" s="710"/>
      <c r="AU146" s="710"/>
      <c r="AV146" s="710"/>
      <c r="AW146" s="710"/>
      <c r="AX146" s="710"/>
      <c r="AY146" s="427"/>
    </row>
    <row r="147" spans="1:51" ht="18.75" customHeight="1" x14ac:dyDescent="0.25">
      <c r="A147" s="829"/>
      <c r="B147" s="710"/>
      <c r="C147" s="731"/>
      <c r="D147" s="412" t="s">
        <v>348</v>
      </c>
      <c r="E147" s="179"/>
      <c r="F147" s="180"/>
      <c r="G147" s="174">
        <f>+G146*$G$11/$G$10</f>
        <v>548293724.77064216</v>
      </c>
      <c r="H147" s="174">
        <f>+H146*$H$11/$H$10</f>
        <v>506117284.40366971</v>
      </c>
      <c r="I147" s="174" t="e">
        <f>+I146*$I$11/$I$10</f>
        <v>#REF!</v>
      </c>
      <c r="J147" s="410" t="e">
        <f>+J146*$J$11/$J$10</f>
        <v>#REF!</v>
      </c>
      <c r="K147" s="409"/>
      <c r="L147" s="410"/>
      <c r="M147" s="415"/>
      <c r="N147" s="410"/>
      <c r="O147" s="410">
        <f>+O143</f>
        <v>180930000</v>
      </c>
      <c r="P147" s="410" t="e">
        <f>+P146*$P$11/$P$10</f>
        <v>#VALUE!</v>
      </c>
      <c r="Q147" s="410" t="e">
        <f>+Q146*$Q$11/$Q$10</f>
        <v>#VALUE!</v>
      </c>
      <c r="R147" s="416"/>
      <c r="S147" s="411"/>
      <c r="T147" s="167"/>
      <c r="U147" s="174"/>
      <c r="V147" s="167"/>
      <c r="W147" s="415"/>
      <c r="X147" s="411"/>
      <c r="Y147" s="411"/>
      <c r="Z147" s="411"/>
      <c r="AA147" s="409"/>
      <c r="AB147" s="409">
        <f>+AB143</f>
        <v>262457000</v>
      </c>
      <c r="AC147" s="401"/>
      <c r="AD147" s="431"/>
      <c r="AE147" s="420"/>
      <c r="AF147" s="731"/>
      <c r="AG147" s="876"/>
      <c r="AH147" s="731"/>
      <c r="AI147" s="731"/>
      <c r="AJ147" s="731"/>
      <c r="AK147" s="731"/>
      <c r="AL147" s="731"/>
      <c r="AM147" s="731"/>
      <c r="AN147" s="731"/>
      <c r="AO147" s="731"/>
      <c r="AP147" s="731"/>
      <c r="AQ147" s="731"/>
      <c r="AR147" s="731"/>
      <c r="AS147" s="731"/>
      <c r="AT147" s="731"/>
      <c r="AU147" s="731"/>
      <c r="AV147" s="731"/>
      <c r="AW147" s="731"/>
      <c r="AX147" s="731"/>
      <c r="AY147" s="427"/>
    </row>
    <row r="148" spans="1:51" ht="18.75" customHeight="1" x14ac:dyDescent="0.25">
      <c r="A148" s="829"/>
      <c r="B148" s="710"/>
      <c r="C148" s="818" t="s">
        <v>512</v>
      </c>
      <c r="D148" s="413" t="s">
        <v>340</v>
      </c>
      <c r="E148" s="179"/>
      <c r="F148" s="180"/>
      <c r="G148" s="166">
        <f t="shared" ref="G148:G153" si="1">+G16+G22+G64+G76+G118+G142</f>
        <v>109</v>
      </c>
      <c r="H148" s="166">
        <f t="shared" ref="H148:H153" si="2">+H16+H22+H46+H64+H76+H88+H112+H118+H142</f>
        <v>109</v>
      </c>
      <c r="I148" s="166">
        <f t="shared" ref="I148:I153" si="3">+I16+I22+I34+I46+I64+I70+I76+I82+I88+I112+I118+I130+I136+I142</f>
        <v>109</v>
      </c>
      <c r="J148" s="432">
        <f t="shared" ref="J148:J153" si="4">+J16+J22+J34+J40+J46+J64+J70+J76+J82+J88+J112+J118+J130+J136+J142</f>
        <v>109</v>
      </c>
      <c r="K148" s="414">
        <v>109</v>
      </c>
      <c r="L148" s="410"/>
      <c r="M148" s="415">
        <f>+M16+M34+M46+M64+M76+M82+M88+M118+M130+M136+M142</f>
        <v>66</v>
      </c>
      <c r="N148" s="416">
        <f>+N16+N34+N46+N64+N70+N76+N82+N88+N94+N106+N118+N130+N136+N142</f>
        <v>66</v>
      </c>
      <c r="O148" s="410">
        <v>66</v>
      </c>
      <c r="P148" s="410">
        <v>66</v>
      </c>
      <c r="Q148" s="410">
        <f t="shared" ref="Q148:Q153" si="5">+Q16+Q22+Q28+Q34+Q46+Q58+Q64+Q70+Q76+Q82+Q88+Q94+Q100+Q106+Q112+Q118+Q130+Q136+Q142</f>
        <v>66</v>
      </c>
      <c r="R148" s="410">
        <f t="shared" ref="R148:R153" si="6">+R16+R22+R28+R34+R40+R46+R58+R64+R70+R76+R82+R88+R94+R100+R106+R112+R118+R130+R136+R142</f>
        <v>66</v>
      </c>
      <c r="S148" s="411"/>
      <c r="T148" s="167">
        <f t="shared" ref="T148:T153" si="7">+T16+T22+T64+T76+T118</f>
        <v>5</v>
      </c>
      <c r="U148" s="166">
        <f t="shared" ref="U148:U153" si="8">+U16+U22+U46+U64+U76+U88+U112+U118+U142</f>
        <v>13</v>
      </c>
      <c r="V148" s="166">
        <f t="shared" ref="V148:V153" si="9">+V16+V22+V34+V46+V64+V70+V76+V82+V88+V112+V118+V130+V136+V142</f>
        <v>23</v>
      </c>
      <c r="W148" s="432">
        <f t="shared" ref="W148:W153" si="10">+W16+W22+W34+W40+W46+W64+W70+W76+W82+W88+W112+W118+W130+W136+W142</f>
        <v>33</v>
      </c>
      <c r="X148" s="418">
        <v>43</v>
      </c>
      <c r="Y148" s="411"/>
      <c r="Z148" s="411">
        <f>+Z16+Z34+Z46+Z64+Z76+Z82+Z88+Z118+Z130+Z136</f>
        <v>11</v>
      </c>
      <c r="AA148" s="420">
        <f>+AA16+AA34+AA46+AA64+AA70+AA76+AA82+AA88+AA94+AA106+AA118+AA130+AA136+AA142</f>
        <v>22</v>
      </c>
      <c r="AB148" s="419">
        <v>33</v>
      </c>
      <c r="AC148" s="401">
        <f>+AC16+AC22+AC28+AC34+AC46+AC58+AC64+AC70+AC76+AC82+AC88+AC94+AC106+AC118+AC130+AC136</f>
        <v>44</v>
      </c>
      <c r="AD148" s="409">
        <f t="shared" ref="AD148:AD153" si="11">+AD16+AD22+AD28+AD34+AD46+AD58+AD64+AD70+AD76+AD82+AD88+AD94+AD100+AD106+AD112+AD118+AD130+AD136+AD142</f>
        <v>55</v>
      </c>
      <c r="AE148" s="409">
        <f t="shared" ref="AE148:AE153" si="12">+AE16+AE22+AE28+AE34+AE40+AE46+AE58+AE64+AE70+AE76+AE82+AE88+AE94+AE100+AE106+AE112+AE118+AE130+AE136+AE142</f>
        <v>66</v>
      </c>
      <c r="AF148" s="426"/>
      <c r="AG148" s="919"/>
      <c r="AH148" s="914"/>
      <c r="AI148" s="914"/>
      <c r="AJ148" s="914"/>
      <c r="AK148" s="914"/>
      <c r="AL148" s="813"/>
      <c r="AM148" s="813" t="s">
        <v>1136</v>
      </c>
      <c r="AN148" s="910">
        <v>7804660</v>
      </c>
      <c r="AO148" s="910">
        <v>3721767</v>
      </c>
      <c r="AP148" s="910">
        <v>4082893</v>
      </c>
      <c r="AQ148" s="915" t="s">
        <v>459</v>
      </c>
      <c r="AR148" s="915" t="s">
        <v>459</v>
      </c>
      <c r="AS148" s="915" t="s">
        <v>459</v>
      </c>
      <c r="AT148" s="915" t="s">
        <v>459</v>
      </c>
      <c r="AU148" s="915" t="s">
        <v>459</v>
      </c>
      <c r="AV148" s="915" t="s">
        <v>459</v>
      </c>
      <c r="AW148" s="915" t="s">
        <v>459</v>
      </c>
      <c r="AX148" s="910">
        <v>7804660</v>
      </c>
      <c r="AY148" s="427"/>
    </row>
    <row r="149" spans="1:51" ht="15.75" customHeight="1" x14ac:dyDescent="0.25">
      <c r="A149" s="829"/>
      <c r="B149" s="710"/>
      <c r="C149" s="710"/>
      <c r="D149" s="404" t="s">
        <v>343</v>
      </c>
      <c r="E149" s="179"/>
      <c r="F149" s="180"/>
      <c r="G149" s="166">
        <f t="shared" si="1"/>
        <v>574654000</v>
      </c>
      <c r="H149" s="166">
        <f t="shared" si="2"/>
        <v>574654000</v>
      </c>
      <c r="I149" s="166" t="e">
        <f t="shared" si="3"/>
        <v>#REF!</v>
      </c>
      <c r="J149" s="432" t="e">
        <f t="shared" si="4"/>
        <v>#REF!</v>
      </c>
      <c r="K149" s="409"/>
      <c r="L149" s="410"/>
      <c r="M149" s="421" t="e">
        <f>+M17+M35+M47+M65+M77+M83+M89+M119+M131+M137+M143</f>
        <v>#VALUE!</v>
      </c>
      <c r="N149" s="416">
        <f>+N17+N35+N47+N65+N71+N77+N83+N89+N95+N107+N119+N131+N137+N143</f>
        <v>361860000</v>
      </c>
      <c r="O149" s="410">
        <f>+O148*$O$11/$O$10</f>
        <v>361860000</v>
      </c>
      <c r="P149" s="410" t="e">
        <f>+P148*$P$11/$P$10</f>
        <v>#VALUE!</v>
      </c>
      <c r="Q149" s="410" t="e">
        <f t="shared" si="5"/>
        <v>#VALUE!</v>
      </c>
      <c r="R149" s="410" t="e">
        <f t="shared" si="6"/>
        <v>#VALUE!</v>
      </c>
      <c r="S149" s="411"/>
      <c r="T149" s="166">
        <f t="shared" si="7"/>
        <v>0</v>
      </c>
      <c r="U149" s="166">
        <f t="shared" si="8"/>
        <v>308440000.00000006</v>
      </c>
      <c r="V149" s="166" t="e">
        <f t="shared" si="9"/>
        <v>#REF!</v>
      </c>
      <c r="W149" s="432" t="e">
        <f t="shared" si="10"/>
        <v>#REF!</v>
      </c>
      <c r="X149" s="411"/>
      <c r="Y149" s="411"/>
      <c r="Z149" s="424">
        <f>+Z17+Z35+Z47+Z65+Z77+Z83+Z89+Z119+Z131+Z137+Z143</f>
        <v>140580000</v>
      </c>
      <c r="AA149" s="420">
        <f>+AA17+AA35+AA47+AA65+AA71+AA77+AA83+AA89+AA95+AA107+AA119+AA131+AA137+AA143</f>
        <v>262456999.99999994</v>
      </c>
      <c r="AB149" s="409">
        <f>+AB17+AB35+AB47+AB51+AB59+AB65+AB71+AB77+AB83+AB89+AB95+AB107+AB119+AB131+AB137</f>
        <v>278363484.84848487</v>
      </c>
      <c r="AC149" s="409" t="e">
        <f>+AC148*$AC$11/$AC$10</f>
        <v>#VALUE!</v>
      </c>
      <c r="AD149" s="409" t="e">
        <f t="shared" si="11"/>
        <v>#VALUE!</v>
      </c>
      <c r="AE149" s="409" t="e">
        <f t="shared" si="12"/>
        <v>#VALUE!</v>
      </c>
      <c r="AF149" s="426"/>
      <c r="AG149" s="829"/>
      <c r="AH149" s="710"/>
      <c r="AI149" s="710"/>
      <c r="AJ149" s="710"/>
      <c r="AK149" s="710"/>
      <c r="AL149" s="710"/>
      <c r="AM149" s="710"/>
      <c r="AN149" s="710"/>
      <c r="AO149" s="710"/>
      <c r="AP149" s="710"/>
      <c r="AQ149" s="710"/>
      <c r="AR149" s="710"/>
      <c r="AS149" s="710"/>
      <c r="AT149" s="710"/>
      <c r="AU149" s="710"/>
      <c r="AV149" s="710"/>
      <c r="AW149" s="710"/>
      <c r="AX149" s="710"/>
      <c r="AY149" s="427"/>
    </row>
    <row r="150" spans="1:51" ht="15.75" customHeight="1" x14ac:dyDescent="0.25">
      <c r="A150" s="829"/>
      <c r="B150" s="710"/>
      <c r="C150" s="710"/>
      <c r="D150" s="408" t="s">
        <v>345</v>
      </c>
      <c r="E150" s="179"/>
      <c r="F150" s="180"/>
      <c r="G150" s="166">
        <f t="shared" si="1"/>
        <v>0</v>
      </c>
      <c r="H150" s="166">
        <f t="shared" si="2"/>
        <v>0</v>
      </c>
      <c r="I150" s="166">
        <f t="shared" si="3"/>
        <v>0</v>
      </c>
      <c r="J150" s="432">
        <f t="shared" si="4"/>
        <v>0</v>
      </c>
      <c r="K150" s="409"/>
      <c r="L150" s="410"/>
      <c r="M150" s="410"/>
      <c r="N150" s="410"/>
      <c r="O150" s="410"/>
      <c r="P150" s="410"/>
      <c r="Q150" s="410">
        <f t="shared" si="5"/>
        <v>0</v>
      </c>
      <c r="R150" s="410">
        <f t="shared" si="6"/>
        <v>0</v>
      </c>
      <c r="S150" s="411"/>
      <c r="T150" s="167">
        <f t="shared" si="7"/>
        <v>0</v>
      </c>
      <c r="U150" s="166">
        <f t="shared" si="8"/>
        <v>0</v>
      </c>
      <c r="V150" s="166">
        <f t="shared" si="9"/>
        <v>0</v>
      </c>
      <c r="W150" s="432">
        <f t="shared" si="10"/>
        <v>0</v>
      </c>
      <c r="X150" s="411"/>
      <c r="Y150" s="411"/>
      <c r="Z150" s="411"/>
      <c r="AA150" s="433"/>
      <c r="AB150" s="419"/>
      <c r="AC150" s="401"/>
      <c r="AD150" s="409">
        <f t="shared" si="11"/>
        <v>0</v>
      </c>
      <c r="AE150" s="409">
        <f t="shared" si="12"/>
        <v>0</v>
      </c>
      <c r="AF150" s="426"/>
      <c r="AG150" s="829"/>
      <c r="AH150" s="710"/>
      <c r="AI150" s="710"/>
      <c r="AJ150" s="710"/>
      <c r="AK150" s="710"/>
      <c r="AL150" s="710"/>
      <c r="AM150" s="710"/>
      <c r="AN150" s="710"/>
      <c r="AO150" s="710"/>
      <c r="AP150" s="710"/>
      <c r="AQ150" s="710"/>
      <c r="AR150" s="710"/>
      <c r="AS150" s="710"/>
      <c r="AT150" s="710"/>
      <c r="AU150" s="710"/>
      <c r="AV150" s="710"/>
      <c r="AW150" s="710"/>
      <c r="AX150" s="710"/>
      <c r="AY150" s="427"/>
    </row>
    <row r="151" spans="1:51" ht="15.75" customHeight="1" x14ac:dyDescent="0.25">
      <c r="A151" s="829"/>
      <c r="B151" s="710"/>
      <c r="C151" s="710"/>
      <c r="D151" s="404" t="s">
        <v>346</v>
      </c>
      <c r="E151" s="179"/>
      <c r="F151" s="180"/>
      <c r="G151" s="166">
        <f t="shared" si="1"/>
        <v>0</v>
      </c>
      <c r="H151" s="166">
        <f t="shared" si="2"/>
        <v>0</v>
      </c>
      <c r="I151" s="166">
        <f t="shared" si="3"/>
        <v>0</v>
      </c>
      <c r="J151" s="432">
        <f t="shared" si="4"/>
        <v>0</v>
      </c>
      <c r="K151" s="409"/>
      <c r="L151" s="410"/>
      <c r="M151" s="410"/>
      <c r="N151" s="410"/>
      <c r="O151" s="410"/>
      <c r="P151" s="410"/>
      <c r="Q151" s="410">
        <f t="shared" si="5"/>
        <v>0</v>
      </c>
      <c r="R151" s="410">
        <f t="shared" si="6"/>
        <v>0</v>
      </c>
      <c r="S151" s="411"/>
      <c r="T151" s="434">
        <f t="shared" si="7"/>
        <v>6777000</v>
      </c>
      <c r="U151" s="166">
        <f t="shared" si="8"/>
        <v>72661243</v>
      </c>
      <c r="V151" s="166">
        <f t="shared" si="9"/>
        <v>0</v>
      </c>
      <c r="W151" s="432">
        <f t="shared" si="10"/>
        <v>0</v>
      </c>
      <c r="X151" s="411"/>
      <c r="Y151" s="411"/>
      <c r="Z151" s="411"/>
      <c r="AA151" s="433"/>
      <c r="AB151" s="419"/>
      <c r="AC151" s="401"/>
      <c r="AD151" s="409">
        <f t="shared" si="11"/>
        <v>0</v>
      </c>
      <c r="AE151" s="409">
        <f t="shared" si="12"/>
        <v>0</v>
      </c>
      <c r="AF151" s="426"/>
      <c r="AG151" s="829"/>
      <c r="AH151" s="710"/>
      <c r="AI151" s="710"/>
      <c r="AJ151" s="710"/>
      <c r="AK151" s="710"/>
      <c r="AL151" s="710"/>
      <c r="AM151" s="710"/>
      <c r="AN151" s="710"/>
      <c r="AO151" s="710"/>
      <c r="AP151" s="710"/>
      <c r="AQ151" s="710"/>
      <c r="AR151" s="710"/>
      <c r="AS151" s="710"/>
      <c r="AT151" s="710"/>
      <c r="AU151" s="710"/>
      <c r="AV151" s="710"/>
      <c r="AW151" s="710"/>
      <c r="AX151" s="710"/>
      <c r="AY151" s="427"/>
    </row>
    <row r="152" spans="1:51" ht="15.75" customHeight="1" x14ac:dyDescent="0.25">
      <c r="A152" s="829"/>
      <c r="B152" s="710"/>
      <c r="C152" s="710"/>
      <c r="D152" s="408" t="s">
        <v>347</v>
      </c>
      <c r="E152" s="179"/>
      <c r="F152" s="180"/>
      <c r="G152" s="166">
        <f t="shared" si="1"/>
        <v>109</v>
      </c>
      <c r="H152" s="166">
        <f t="shared" si="2"/>
        <v>109</v>
      </c>
      <c r="I152" s="166">
        <f t="shared" si="3"/>
        <v>108</v>
      </c>
      <c r="J152" s="432">
        <f t="shared" si="4"/>
        <v>107</v>
      </c>
      <c r="K152" s="409"/>
      <c r="L152" s="410"/>
      <c r="M152" s="410"/>
      <c r="N152" s="410"/>
      <c r="O152" s="410">
        <f>+O148</f>
        <v>66</v>
      </c>
      <c r="P152" s="410">
        <v>66</v>
      </c>
      <c r="Q152" s="410">
        <f t="shared" si="5"/>
        <v>66</v>
      </c>
      <c r="R152" s="410">
        <f t="shared" si="6"/>
        <v>66</v>
      </c>
      <c r="S152" s="411"/>
      <c r="T152" s="167">
        <f t="shared" si="7"/>
        <v>5</v>
      </c>
      <c r="U152" s="166">
        <f t="shared" si="8"/>
        <v>13</v>
      </c>
      <c r="V152" s="166">
        <f t="shared" si="9"/>
        <v>22</v>
      </c>
      <c r="W152" s="432">
        <f t="shared" si="10"/>
        <v>33</v>
      </c>
      <c r="X152" s="411"/>
      <c r="Y152" s="411"/>
      <c r="Z152" s="411"/>
      <c r="AA152" s="433"/>
      <c r="AB152" s="409">
        <f>+AB148</f>
        <v>33</v>
      </c>
      <c r="AC152" s="401">
        <v>44</v>
      </c>
      <c r="AD152" s="409">
        <f t="shared" si="11"/>
        <v>55</v>
      </c>
      <c r="AE152" s="409">
        <f t="shared" si="12"/>
        <v>65</v>
      </c>
      <c r="AF152" s="426"/>
      <c r="AG152" s="829"/>
      <c r="AH152" s="710"/>
      <c r="AI152" s="710"/>
      <c r="AJ152" s="710"/>
      <c r="AK152" s="710"/>
      <c r="AL152" s="710"/>
      <c r="AM152" s="710"/>
      <c r="AN152" s="710"/>
      <c r="AO152" s="710"/>
      <c r="AP152" s="710"/>
      <c r="AQ152" s="710"/>
      <c r="AR152" s="710"/>
      <c r="AS152" s="710"/>
      <c r="AT152" s="710"/>
      <c r="AU152" s="710"/>
      <c r="AV152" s="710"/>
      <c r="AW152" s="710"/>
      <c r="AX152" s="710"/>
      <c r="AY152" s="427"/>
    </row>
    <row r="153" spans="1:51" ht="15.75" customHeight="1" x14ac:dyDescent="0.25">
      <c r="A153" s="823"/>
      <c r="B153" s="828"/>
      <c r="C153" s="731"/>
      <c r="D153" s="412" t="s">
        <v>348</v>
      </c>
      <c r="E153" s="179"/>
      <c r="F153" s="180"/>
      <c r="G153" s="166">
        <f t="shared" si="1"/>
        <v>574654000</v>
      </c>
      <c r="H153" s="166">
        <f t="shared" si="2"/>
        <v>574654000</v>
      </c>
      <c r="I153" s="166" t="e">
        <f t="shared" si="3"/>
        <v>#REF!</v>
      </c>
      <c r="J153" s="432" t="e">
        <f t="shared" si="4"/>
        <v>#REF!</v>
      </c>
      <c r="K153" s="409"/>
      <c r="L153" s="410"/>
      <c r="M153" s="410"/>
      <c r="N153" s="410"/>
      <c r="O153" s="410">
        <f>+O149</f>
        <v>361860000</v>
      </c>
      <c r="P153" s="410" t="e">
        <f>+P152*$P$11/$P$10</f>
        <v>#VALUE!</v>
      </c>
      <c r="Q153" s="410" t="e">
        <f t="shared" si="5"/>
        <v>#VALUE!</v>
      </c>
      <c r="R153" s="410" t="e">
        <f t="shared" si="6"/>
        <v>#VALUE!</v>
      </c>
      <c r="S153" s="411"/>
      <c r="T153" s="166">
        <f t="shared" si="7"/>
        <v>0</v>
      </c>
      <c r="U153" s="166">
        <f t="shared" si="8"/>
        <v>308440000.00000006</v>
      </c>
      <c r="V153" s="166" t="e">
        <f t="shared" si="9"/>
        <v>#REF!</v>
      </c>
      <c r="W153" s="432" t="e">
        <f t="shared" si="10"/>
        <v>#REF!</v>
      </c>
      <c r="X153" s="411"/>
      <c r="Y153" s="411"/>
      <c r="Z153" s="411"/>
      <c r="AA153" s="433"/>
      <c r="AB153" s="409">
        <f>+AB149</f>
        <v>278363484.84848487</v>
      </c>
      <c r="AC153" s="409" t="e">
        <f>+AC152*$AC$11/$AC$10</f>
        <v>#VALUE!</v>
      </c>
      <c r="AD153" s="409" t="e">
        <f t="shared" si="11"/>
        <v>#VALUE!</v>
      </c>
      <c r="AE153" s="409" t="e">
        <f t="shared" si="12"/>
        <v>#VALUE!</v>
      </c>
      <c r="AF153" s="435"/>
      <c r="AG153" s="823"/>
      <c r="AH153" s="731"/>
      <c r="AI153" s="731"/>
      <c r="AJ153" s="731"/>
      <c r="AK153" s="731"/>
      <c r="AL153" s="731"/>
      <c r="AM153" s="731"/>
      <c r="AN153" s="731"/>
      <c r="AO153" s="731"/>
      <c r="AP153" s="731"/>
      <c r="AQ153" s="731"/>
      <c r="AR153" s="731"/>
      <c r="AS153" s="731"/>
      <c r="AT153" s="731"/>
      <c r="AU153" s="731"/>
      <c r="AV153" s="731"/>
      <c r="AW153" s="731"/>
      <c r="AX153" s="731"/>
      <c r="AY153" s="427"/>
    </row>
    <row r="154" spans="1:51" ht="18" customHeight="1" x14ac:dyDescent="0.25">
      <c r="A154" s="820">
        <v>2</v>
      </c>
      <c r="B154" s="959" t="s">
        <v>349</v>
      </c>
      <c r="C154" s="818" t="s">
        <v>513</v>
      </c>
      <c r="D154" s="413" t="s">
        <v>340</v>
      </c>
      <c r="E154" s="436" t="s">
        <v>673</v>
      </c>
      <c r="F154" s="436" t="s">
        <v>673</v>
      </c>
      <c r="G154" s="437">
        <v>77</v>
      </c>
      <c r="H154" s="437">
        <v>77</v>
      </c>
      <c r="I154" s="437" t="e">
        <f>+#REF!</f>
        <v>#REF!</v>
      </c>
      <c r="J154" s="438" t="e">
        <f>+#REF!</f>
        <v>#REF!</v>
      </c>
      <c r="K154" s="439">
        <v>77</v>
      </c>
      <c r="L154" s="438"/>
      <c r="M154" s="438" t="str">
        <f t="shared" ref="M154:M159" si="13">+F154</f>
        <v>#REF!</v>
      </c>
      <c r="N154" s="440">
        <v>20</v>
      </c>
      <c r="O154" s="438">
        <v>20</v>
      </c>
      <c r="P154" s="438" t="s">
        <v>673</v>
      </c>
      <c r="Q154" s="438" t="s">
        <v>673</v>
      </c>
      <c r="R154" s="441" t="s">
        <v>673</v>
      </c>
      <c r="S154" s="926" t="s">
        <v>1212</v>
      </c>
      <c r="T154" s="173">
        <v>5</v>
      </c>
      <c r="U154" s="173">
        <v>11</v>
      </c>
      <c r="V154" s="173" t="e">
        <f>+#REF!</f>
        <v>#REF!</v>
      </c>
      <c r="W154" s="442" t="e">
        <f>+#REF!</f>
        <v>#REF!</v>
      </c>
      <c r="X154" s="443">
        <v>32</v>
      </c>
      <c r="Y154" s="444"/>
      <c r="Z154" s="444">
        <v>0</v>
      </c>
      <c r="AA154" s="445">
        <v>2</v>
      </c>
      <c r="AB154" s="446">
        <v>2</v>
      </c>
      <c r="AC154" s="447" t="s">
        <v>673</v>
      </c>
      <c r="AD154" s="445" t="s">
        <v>673</v>
      </c>
      <c r="AE154" s="448" t="s">
        <v>673</v>
      </c>
      <c r="AF154" s="921" t="s">
        <v>1213</v>
      </c>
      <c r="AG154" s="922" t="s">
        <v>1214</v>
      </c>
      <c r="AH154" s="813" t="s">
        <v>1215</v>
      </c>
      <c r="AI154" s="813" t="s">
        <v>1216</v>
      </c>
      <c r="AJ154" s="914" t="s">
        <v>1217</v>
      </c>
      <c r="AK154" s="813" t="s">
        <v>457</v>
      </c>
      <c r="AL154" s="813" t="s">
        <v>178</v>
      </c>
      <c r="AM154" s="813" t="s">
        <v>1136</v>
      </c>
      <c r="AN154" s="910">
        <v>7804660</v>
      </c>
      <c r="AO154" s="910">
        <v>3721767</v>
      </c>
      <c r="AP154" s="910">
        <v>4082893</v>
      </c>
      <c r="AQ154" s="915" t="s">
        <v>459</v>
      </c>
      <c r="AR154" s="915" t="s">
        <v>459</v>
      </c>
      <c r="AS154" s="915" t="s">
        <v>459</v>
      </c>
      <c r="AT154" s="915" t="s">
        <v>459</v>
      </c>
      <c r="AU154" s="915" t="s">
        <v>459</v>
      </c>
      <c r="AV154" s="915" t="s">
        <v>459</v>
      </c>
      <c r="AW154" s="915" t="s">
        <v>459</v>
      </c>
      <c r="AX154" s="910">
        <v>7804660</v>
      </c>
      <c r="AY154" s="427"/>
    </row>
    <row r="155" spans="1:51" ht="15.75" customHeight="1" x14ac:dyDescent="0.25">
      <c r="A155" s="829"/>
      <c r="B155" s="710"/>
      <c r="C155" s="710"/>
      <c r="D155" s="404" t="s">
        <v>343</v>
      </c>
      <c r="E155" s="436" t="s">
        <v>673</v>
      </c>
      <c r="F155" s="436" t="s">
        <v>673</v>
      </c>
      <c r="G155" s="437">
        <v>198130000</v>
      </c>
      <c r="H155" s="437">
        <v>198130000</v>
      </c>
      <c r="I155" s="437" t="e">
        <f>+#REF!</f>
        <v>#REF!</v>
      </c>
      <c r="J155" s="438" t="e">
        <f>+#REF!</f>
        <v>#REF!</v>
      </c>
      <c r="K155" s="449"/>
      <c r="L155" s="450"/>
      <c r="M155" s="438" t="str">
        <f t="shared" si="13"/>
        <v>#REF!</v>
      </c>
      <c r="N155" s="440">
        <v>142884000</v>
      </c>
      <c r="O155" s="438">
        <v>142884000</v>
      </c>
      <c r="P155" s="438" t="s">
        <v>673</v>
      </c>
      <c r="Q155" s="438" t="s">
        <v>673</v>
      </c>
      <c r="R155" s="441" t="s">
        <v>673</v>
      </c>
      <c r="S155" s="710"/>
      <c r="T155" s="173">
        <v>0</v>
      </c>
      <c r="U155" s="173">
        <v>129690000</v>
      </c>
      <c r="V155" s="173" t="e">
        <f>+#REF!</f>
        <v>#REF!</v>
      </c>
      <c r="W155" s="442" t="e">
        <f>+#REF!</f>
        <v>#REF!</v>
      </c>
      <c r="X155" s="163"/>
      <c r="Y155" s="163"/>
      <c r="Z155" s="444">
        <v>0</v>
      </c>
      <c r="AA155" s="445">
        <v>71774000</v>
      </c>
      <c r="AB155" s="446">
        <v>71774000</v>
      </c>
      <c r="AC155" s="447" t="s">
        <v>673</v>
      </c>
      <c r="AD155" s="445" t="s">
        <v>673</v>
      </c>
      <c r="AE155" s="448" t="s">
        <v>673</v>
      </c>
      <c r="AF155" s="713"/>
      <c r="AG155" s="829"/>
      <c r="AH155" s="710"/>
      <c r="AI155" s="710"/>
      <c r="AJ155" s="710"/>
      <c r="AK155" s="710"/>
      <c r="AL155" s="710"/>
      <c r="AM155" s="710"/>
      <c r="AN155" s="710"/>
      <c r="AO155" s="710"/>
      <c r="AP155" s="710"/>
      <c r="AQ155" s="710"/>
      <c r="AR155" s="710"/>
      <c r="AS155" s="710"/>
      <c r="AT155" s="710"/>
      <c r="AU155" s="710"/>
      <c r="AV155" s="710"/>
      <c r="AW155" s="710"/>
      <c r="AX155" s="710"/>
      <c r="AY155" s="427"/>
    </row>
    <row r="156" spans="1:51" ht="15.75" customHeight="1" x14ac:dyDescent="0.25">
      <c r="A156" s="829"/>
      <c r="B156" s="710"/>
      <c r="C156" s="710"/>
      <c r="D156" s="408" t="s">
        <v>345</v>
      </c>
      <c r="E156" s="436" t="s">
        <v>673</v>
      </c>
      <c r="F156" s="436" t="s">
        <v>673</v>
      </c>
      <c r="G156" s="437">
        <v>0</v>
      </c>
      <c r="H156" s="437">
        <v>0</v>
      </c>
      <c r="I156" s="437" t="e">
        <f>+#REF!</f>
        <v>#REF!</v>
      </c>
      <c r="J156" s="438" t="e">
        <f>+#REF!</f>
        <v>#REF!</v>
      </c>
      <c r="K156" s="409"/>
      <c r="L156" s="410"/>
      <c r="M156" s="438" t="str">
        <f t="shared" si="13"/>
        <v>#REF!</v>
      </c>
      <c r="N156" s="440">
        <v>0</v>
      </c>
      <c r="O156" s="438">
        <v>0</v>
      </c>
      <c r="P156" s="438" t="s">
        <v>673</v>
      </c>
      <c r="Q156" s="438" t="s">
        <v>673</v>
      </c>
      <c r="R156" s="441" t="s">
        <v>673</v>
      </c>
      <c r="S156" s="710"/>
      <c r="T156" s="173">
        <v>0</v>
      </c>
      <c r="U156" s="173">
        <v>0</v>
      </c>
      <c r="V156" s="173" t="e">
        <f>+#REF!</f>
        <v>#REF!</v>
      </c>
      <c r="W156" s="442" t="e">
        <f>+#REF!</f>
        <v>#REF!</v>
      </c>
      <c r="X156" s="420"/>
      <c r="Y156" s="420"/>
      <c r="Z156" s="444">
        <v>0</v>
      </c>
      <c r="AA156" s="445">
        <v>0</v>
      </c>
      <c r="AB156" s="446">
        <v>0</v>
      </c>
      <c r="AC156" s="447" t="s">
        <v>673</v>
      </c>
      <c r="AD156" s="445" t="s">
        <v>673</v>
      </c>
      <c r="AE156" s="448" t="s">
        <v>673</v>
      </c>
      <c r="AF156" s="713"/>
      <c r="AG156" s="829"/>
      <c r="AH156" s="710"/>
      <c r="AI156" s="710"/>
      <c r="AJ156" s="710"/>
      <c r="AK156" s="710"/>
      <c r="AL156" s="710"/>
      <c r="AM156" s="710"/>
      <c r="AN156" s="710"/>
      <c r="AO156" s="710"/>
      <c r="AP156" s="710"/>
      <c r="AQ156" s="710"/>
      <c r="AR156" s="710"/>
      <c r="AS156" s="710"/>
      <c r="AT156" s="710"/>
      <c r="AU156" s="710"/>
      <c r="AV156" s="710"/>
      <c r="AW156" s="710"/>
      <c r="AX156" s="710"/>
      <c r="AY156" s="427"/>
    </row>
    <row r="157" spans="1:51" ht="15.75" customHeight="1" x14ac:dyDescent="0.25">
      <c r="A157" s="829"/>
      <c r="B157" s="710"/>
      <c r="C157" s="710"/>
      <c r="D157" s="404" t="s">
        <v>346</v>
      </c>
      <c r="E157" s="436" t="s">
        <v>673</v>
      </c>
      <c r="F157" s="436" t="s">
        <v>673</v>
      </c>
      <c r="G157" s="437">
        <v>41858171</v>
      </c>
      <c r="H157" s="437">
        <v>41858171</v>
      </c>
      <c r="I157" s="437" t="e">
        <f>+#REF!</f>
        <v>#REF!</v>
      </c>
      <c r="J157" s="438" t="e">
        <f>+#REF!</f>
        <v>#REF!</v>
      </c>
      <c r="K157" s="409"/>
      <c r="L157" s="410"/>
      <c r="M157" s="438" t="str">
        <f t="shared" si="13"/>
        <v>#REF!</v>
      </c>
      <c r="N157" s="440">
        <v>0</v>
      </c>
      <c r="O157" s="438">
        <v>0</v>
      </c>
      <c r="P157" s="438" t="s">
        <v>673</v>
      </c>
      <c r="Q157" s="438" t="s">
        <v>673</v>
      </c>
      <c r="R157" s="441" t="s">
        <v>673</v>
      </c>
      <c r="S157" s="710"/>
      <c r="T157" s="173">
        <v>0</v>
      </c>
      <c r="U157" s="173">
        <v>19427343</v>
      </c>
      <c r="V157" s="173" t="e">
        <f>+#REF!</f>
        <v>#REF!</v>
      </c>
      <c r="W157" s="442" t="e">
        <f>+#REF!</f>
        <v>#REF!</v>
      </c>
      <c r="X157" s="420"/>
      <c r="Y157" s="420"/>
      <c r="Z157" s="444">
        <v>0</v>
      </c>
      <c r="AA157" s="445">
        <v>0</v>
      </c>
      <c r="AB157" s="446">
        <v>0</v>
      </c>
      <c r="AC157" s="447" t="s">
        <v>673</v>
      </c>
      <c r="AD157" s="445" t="s">
        <v>673</v>
      </c>
      <c r="AE157" s="448" t="s">
        <v>673</v>
      </c>
      <c r="AF157" s="713"/>
      <c r="AG157" s="829"/>
      <c r="AH157" s="710"/>
      <c r="AI157" s="710"/>
      <c r="AJ157" s="710"/>
      <c r="AK157" s="710"/>
      <c r="AL157" s="710"/>
      <c r="AM157" s="710"/>
      <c r="AN157" s="710"/>
      <c r="AO157" s="710"/>
      <c r="AP157" s="710"/>
      <c r="AQ157" s="710"/>
      <c r="AR157" s="710"/>
      <c r="AS157" s="710"/>
      <c r="AT157" s="710"/>
      <c r="AU157" s="710"/>
      <c r="AV157" s="710"/>
      <c r="AW157" s="710"/>
      <c r="AX157" s="710"/>
      <c r="AY157" s="427"/>
    </row>
    <row r="158" spans="1:51" ht="15.75" customHeight="1" x14ac:dyDescent="0.25">
      <c r="A158" s="829"/>
      <c r="B158" s="710"/>
      <c r="C158" s="710"/>
      <c r="D158" s="408" t="s">
        <v>347</v>
      </c>
      <c r="E158" s="436" t="s">
        <v>673</v>
      </c>
      <c r="F158" s="436" t="s">
        <v>673</v>
      </c>
      <c r="G158" s="437">
        <v>77</v>
      </c>
      <c r="H158" s="437">
        <v>77</v>
      </c>
      <c r="I158" s="437" t="e">
        <f>+#REF!</f>
        <v>#REF!</v>
      </c>
      <c r="J158" s="438" t="e">
        <f>+#REF!</f>
        <v>#REF!</v>
      </c>
      <c r="K158" s="409"/>
      <c r="L158" s="410"/>
      <c r="M158" s="438" t="str">
        <f t="shared" si="13"/>
        <v>#REF!</v>
      </c>
      <c r="N158" s="440">
        <v>20</v>
      </c>
      <c r="O158" s="438">
        <v>20</v>
      </c>
      <c r="P158" s="438" t="s">
        <v>673</v>
      </c>
      <c r="Q158" s="438" t="s">
        <v>673</v>
      </c>
      <c r="R158" s="441" t="s">
        <v>673</v>
      </c>
      <c r="S158" s="710"/>
      <c r="T158" s="173">
        <v>5</v>
      </c>
      <c r="U158" s="173">
        <v>11</v>
      </c>
      <c r="V158" s="173" t="e">
        <f>+#REF!</f>
        <v>#REF!</v>
      </c>
      <c r="W158" s="442" t="e">
        <f>+#REF!</f>
        <v>#REF!</v>
      </c>
      <c r="X158" s="420"/>
      <c r="Y158" s="420"/>
      <c r="Z158" s="444">
        <v>0</v>
      </c>
      <c r="AA158" s="445">
        <v>2</v>
      </c>
      <c r="AB158" s="446">
        <v>2</v>
      </c>
      <c r="AC158" s="447" t="s">
        <v>673</v>
      </c>
      <c r="AD158" s="445" t="s">
        <v>673</v>
      </c>
      <c r="AE158" s="448" t="s">
        <v>673</v>
      </c>
      <c r="AF158" s="713"/>
      <c r="AG158" s="829"/>
      <c r="AH158" s="710"/>
      <c r="AI158" s="710"/>
      <c r="AJ158" s="710"/>
      <c r="AK158" s="710"/>
      <c r="AL158" s="710"/>
      <c r="AM158" s="710"/>
      <c r="AN158" s="710"/>
      <c r="AO158" s="710"/>
      <c r="AP158" s="710"/>
      <c r="AQ158" s="710"/>
      <c r="AR158" s="710"/>
      <c r="AS158" s="710"/>
      <c r="AT158" s="710"/>
      <c r="AU158" s="710"/>
      <c r="AV158" s="710"/>
      <c r="AW158" s="710"/>
      <c r="AX158" s="710"/>
      <c r="AY158" s="427"/>
    </row>
    <row r="159" spans="1:51" ht="15.75" customHeight="1" x14ac:dyDescent="0.25">
      <c r="A159" s="829"/>
      <c r="B159" s="710"/>
      <c r="C159" s="731"/>
      <c r="D159" s="412" t="s">
        <v>348</v>
      </c>
      <c r="E159" s="436" t="s">
        <v>673</v>
      </c>
      <c r="F159" s="436" t="s">
        <v>673</v>
      </c>
      <c r="G159" s="437">
        <v>239988171</v>
      </c>
      <c r="H159" s="437">
        <v>239988171</v>
      </c>
      <c r="I159" s="437" t="e">
        <f>+#REF!</f>
        <v>#REF!</v>
      </c>
      <c r="J159" s="438" t="e">
        <f>+#REF!</f>
        <v>#REF!</v>
      </c>
      <c r="K159" s="451"/>
      <c r="L159" s="452"/>
      <c r="M159" s="438" t="str">
        <f t="shared" si="13"/>
        <v>#REF!</v>
      </c>
      <c r="N159" s="440">
        <v>142884000</v>
      </c>
      <c r="O159" s="438">
        <v>142884000</v>
      </c>
      <c r="P159" s="438" t="s">
        <v>673</v>
      </c>
      <c r="Q159" s="438" t="s">
        <v>673</v>
      </c>
      <c r="R159" s="441" t="s">
        <v>673</v>
      </c>
      <c r="S159" s="710"/>
      <c r="T159" s="173">
        <v>0</v>
      </c>
      <c r="U159" s="173">
        <v>149117343</v>
      </c>
      <c r="V159" s="173" t="e">
        <f>+#REF!</f>
        <v>#REF!</v>
      </c>
      <c r="W159" s="442" t="e">
        <f>+#REF!</f>
        <v>#REF!</v>
      </c>
      <c r="X159" s="444"/>
      <c r="Y159" s="444"/>
      <c r="Z159" s="444">
        <v>0</v>
      </c>
      <c r="AA159" s="445">
        <v>71774000</v>
      </c>
      <c r="AB159" s="446">
        <v>71774000</v>
      </c>
      <c r="AC159" s="447" t="s">
        <v>673</v>
      </c>
      <c r="AD159" s="445" t="s">
        <v>673</v>
      </c>
      <c r="AE159" s="448" t="s">
        <v>673</v>
      </c>
      <c r="AF159" s="714"/>
      <c r="AG159" s="823"/>
      <c r="AH159" s="731"/>
      <c r="AI159" s="731"/>
      <c r="AJ159" s="731"/>
      <c r="AK159" s="731"/>
      <c r="AL159" s="731"/>
      <c r="AM159" s="731"/>
      <c r="AN159" s="731"/>
      <c r="AO159" s="731"/>
      <c r="AP159" s="731"/>
      <c r="AQ159" s="731"/>
      <c r="AR159" s="731"/>
      <c r="AS159" s="731"/>
      <c r="AT159" s="731"/>
      <c r="AU159" s="731"/>
      <c r="AV159" s="731"/>
      <c r="AW159" s="731"/>
      <c r="AX159" s="731"/>
      <c r="AY159" s="427"/>
    </row>
    <row r="160" spans="1:51" ht="18" customHeight="1" x14ac:dyDescent="0.25">
      <c r="A160" s="829"/>
      <c r="B160" s="710"/>
      <c r="C160" s="818" t="s">
        <v>638</v>
      </c>
      <c r="D160" s="413" t="s">
        <v>340</v>
      </c>
      <c r="E160" s="179"/>
      <c r="F160" s="180"/>
      <c r="G160" s="174"/>
      <c r="H160" s="174"/>
      <c r="I160" s="174">
        <v>3</v>
      </c>
      <c r="J160" s="410">
        <v>3</v>
      </c>
      <c r="K160" s="414">
        <v>3</v>
      </c>
      <c r="L160" s="410"/>
      <c r="M160" s="410"/>
      <c r="N160" s="410"/>
      <c r="O160" s="410"/>
      <c r="P160" s="410"/>
      <c r="Q160" s="410"/>
      <c r="R160" s="441">
        <v>2500</v>
      </c>
      <c r="S160" s="710"/>
      <c r="T160" s="167"/>
      <c r="U160" s="167"/>
      <c r="V160" s="167">
        <v>3</v>
      </c>
      <c r="W160" s="415">
        <v>3</v>
      </c>
      <c r="X160" s="418">
        <v>3</v>
      </c>
      <c r="Y160" s="411"/>
      <c r="Z160" s="411"/>
      <c r="AA160" s="433"/>
      <c r="AB160" s="419"/>
      <c r="AC160" s="401"/>
      <c r="AD160" s="431"/>
      <c r="AE160" s="448" t="s">
        <v>673</v>
      </c>
      <c r="AF160" s="925" t="s">
        <v>1218</v>
      </c>
      <c r="AG160" s="913" t="s">
        <v>638</v>
      </c>
      <c r="AH160" s="813" t="s">
        <v>1219</v>
      </c>
      <c r="AI160" s="813" t="s">
        <v>1220</v>
      </c>
      <c r="AJ160" s="914" t="s">
        <v>1217</v>
      </c>
      <c r="AK160" s="813" t="s">
        <v>457</v>
      </c>
      <c r="AL160" s="813" t="s">
        <v>178</v>
      </c>
      <c r="AM160" s="813" t="s">
        <v>1136</v>
      </c>
      <c r="AN160" s="909">
        <v>475275</v>
      </c>
      <c r="AO160" s="910">
        <v>255912</v>
      </c>
      <c r="AP160" s="910">
        <v>300846</v>
      </c>
      <c r="AQ160" s="911" t="s">
        <v>459</v>
      </c>
      <c r="AR160" s="911" t="s">
        <v>459</v>
      </c>
      <c r="AS160" s="911" t="s">
        <v>459</v>
      </c>
      <c r="AT160" s="911" t="s">
        <v>459</v>
      </c>
      <c r="AU160" s="915" t="s">
        <v>459</v>
      </c>
      <c r="AV160" s="915" t="s">
        <v>459</v>
      </c>
      <c r="AW160" s="915" t="s">
        <v>459</v>
      </c>
      <c r="AX160" s="910">
        <v>475275</v>
      </c>
      <c r="AY160" s="427"/>
    </row>
    <row r="161" spans="1:51" ht="18.75" customHeight="1" x14ac:dyDescent="0.25">
      <c r="A161" s="829"/>
      <c r="B161" s="710"/>
      <c r="C161" s="710"/>
      <c r="D161" s="404" t="s">
        <v>343</v>
      </c>
      <c r="E161" s="179"/>
      <c r="F161" s="180"/>
      <c r="G161" s="174"/>
      <c r="H161" s="174"/>
      <c r="I161" s="174" t="e">
        <f>+I160*$I$155/$I$154</f>
        <v>#REF!</v>
      </c>
      <c r="J161" s="410" t="e">
        <f>+J160*$J$155/$J$154</f>
        <v>#REF!</v>
      </c>
      <c r="K161" s="409"/>
      <c r="L161" s="410"/>
      <c r="M161" s="410"/>
      <c r="N161" s="410"/>
      <c r="O161" s="410"/>
      <c r="P161" s="410"/>
      <c r="Q161" s="410"/>
      <c r="R161" s="441">
        <v>13280000</v>
      </c>
      <c r="S161" s="710"/>
      <c r="T161" s="167"/>
      <c r="U161" s="167"/>
      <c r="V161" s="174" t="e">
        <f>+V160*$V$155/$V$154</f>
        <v>#REF!</v>
      </c>
      <c r="W161" s="410" t="e">
        <f>+W160*$W$155/$W$154</f>
        <v>#REF!</v>
      </c>
      <c r="X161" s="411"/>
      <c r="Y161" s="411"/>
      <c r="Z161" s="411"/>
      <c r="AA161" s="433"/>
      <c r="AB161" s="419"/>
      <c r="AC161" s="401"/>
      <c r="AD161" s="431"/>
      <c r="AE161" s="448" t="s">
        <v>673</v>
      </c>
      <c r="AF161" s="713"/>
      <c r="AG161" s="829"/>
      <c r="AH161" s="710"/>
      <c r="AI161" s="710"/>
      <c r="AJ161" s="710"/>
      <c r="AK161" s="710"/>
      <c r="AL161" s="710"/>
      <c r="AM161" s="710"/>
      <c r="AN161" s="710"/>
      <c r="AO161" s="710"/>
      <c r="AP161" s="710"/>
      <c r="AQ161" s="710"/>
      <c r="AR161" s="710"/>
      <c r="AS161" s="710"/>
      <c r="AT161" s="710"/>
      <c r="AU161" s="710"/>
      <c r="AV161" s="710"/>
      <c r="AW161" s="710"/>
      <c r="AX161" s="710"/>
      <c r="AY161" s="427"/>
    </row>
    <row r="162" spans="1:51" ht="18" customHeight="1" x14ac:dyDescent="0.25">
      <c r="A162" s="829"/>
      <c r="B162" s="710"/>
      <c r="C162" s="710"/>
      <c r="D162" s="408" t="s">
        <v>345</v>
      </c>
      <c r="E162" s="179"/>
      <c r="F162" s="180"/>
      <c r="G162" s="174"/>
      <c r="H162" s="174"/>
      <c r="I162" s="174"/>
      <c r="J162" s="410"/>
      <c r="K162" s="409"/>
      <c r="L162" s="410"/>
      <c r="M162" s="410"/>
      <c r="N162" s="410"/>
      <c r="O162" s="410"/>
      <c r="P162" s="410"/>
      <c r="Q162" s="410"/>
      <c r="R162" s="441" t="s">
        <v>673</v>
      </c>
      <c r="S162" s="710"/>
      <c r="T162" s="167"/>
      <c r="U162" s="167"/>
      <c r="V162" s="167"/>
      <c r="W162" s="415"/>
      <c r="X162" s="411"/>
      <c r="Y162" s="411"/>
      <c r="Z162" s="411"/>
      <c r="AA162" s="433"/>
      <c r="AB162" s="419"/>
      <c r="AC162" s="401"/>
      <c r="AD162" s="431"/>
      <c r="AE162" s="448" t="s">
        <v>673</v>
      </c>
      <c r="AF162" s="713"/>
      <c r="AG162" s="829"/>
      <c r="AH162" s="710"/>
      <c r="AI162" s="710"/>
      <c r="AJ162" s="710"/>
      <c r="AK162" s="710"/>
      <c r="AL162" s="710"/>
      <c r="AM162" s="710"/>
      <c r="AN162" s="710"/>
      <c r="AO162" s="710"/>
      <c r="AP162" s="710"/>
      <c r="AQ162" s="710"/>
      <c r="AR162" s="710"/>
      <c r="AS162" s="710"/>
      <c r="AT162" s="710"/>
      <c r="AU162" s="710"/>
      <c r="AV162" s="710"/>
      <c r="AW162" s="710"/>
      <c r="AX162" s="710"/>
      <c r="AY162" s="427"/>
    </row>
    <row r="163" spans="1:51" ht="27.75" customHeight="1" x14ac:dyDescent="0.25">
      <c r="A163" s="829"/>
      <c r="B163" s="710"/>
      <c r="C163" s="710"/>
      <c r="D163" s="404" t="s">
        <v>346</v>
      </c>
      <c r="E163" s="179"/>
      <c r="F163" s="180"/>
      <c r="G163" s="174"/>
      <c r="H163" s="174"/>
      <c r="I163" s="174"/>
      <c r="J163" s="410"/>
      <c r="K163" s="409"/>
      <c r="L163" s="410"/>
      <c r="M163" s="410"/>
      <c r="N163" s="410"/>
      <c r="O163" s="410"/>
      <c r="P163" s="410"/>
      <c r="Q163" s="410"/>
      <c r="R163" s="441" t="s">
        <v>673</v>
      </c>
      <c r="S163" s="710"/>
      <c r="T163" s="167"/>
      <c r="U163" s="167"/>
      <c r="V163" s="167"/>
      <c r="W163" s="415"/>
      <c r="X163" s="411"/>
      <c r="Y163" s="411"/>
      <c r="Z163" s="411"/>
      <c r="AA163" s="433"/>
      <c r="AB163" s="419"/>
      <c r="AC163" s="401"/>
      <c r="AD163" s="431"/>
      <c r="AE163" s="448" t="s">
        <v>673</v>
      </c>
      <c r="AF163" s="713"/>
      <c r="AG163" s="829"/>
      <c r="AH163" s="710"/>
      <c r="AI163" s="710"/>
      <c r="AJ163" s="710"/>
      <c r="AK163" s="710"/>
      <c r="AL163" s="710"/>
      <c r="AM163" s="710"/>
      <c r="AN163" s="710"/>
      <c r="AO163" s="710"/>
      <c r="AP163" s="710"/>
      <c r="AQ163" s="710"/>
      <c r="AR163" s="710"/>
      <c r="AS163" s="710"/>
      <c r="AT163" s="710"/>
      <c r="AU163" s="710"/>
      <c r="AV163" s="710"/>
      <c r="AW163" s="710"/>
      <c r="AX163" s="710"/>
      <c r="AY163" s="427"/>
    </row>
    <row r="164" spans="1:51" ht="27.75" customHeight="1" x14ac:dyDescent="0.25">
      <c r="A164" s="829"/>
      <c r="B164" s="710"/>
      <c r="C164" s="710"/>
      <c r="D164" s="408" t="s">
        <v>347</v>
      </c>
      <c r="E164" s="179"/>
      <c r="F164" s="180"/>
      <c r="G164" s="174"/>
      <c r="H164" s="174"/>
      <c r="I164" s="174">
        <v>3</v>
      </c>
      <c r="J164" s="410">
        <v>3</v>
      </c>
      <c r="K164" s="409"/>
      <c r="L164" s="410"/>
      <c r="M164" s="410"/>
      <c r="N164" s="410"/>
      <c r="O164" s="410"/>
      <c r="P164" s="410"/>
      <c r="Q164" s="410"/>
      <c r="R164" s="441">
        <v>2500</v>
      </c>
      <c r="S164" s="710"/>
      <c r="T164" s="167"/>
      <c r="U164" s="167"/>
      <c r="V164" s="167">
        <v>3</v>
      </c>
      <c r="W164" s="415">
        <v>3</v>
      </c>
      <c r="X164" s="411"/>
      <c r="Y164" s="411"/>
      <c r="Z164" s="411"/>
      <c r="AA164" s="433"/>
      <c r="AB164" s="419"/>
      <c r="AC164" s="401"/>
      <c r="AD164" s="431"/>
      <c r="AE164" s="448" t="s">
        <v>673</v>
      </c>
      <c r="AF164" s="713"/>
      <c r="AG164" s="829"/>
      <c r="AH164" s="710"/>
      <c r="AI164" s="710"/>
      <c r="AJ164" s="710"/>
      <c r="AK164" s="710"/>
      <c r="AL164" s="710"/>
      <c r="AM164" s="710"/>
      <c r="AN164" s="710"/>
      <c r="AO164" s="710"/>
      <c r="AP164" s="710"/>
      <c r="AQ164" s="710"/>
      <c r="AR164" s="710"/>
      <c r="AS164" s="710"/>
      <c r="AT164" s="710"/>
      <c r="AU164" s="710"/>
      <c r="AV164" s="710"/>
      <c r="AW164" s="710"/>
      <c r="AX164" s="710"/>
      <c r="AY164" s="427"/>
    </row>
    <row r="165" spans="1:51" ht="27.75" customHeight="1" x14ac:dyDescent="0.25">
      <c r="A165" s="829"/>
      <c r="B165" s="710"/>
      <c r="C165" s="731"/>
      <c r="D165" s="412" t="s">
        <v>348</v>
      </c>
      <c r="E165" s="179"/>
      <c r="F165" s="180"/>
      <c r="G165" s="174"/>
      <c r="H165" s="174"/>
      <c r="I165" s="174" t="e">
        <f>+I164*$I$155/$I$154</f>
        <v>#REF!</v>
      </c>
      <c r="J165" s="410" t="e">
        <f>+J164*$J$155/$J$154</f>
        <v>#REF!</v>
      </c>
      <c r="K165" s="409"/>
      <c r="L165" s="410"/>
      <c r="M165" s="410"/>
      <c r="N165" s="410"/>
      <c r="O165" s="410"/>
      <c r="P165" s="410"/>
      <c r="Q165" s="410"/>
      <c r="R165" s="441">
        <v>13280000</v>
      </c>
      <c r="S165" s="710"/>
      <c r="T165" s="167"/>
      <c r="U165" s="167"/>
      <c r="V165" s="174" t="e">
        <f>+V164*$V$155/$V$154</f>
        <v>#REF!</v>
      </c>
      <c r="W165" s="410" t="e">
        <f>+W164*$W$155/$W$154</f>
        <v>#REF!</v>
      </c>
      <c r="X165" s="411"/>
      <c r="Y165" s="411"/>
      <c r="Z165" s="411"/>
      <c r="AA165" s="433"/>
      <c r="AB165" s="419"/>
      <c r="AC165" s="401"/>
      <c r="AD165" s="431"/>
      <c r="AE165" s="448" t="s">
        <v>673</v>
      </c>
      <c r="AF165" s="830"/>
      <c r="AG165" s="823"/>
      <c r="AH165" s="731"/>
      <c r="AI165" s="731"/>
      <c r="AJ165" s="731"/>
      <c r="AK165" s="731"/>
      <c r="AL165" s="731"/>
      <c r="AM165" s="731"/>
      <c r="AN165" s="731"/>
      <c r="AO165" s="731"/>
      <c r="AP165" s="731"/>
      <c r="AQ165" s="731"/>
      <c r="AR165" s="731"/>
      <c r="AS165" s="731"/>
      <c r="AT165" s="731"/>
      <c r="AU165" s="731"/>
      <c r="AV165" s="731"/>
      <c r="AW165" s="731"/>
      <c r="AX165" s="731"/>
      <c r="AY165" s="427"/>
    </row>
    <row r="166" spans="1:51" ht="18" customHeight="1" x14ac:dyDescent="0.25">
      <c r="A166" s="829"/>
      <c r="B166" s="710"/>
      <c r="C166" s="958" t="s">
        <v>561</v>
      </c>
      <c r="D166" s="413" t="s">
        <v>340</v>
      </c>
      <c r="E166" s="179"/>
      <c r="F166" s="180"/>
      <c r="G166" s="174"/>
      <c r="H166" s="174">
        <v>1</v>
      </c>
      <c r="I166" s="174">
        <v>2</v>
      </c>
      <c r="J166" s="410">
        <v>3</v>
      </c>
      <c r="K166" s="414">
        <v>6</v>
      </c>
      <c r="L166" s="410"/>
      <c r="M166" s="410"/>
      <c r="N166" s="410"/>
      <c r="O166" s="410"/>
      <c r="P166" s="410"/>
      <c r="Q166" s="410"/>
      <c r="R166" s="441">
        <v>0.05</v>
      </c>
      <c r="S166" s="710"/>
      <c r="T166" s="167">
        <v>1</v>
      </c>
      <c r="U166" s="167">
        <v>1</v>
      </c>
      <c r="V166" s="167">
        <v>2</v>
      </c>
      <c r="W166" s="415">
        <v>3</v>
      </c>
      <c r="X166" s="418">
        <v>6</v>
      </c>
      <c r="Y166" s="411"/>
      <c r="Z166" s="411"/>
      <c r="AA166" s="433"/>
      <c r="AB166" s="419"/>
      <c r="AC166" s="401"/>
      <c r="AD166" s="431"/>
      <c r="AE166" s="448" t="s">
        <v>673</v>
      </c>
      <c r="AF166" s="923" t="s">
        <v>1221</v>
      </c>
      <c r="AG166" s="913" t="s">
        <v>561</v>
      </c>
      <c r="AH166" s="813" t="s">
        <v>1222</v>
      </c>
      <c r="AI166" s="813" t="s">
        <v>1223</v>
      </c>
      <c r="AJ166" s="914" t="s">
        <v>1217</v>
      </c>
      <c r="AK166" s="813" t="s">
        <v>457</v>
      </c>
      <c r="AL166" s="813" t="s">
        <v>178</v>
      </c>
      <c r="AM166" s="813" t="s">
        <v>1136</v>
      </c>
      <c r="AN166" s="909">
        <v>163231</v>
      </c>
      <c r="AO166" s="910">
        <v>77499</v>
      </c>
      <c r="AP166" s="910">
        <v>85731</v>
      </c>
      <c r="AQ166" s="911" t="s">
        <v>459</v>
      </c>
      <c r="AR166" s="911" t="s">
        <v>459</v>
      </c>
      <c r="AS166" s="911" t="s">
        <v>459</v>
      </c>
      <c r="AT166" s="911" t="s">
        <v>459</v>
      </c>
      <c r="AU166" s="915" t="s">
        <v>459</v>
      </c>
      <c r="AV166" s="915" t="s">
        <v>459</v>
      </c>
      <c r="AW166" s="915" t="s">
        <v>459</v>
      </c>
      <c r="AX166" s="910">
        <v>163231</v>
      </c>
      <c r="AY166" s="427"/>
    </row>
    <row r="167" spans="1:51" ht="18.75" customHeight="1" x14ac:dyDescent="0.25">
      <c r="A167" s="829"/>
      <c r="B167" s="710"/>
      <c r="C167" s="710"/>
      <c r="D167" s="404" t="s">
        <v>343</v>
      </c>
      <c r="E167" s="179"/>
      <c r="F167" s="180"/>
      <c r="G167" s="174"/>
      <c r="H167" s="174">
        <f>+H166*$H$155/$H$154</f>
        <v>2573116.8831168832</v>
      </c>
      <c r="I167" s="174" t="e">
        <f>+I166*$I$155/$I$154</f>
        <v>#REF!</v>
      </c>
      <c r="J167" s="410" t="e">
        <f>+J166*$J$155/$J$154</f>
        <v>#REF!</v>
      </c>
      <c r="K167" s="409"/>
      <c r="L167" s="410"/>
      <c r="M167" s="410"/>
      <c r="N167" s="410"/>
      <c r="O167" s="410"/>
      <c r="P167" s="410"/>
      <c r="Q167" s="410"/>
      <c r="R167" s="441">
        <v>95347000</v>
      </c>
      <c r="S167" s="710"/>
      <c r="T167" s="167"/>
      <c r="U167" s="174">
        <f>+U166*$U$155/$U$154</f>
        <v>11790000</v>
      </c>
      <c r="V167" s="174" t="e">
        <f>+V166*$V$155/$V$154</f>
        <v>#REF!</v>
      </c>
      <c r="W167" s="410" t="e">
        <f>+W166*$W$155/$W$154</f>
        <v>#REF!</v>
      </c>
      <c r="X167" s="411"/>
      <c r="Y167" s="411"/>
      <c r="Z167" s="411"/>
      <c r="AA167" s="433"/>
      <c r="AB167" s="419"/>
      <c r="AC167" s="401"/>
      <c r="AD167" s="431"/>
      <c r="AE167" s="448" t="s">
        <v>673</v>
      </c>
      <c r="AF167" s="710"/>
      <c r="AG167" s="829"/>
      <c r="AH167" s="710"/>
      <c r="AI167" s="710"/>
      <c r="AJ167" s="710"/>
      <c r="AK167" s="710"/>
      <c r="AL167" s="710"/>
      <c r="AM167" s="710"/>
      <c r="AN167" s="710"/>
      <c r="AO167" s="710"/>
      <c r="AP167" s="710"/>
      <c r="AQ167" s="710"/>
      <c r="AR167" s="710"/>
      <c r="AS167" s="710"/>
      <c r="AT167" s="710"/>
      <c r="AU167" s="710"/>
      <c r="AV167" s="710"/>
      <c r="AW167" s="710"/>
      <c r="AX167" s="710"/>
      <c r="AY167" s="427"/>
    </row>
    <row r="168" spans="1:51" ht="18" customHeight="1" x14ac:dyDescent="0.25">
      <c r="A168" s="829"/>
      <c r="B168" s="710"/>
      <c r="C168" s="710"/>
      <c r="D168" s="408" t="s">
        <v>345</v>
      </c>
      <c r="E168" s="179"/>
      <c r="F168" s="180"/>
      <c r="G168" s="174"/>
      <c r="H168" s="174"/>
      <c r="I168" s="174"/>
      <c r="J168" s="410"/>
      <c r="K168" s="409"/>
      <c r="L168" s="410"/>
      <c r="M168" s="410"/>
      <c r="N168" s="410"/>
      <c r="O168" s="410"/>
      <c r="P168" s="410"/>
      <c r="Q168" s="410"/>
      <c r="R168" s="441" t="s">
        <v>673</v>
      </c>
      <c r="S168" s="710"/>
      <c r="T168" s="167"/>
      <c r="U168" s="167"/>
      <c r="V168" s="167"/>
      <c r="W168" s="415"/>
      <c r="X168" s="411"/>
      <c r="Y168" s="411"/>
      <c r="Z168" s="411"/>
      <c r="AA168" s="433"/>
      <c r="AB168" s="419"/>
      <c r="AC168" s="401"/>
      <c r="AD168" s="431"/>
      <c r="AE168" s="448" t="s">
        <v>673</v>
      </c>
      <c r="AF168" s="710"/>
      <c r="AG168" s="829"/>
      <c r="AH168" s="710"/>
      <c r="AI168" s="710"/>
      <c r="AJ168" s="710"/>
      <c r="AK168" s="710"/>
      <c r="AL168" s="710"/>
      <c r="AM168" s="710"/>
      <c r="AN168" s="710"/>
      <c r="AO168" s="710"/>
      <c r="AP168" s="710"/>
      <c r="AQ168" s="710"/>
      <c r="AR168" s="710"/>
      <c r="AS168" s="710"/>
      <c r="AT168" s="710"/>
      <c r="AU168" s="710"/>
      <c r="AV168" s="710"/>
      <c r="AW168" s="710"/>
      <c r="AX168" s="710"/>
      <c r="AY168" s="427"/>
    </row>
    <row r="169" spans="1:51" ht="27.75" customHeight="1" x14ac:dyDescent="0.25">
      <c r="A169" s="829"/>
      <c r="B169" s="710"/>
      <c r="C169" s="710"/>
      <c r="D169" s="404" t="s">
        <v>346</v>
      </c>
      <c r="E169" s="179"/>
      <c r="F169" s="180"/>
      <c r="G169" s="174"/>
      <c r="H169" s="174"/>
      <c r="I169" s="174"/>
      <c r="J169" s="410"/>
      <c r="K169" s="409"/>
      <c r="L169" s="410"/>
      <c r="M169" s="410"/>
      <c r="N169" s="410"/>
      <c r="O169" s="410"/>
      <c r="P169" s="410"/>
      <c r="Q169" s="410"/>
      <c r="R169" s="441" t="s">
        <v>673</v>
      </c>
      <c r="S169" s="710"/>
      <c r="T169" s="167"/>
      <c r="U169" s="453">
        <f>+$U$157/8</f>
        <v>2428417.875</v>
      </c>
      <c r="V169" s="167"/>
      <c r="W169" s="415"/>
      <c r="X169" s="411"/>
      <c r="Y169" s="411"/>
      <c r="Z169" s="411"/>
      <c r="AA169" s="433"/>
      <c r="AB169" s="419"/>
      <c r="AC169" s="401"/>
      <c r="AD169" s="431"/>
      <c r="AE169" s="448" t="s">
        <v>673</v>
      </c>
      <c r="AF169" s="710"/>
      <c r="AG169" s="829"/>
      <c r="AH169" s="710"/>
      <c r="AI169" s="710"/>
      <c r="AJ169" s="710"/>
      <c r="AK169" s="710"/>
      <c r="AL169" s="710"/>
      <c r="AM169" s="710"/>
      <c r="AN169" s="710"/>
      <c r="AO169" s="710"/>
      <c r="AP169" s="710"/>
      <c r="AQ169" s="710"/>
      <c r="AR169" s="710"/>
      <c r="AS169" s="710"/>
      <c r="AT169" s="710"/>
      <c r="AU169" s="710"/>
      <c r="AV169" s="710"/>
      <c r="AW169" s="710"/>
      <c r="AX169" s="710"/>
      <c r="AY169" s="427"/>
    </row>
    <row r="170" spans="1:51" ht="27.75" customHeight="1" x14ac:dyDescent="0.25">
      <c r="A170" s="829"/>
      <c r="B170" s="710"/>
      <c r="C170" s="710"/>
      <c r="D170" s="408" t="s">
        <v>347</v>
      </c>
      <c r="E170" s="179"/>
      <c r="F170" s="180"/>
      <c r="G170" s="174"/>
      <c r="H170" s="174">
        <v>1</v>
      </c>
      <c r="I170" s="174">
        <v>2</v>
      </c>
      <c r="J170" s="410">
        <v>3</v>
      </c>
      <c r="K170" s="409"/>
      <c r="L170" s="410"/>
      <c r="M170" s="410"/>
      <c r="N170" s="410"/>
      <c r="O170" s="410"/>
      <c r="P170" s="410"/>
      <c r="Q170" s="410"/>
      <c r="R170" s="441">
        <v>0.05</v>
      </c>
      <c r="S170" s="710"/>
      <c r="T170" s="167">
        <v>1</v>
      </c>
      <c r="U170" s="167">
        <v>1</v>
      </c>
      <c r="V170" s="167">
        <v>2</v>
      </c>
      <c r="W170" s="415">
        <v>3</v>
      </c>
      <c r="X170" s="411"/>
      <c r="Y170" s="411"/>
      <c r="Z170" s="411"/>
      <c r="AA170" s="433"/>
      <c r="AB170" s="419"/>
      <c r="AC170" s="401"/>
      <c r="AD170" s="431"/>
      <c r="AE170" s="448" t="s">
        <v>673</v>
      </c>
      <c r="AF170" s="710"/>
      <c r="AG170" s="829"/>
      <c r="AH170" s="710"/>
      <c r="AI170" s="710"/>
      <c r="AJ170" s="710"/>
      <c r="AK170" s="710"/>
      <c r="AL170" s="710"/>
      <c r="AM170" s="710"/>
      <c r="AN170" s="710"/>
      <c r="AO170" s="710"/>
      <c r="AP170" s="710"/>
      <c r="AQ170" s="710"/>
      <c r="AR170" s="710"/>
      <c r="AS170" s="710"/>
      <c r="AT170" s="710"/>
      <c r="AU170" s="710"/>
      <c r="AV170" s="710"/>
      <c r="AW170" s="710"/>
      <c r="AX170" s="710"/>
      <c r="AY170" s="427"/>
    </row>
    <row r="171" spans="1:51" ht="27.75" customHeight="1" x14ac:dyDescent="0.25">
      <c r="A171" s="829"/>
      <c r="B171" s="710"/>
      <c r="C171" s="731"/>
      <c r="D171" s="412" t="s">
        <v>348</v>
      </c>
      <c r="E171" s="179"/>
      <c r="F171" s="180"/>
      <c r="G171" s="174"/>
      <c r="H171" s="174">
        <f>+H170*$H$155/$H$154</f>
        <v>2573116.8831168832</v>
      </c>
      <c r="I171" s="174" t="e">
        <f>+I170*$I$155/$I$154</f>
        <v>#REF!</v>
      </c>
      <c r="J171" s="410" t="e">
        <f>+J170*$J$155/$J$154</f>
        <v>#REF!</v>
      </c>
      <c r="K171" s="409"/>
      <c r="L171" s="410"/>
      <c r="M171" s="410"/>
      <c r="N171" s="410"/>
      <c r="O171" s="410"/>
      <c r="P171" s="410"/>
      <c r="Q171" s="410"/>
      <c r="R171" s="441">
        <v>95347000</v>
      </c>
      <c r="S171" s="710"/>
      <c r="T171" s="167"/>
      <c r="U171" s="174">
        <f>+U170*$U$155/$U$154</f>
        <v>11790000</v>
      </c>
      <c r="V171" s="174" t="e">
        <f>+V170*$V$155/$V$154</f>
        <v>#REF!</v>
      </c>
      <c r="W171" s="410" t="e">
        <f>+W170*$W$155/$W$154</f>
        <v>#REF!</v>
      </c>
      <c r="X171" s="411"/>
      <c r="Y171" s="411"/>
      <c r="Z171" s="411"/>
      <c r="AA171" s="433"/>
      <c r="AB171" s="419"/>
      <c r="AC171" s="401"/>
      <c r="AD171" s="431"/>
      <c r="AE171" s="448" t="s">
        <v>673</v>
      </c>
      <c r="AF171" s="731"/>
      <c r="AG171" s="823"/>
      <c r="AH171" s="731"/>
      <c r="AI171" s="731"/>
      <c r="AJ171" s="731"/>
      <c r="AK171" s="731"/>
      <c r="AL171" s="731"/>
      <c r="AM171" s="731"/>
      <c r="AN171" s="731"/>
      <c r="AO171" s="731"/>
      <c r="AP171" s="731"/>
      <c r="AQ171" s="731"/>
      <c r="AR171" s="731"/>
      <c r="AS171" s="731"/>
      <c r="AT171" s="731"/>
      <c r="AU171" s="731"/>
      <c r="AV171" s="731"/>
      <c r="AW171" s="731"/>
      <c r="AX171" s="731"/>
      <c r="AY171" s="427"/>
    </row>
    <row r="172" spans="1:51" ht="18" customHeight="1" x14ac:dyDescent="0.25">
      <c r="A172" s="829"/>
      <c r="B172" s="710"/>
      <c r="C172" s="818" t="s">
        <v>1154</v>
      </c>
      <c r="D172" s="413" t="s">
        <v>340</v>
      </c>
      <c r="E172" s="179"/>
      <c r="F172" s="180"/>
      <c r="G172" s="174"/>
      <c r="H172" s="174"/>
      <c r="I172" s="174">
        <v>1</v>
      </c>
      <c r="J172" s="410">
        <v>1</v>
      </c>
      <c r="K172" s="414">
        <v>1</v>
      </c>
      <c r="L172" s="410"/>
      <c r="M172" s="410"/>
      <c r="N172" s="410"/>
      <c r="O172" s="410">
        <v>1</v>
      </c>
      <c r="P172" s="410">
        <v>1</v>
      </c>
      <c r="Q172" s="410">
        <v>1</v>
      </c>
      <c r="R172" s="416">
        <v>1</v>
      </c>
      <c r="S172" s="710"/>
      <c r="T172" s="167"/>
      <c r="U172" s="167"/>
      <c r="V172" s="167">
        <v>1</v>
      </c>
      <c r="W172" s="415">
        <v>1</v>
      </c>
      <c r="X172" s="418">
        <v>1</v>
      </c>
      <c r="Y172" s="411"/>
      <c r="Z172" s="411"/>
      <c r="AA172" s="433"/>
      <c r="AB172" s="454">
        <v>1</v>
      </c>
      <c r="AC172" s="401">
        <v>1</v>
      </c>
      <c r="AD172" s="409">
        <v>1</v>
      </c>
      <c r="AE172" s="420">
        <v>1</v>
      </c>
      <c r="AF172" s="924" t="s">
        <v>1224</v>
      </c>
      <c r="AG172" s="913" t="s">
        <v>1156</v>
      </c>
      <c r="AH172" s="813" t="s">
        <v>1225</v>
      </c>
      <c r="AI172" s="813" t="s">
        <v>1226</v>
      </c>
      <c r="AJ172" s="914" t="s">
        <v>1217</v>
      </c>
      <c r="AK172" s="813" t="s">
        <v>457</v>
      </c>
      <c r="AL172" s="813" t="s">
        <v>178</v>
      </c>
      <c r="AM172" s="813" t="s">
        <v>1136</v>
      </c>
      <c r="AN172" s="909">
        <v>22438</v>
      </c>
      <c r="AO172" s="910">
        <v>53075</v>
      </c>
      <c r="AP172" s="910">
        <v>53484</v>
      </c>
      <c r="AQ172" s="911" t="s">
        <v>459</v>
      </c>
      <c r="AR172" s="911" t="s">
        <v>459</v>
      </c>
      <c r="AS172" s="911" t="s">
        <v>459</v>
      </c>
      <c r="AT172" s="911" t="s">
        <v>459</v>
      </c>
      <c r="AU172" s="915" t="s">
        <v>459</v>
      </c>
      <c r="AV172" s="915" t="s">
        <v>459</v>
      </c>
      <c r="AW172" s="915" t="s">
        <v>459</v>
      </c>
      <c r="AX172" s="910">
        <v>22438</v>
      </c>
      <c r="AY172" s="427"/>
    </row>
    <row r="173" spans="1:51" ht="18" customHeight="1" x14ac:dyDescent="0.25">
      <c r="A173" s="829"/>
      <c r="B173" s="710"/>
      <c r="C173" s="710"/>
      <c r="D173" s="404" t="s">
        <v>343</v>
      </c>
      <c r="E173" s="179"/>
      <c r="F173" s="180"/>
      <c r="G173" s="174"/>
      <c r="H173" s="174"/>
      <c r="I173" s="174" t="e">
        <f>+I172*$I$155/$I$154</f>
        <v>#REF!</v>
      </c>
      <c r="J173" s="410" t="e">
        <f>+J172*$J$155/$J$154</f>
        <v>#REF!</v>
      </c>
      <c r="K173" s="409"/>
      <c r="L173" s="410"/>
      <c r="M173" s="410"/>
      <c r="N173" s="410"/>
      <c r="O173" s="410">
        <f>+O172*$O$155/$O$154</f>
        <v>7144200</v>
      </c>
      <c r="P173" s="410" t="e">
        <f>+P172*$P$155/$P$154</f>
        <v>#VALUE!</v>
      </c>
      <c r="Q173" s="410" t="e">
        <f>+Q172*$Q$155/$Q$154</f>
        <v>#VALUE!</v>
      </c>
      <c r="R173" s="410" t="e">
        <f>+R172*$R$155/$R$154</f>
        <v>#VALUE!</v>
      </c>
      <c r="S173" s="710"/>
      <c r="T173" s="167"/>
      <c r="U173" s="167"/>
      <c r="V173" s="174" t="e">
        <f>+V172*$V$155/$V$154</f>
        <v>#REF!</v>
      </c>
      <c r="W173" s="410" t="e">
        <f>+W172*$W$155/$W$154</f>
        <v>#REF!</v>
      </c>
      <c r="X173" s="411"/>
      <c r="Y173" s="411"/>
      <c r="Z173" s="411"/>
      <c r="AA173" s="433"/>
      <c r="AB173" s="409">
        <f>+AB172*$AB$155/$AB$154</f>
        <v>35887000</v>
      </c>
      <c r="AC173" s="409" t="e">
        <f>+AC172*$AC$155/$AC$154</f>
        <v>#VALUE!</v>
      </c>
      <c r="AD173" s="409" t="e">
        <f>+AD172*$AD$155/$AD$154</f>
        <v>#VALUE!</v>
      </c>
      <c r="AE173" s="409" t="e">
        <f>+AE172*$AE$155/$AE$154</f>
        <v>#VALUE!</v>
      </c>
      <c r="AF173" s="713"/>
      <c r="AG173" s="829"/>
      <c r="AH173" s="710"/>
      <c r="AI173" s="710"/>
      <c r="AJ173" s="710"/>
      <c r="AK173" s="710"/>
      <c r="AL173" s="710"/>
      <c r="AM173" s="710"/>
      <c r="AN173" s="710"/>
      <c r="AO173" s="710"/>
      <c r="AP173" s="710"/>
      <c r="AQ173" s="710"/>
      <c r="AR173" s="710"/>
      <c r="AS173" s="710"/>
      <c r="AT173" s="710"/>
      <c r="AU173" s="710"/>
      <c r="AV173" s="710"/>
      <c r="AW173" s="710"/>
      <c r="AX173" s="710"/>
      <c r="AY173" s="427"/>
    </row>
    <row r="174" spans="1:51" ht="18" customHeight="1" x14ac:dyDescent="0.25">
      <c r="A174" s="829"/>
      <c r="B174" s="710"/>
      <c r="C174" s="710"/>
      <c r="D174" s="408" t="s">
        <v>345</v>
      </c>
      <c r="E174" s="179"/>
      <c r="F174" s="180"/>
      <c r="G174" s="174"/>
      <c r="H174" s="174"/>
      <c r="I174" s="174"/>
      <c r="J174" s="410"/>
      <c r="K174" s="409"/>
      <c r="L174" s="410"/>
      <c r="M174" s="410"/>
      <c r="N174" s="410"/>
      <c r="O174" s="410"/>
      <c r="P174" s="410"/>
      <c r="Q174" s="410"/>
      <c r="R174" s="416"/>
      <c r="S174" s="710"/>
      <c r="T174" s="167"/>
      <c r="U174" s="167"/>
      <c r="V174" s="167"/>
      <c r="W174" s="415"/>
      <c r="X174" s="411"/>
      <c r="Y174" s="411"/>
      <c r="Z174" s="411"/>
      <c r="AA174" s="433"/>
      <c r="AB174" s="419"/>
      <c r="AC174" s="401"/>
      <c r="AD174" s="409"/>
      <c r="AE174" s="420"/>
      <c r="AF174" s="713"/>
      <c r="AG174" s="829"/>
      <c r="AH174" s="710"/>
      <c r="AI174" s="710"/>
      <c r="AJ174" s="710"/>
      <c r="AK174" s="710"/>
      <c r="AL174" s="710"/>
      <c r="AM174" s="710"/>
      <c r="AN174" s="710"/>
      <c r="AO174" s="710"/>
      <c r="AP174" s="710"/>
      <c r="AQ174" s="710"/>
      <c r="AR174" s="710"/>
      <c r="AS174" s="710"/>
      <c r="AT174" s="710"/>
      <c r="AU174" s="710"/>
      <c r="AV174" s="710"/>
      <c r="AW174" s="710"/>
      <c r="AX174" s="710"/>
      <c r="AY174" s="427"/>
    </row>
    <row r="175" spans="1:51" ht="27" customHeight="1" x14ac:dyDescent="0.25">
      <c r="A175" s="829"/>
      <c r="B175" s="710"/>
      <c r="C175" s="710"/>
      <c r="D175" s="404" t="s">
        <v>346</v>
      </c>
      <c r="E175" s="179"/>
      <c r="F175" s="180"/>
      <c r="G175" s="174"/>
      <c r="H175" s="174"/>
      <c r="I175" s="174"/>
      <c r="J175" s="410"/>
      <c r="K175" s="409"/>
      <c r="L175" s="410"/>
      <c r="M175" s="410"/>
      <c r="N175" s="410"/>
      <c r="O175" s="410"/>
      <c r="P175" s="410"/>
      <c r="Q175" s="410"/>
      <c r="R175" s="416"/>
      <c r="S175" s="710"/>
      <c r="T175" s="167"/>
      <c r="U175" s="167"/>
      <c r="V175" s="167"/>
      <c r="W175" s="415"/>
      <c r="X175" s="411"/>
      <c r="Y175" s="411"/>
      <c r="Z175" s="411"/>
      <c r="AA175" s="433"/>
      <c r="AB175" s="419"/>
      <c r="AC175" s="401"/>
      <c r="AD175" s="409"/>
      <c r="AE175" s="420"/>
      <c r="AF175" s="713"/>
      <c r="AG175" s="829"/>
      <c r="AH175" s="710"/>
      <c r="AI175" s="710"/>
      <c r="AJ175" s="710"/>
      <c r="AK175" s="710"/>
      <c r="AL175" s="710"/>
      <c r="AM175" s="710"/>
      <c r="AN175" s="710"/>
      <c r="AO175" s="710"/>
      <c r="AP175" s="710"/>
      <c r="AQ175" s="710"/>
      <c r="AR175" s="710"/>
      <c r="AS175" s="710"/>
      <c r="AT175" s="710"/>
      <c r="AU175" s="710"/>
      <c r="AV175" s="710"/>
      <c r="AW175" s="710"/>
      <c r="AX175" s="710"/>
      <c r="AY175" s="427"/>
    </row>
    <row r="176" spans="1:51" ht="27" customHeight="1" x14ac:dyDescent="0.25">
      <c r="A176" s="829"/>
      <c r="B176" s="710"/>
      <c r="C176" s="710"/>
      <c r="D176" s="408" t="s">
        <v>347</v>
      </c>
      <c r="E176" s="179"/>
      <c r="F176" s="180"/>
      <c r="G176" s="174"/>
      <c r="H176" s="174"/>
      <c r="I176" s="174">
        <v>1</v>
      </c>
      <c r="J176" s="410">
        <v>1</v>
      </c>
      <c r="K176" s="409"/>
      <c r="L176" s="410"/>
      <c r="M176" s="410"/>
      <c r="N176" s="410"/>
      <c r="O176" s="410">
        <f>+O172</f>
        <v>1</v>
      </c>
      <c r="P176" s="410">
        <v>1</v>
      </c>
      <c r="Q176" s="410">
        <v>1</v>
      </c>
      <c r="R176" s="416">
        <v>1</v>
      </c>
      <c r="S176" s="710"/>
      <c r="T176" s="167"/>
      <c r="U176" s="167"/>
      <c r="V176" s="167">
        <v>1</v>
      </c>
      <c r="W176" s="415">
        <v>1</v>
      </c>
      <c r="X176" s="411"/>
      <c r="Y176" s="411"/>
      <c r="Z176" s="411"/>
      <c r="AA176" s="433"/>
      <c r="AB176" s="409">
        <f>+AB172</f>
        <v>1</v>
      </c>
      <c r="AC176" s="401">
        <v>1</v>
      </c>
      <c r="AD176" s="409">
        <v>1</v>
      </c>
      <c r="AE176" s="420">
        <v>1</v>
      </c>
      <c r="AF176" s="713"/>
      <c r="AG176" s="829"/>
      <c r="AH176" s="710"/>
      <c r="AI176" s="710"/>
      <c r="AJ176" s="710"/>
      <c r="AK176" s="710"/>
      <c r="AL176" s="710"/>
      <c r="AM176" s="710"/>
      <c r="AN176" s="710"/>
      <c r="AO176" s="710"/>
      <c r="AP176" s="710"/>
      <c r="AQ176" s="710"/>
      <c r="AR176" s="710"/>
      <c r="AS176" s="710"/>
      <c r="AT176" s="710"/>
      <c r="AU176" s="710"/>
      <c r="AV176" s="710"/>
      <c r="AW176" s="710"/>
      <c r="AX176" s="710"/>
      <c r="AY176" s="427"/>
    </row>
    <row r="177" spans="1:51" ht="27.75" customHeight="1" x14ac:dyDescent="0.25">
      <c r="A177" s="829"/>
      <c r="B177" s="710"/>
      <c r="C177" s="731"/>
      <c r="D177" s="412" t="s">
        <v>348</v>
      </c>
      <c r="E177" s="179"/>
      <c r="F177" s="180"/>
      <c r="G177" s="174"/>
      <c r="H177" s="174"/>
      <c r="I177" s="174" t="e">
        <f>+I176*$I$155/$I$154</f>
        <v>#REF!</v>
      </c>
      <c r="J177" s="410" t="e">
        <f>+J176*$J$155/$J$154</f>
        <v>#REF!</v>
      </c>
      <c r="K177" s="409"/>
      <c r="L177" s="410"/>
      <c r="M177" s="410"/>
      <c r="N177" s="410"/>
      <c r="O177" s="410">
        <f>+O173</f>
        <v>7144200</v>
      </c>
      <c r="P177" s="410" t="e">
        <f>+P176*$P$155/$P$154</f>
        <v>#VALUE!</v>
      </c>
      <c r="Q177" s="410" t="e">
        <f>+Q176*$Q$155/$Q$154</f>
        <v>#VALUE!</v>
      </c>
      <c r="R177" s="410" t="e">
        <f>+R176*$R$155/$R$154</f>
        <v>#VALUE!</v>
      </c>
      <c r="S177" s="710"/>
      <c r="T177" s="167"/>
      <c r="U177" s="167"/>
      <c r="V177" s="167"/>
      <c r="W177" s="410" t="e">
        <f>+W176*$W$155/$W$154</f>
        <v>#REF!</v>
      </c>
      <c r="X177" s="411"/>
      <c r="Y177" s="411"/>
      <c r="Z177" s="411"/>
      <c r="AA177" s="433"/>
      <c r="AB177" s="409">
        <f>+AB173</f>
        <v>35887000</v>
      </c>
      <c r="AC177" s="409" t="e">
        <f>+AC176*$AC$155/$AC$154</f>
        <v>#VALUE!</v>
      </c>
      <c r="AD177" s="409" t="e">
        <f>+AD176*$AD$155/$AD$154</f>
        <v>#VALUE!</v>
      </c>
      <c r="AE177" s="409" t="e">
        <f>+AE176*$AE$155/$AE$154</f>
        <v>#VALUE!</v>
      </c>
      <c r="AF177" s="714"/>
      <c r="AG177" s="823"/>
      <c r="AH177" s="731"/>
      <c r="AI177" s="731"/>
      <c r="AJ177" s="731"/>
      <c r="AK177" s="731"/>
      <c r="AL177" s="731"/>
      <c r="AM177" s="731"/>
      <c r="AN177" s="731"/>
      <c r="AO177" s="731"/>
      <c r="AP177" s="731"/>
      <c r="AQ177" s="731"/>
      <c r="AR177" s="731"/>
      <c r="AS177" s="731"/>
      <c r="AT177" s="731"/>
      <c r="AU177" s="731"/>
      <c r="AV177" s="731"/>
      <c r="AW177" s="731"/>
      <c r="AX177" s="731"/>
      <c r="AY177" s="427"/>
    </row>
    <row r="178" spans="1:51" ht="18" hidden="1" customHeight="1" x14ac:dyDescent="0.25">
      <c r="A178" s="829"/>
      <c r="B178" s="710"/>
      <c r="C178" s="818" t="s">
        <v>604</v>
      </c>
      <c r="D178" s="413" t="s">
        <v>340</v>
      </c>
      <c r="E178" s="179"/>
      <c r="F178" s="180"/>
      <c r="G178" s="174"/>
      <c r="H178" s="174"/>
      <c r="I178" s="174"/>
      <c r="J178" s="410"/>
      <c r="K178" s="409"/>
      <c r="L178" s="410"/>
      <c r="M178" s="410"/>
      <c r="N178" s="410"/>
      <c r="O178" s="410"/>
      <c r="P178" s="410"/>
      <c r="Q178" s="410"/>
      <c r="R178" s="416"/>
      <c r="S178" s="710"/>
      <c r="T178" s="167"/>
      <c r="U178" s="167"/>
      <c r="V178" s="167"/>
      <c r="W178" s="415"/>
      <c r="X178" s="411"/>
      <c r="Y178" s="411"/>
      <c r="Z178" s="411"/>
      <c r="AA178" s="433"/>
      <c r="AB178" s="419"/>
      <c r="AC178" s="401"/>
      <c r="AD178" s="409"/>
      <c r="AE178" s="420"/>
      <c r="AF178" s="455"/>
      <c r="AG178" s="913" t="s">
        <v>604</v>
      </c>
      <c r="AH178" s="813" t="s">
        <v>633</v>
      </c>
      <c r="AI178" s="813" t="s">
        <v>633</v>
      </c>
      <c r="AJ178" s="813" t="s">
        <v>633</v>
      </c>
      <c r="AK178" s="813" t="s">
        <v>457</v>
      </c>
      <c r="AL178" s="813" t="s">
        <v>178</v>
      </c>
      <c r="AM178" s="813" t="s">
        <v>1136</v>
      </c>
      <c r="AN178" s="909">
        <v>392220</v>
      </c>
      <c r="AO178" s="910">
        <v>194318</v>
      </c>
      <c r="AP178" s="910">
        <v>207625</v>
      </c>
      <c r="AQ178" s="911" t="s">
        <v>459</v>
      </c>
      <c r="AR178" s="911" t="s">
        <v>459</v>
      </c>
      <c r="AS178" s="911" t="s">
        <v>459</v>
      </c>
      <c r="AT178" s="911" t="s">
        <v>459</v>
      </c>
      <c r="AU178" s="915" t="s">
        <v>459</v>
      </c>
      <c r="AV178" s="915" t="s">
        <v>459</v>
      </c>
      <c r="AW178" s="915" t="s">
        <v>459</v>
      </c>
      <c r="AX178" s="910">
        <v>392220</v>
      </c>
      <c r="AY178" s="427"/>
    </row>
    <row r="179" spans="1:51" ht="18.75" hidden="1" customHeight="1" x14ac:dyDescent="0.25">
      <c r="A179" s="829"/>
      <c r="B179" s="710"/>
      <c r="C179" s="710"/>
      <c r="D179" s="404" t="s">
        <v>343</v>
      </c>
      <c r="E179" s="179"/>
      <c r="F179" s="180"/>
      <c r="G179" s="174"/>
      <c r="H179" s="174"/>
      <c r="I179" s="174"/>
      <c r="J179" s="410"/>
      <c r="K179" s="409"/>
      <c r="L179" s="410"/>
      <c r="M179" s="410"/>
      <c r="N179" s="410"/>
      <c r="O179" s="410"/>
      <c r="P179" s="410"/>
      <c r="Q179" s="410"/>
      <c r="R179" s="416"/>
      <c r="S179" s="710"/>
      <c r="T179" s="167"/>
      <c r="U179" s="167"/>
      <c r="V179" s="167"/>
      <c r="W179" s="415"/>
      <c r="X179" s="411"/>
      <c r="Y179" s="411"/>
      <c r="Z179" s="411"/>
      <c r="AA179" s="433"/>
      <c r="AB179" s="419"/>
      <c r="AC179" s="401"/>
      <c r="AD179" s="409"/>
      <c r="AE179" s="420"/>
      <c r="AF179" s="455"/>
      <c r="AG179" s="829"/>
      <c r="AH179" s="710"/>
      <c r="AI179" s="710"/>
      <c r="AJ179" s="710"/>
      <c r="AK179" s="710"/>
      <c r="AL179" s="710"/>
      <c r="AM179" s="710"/>
      <c r="AN179" s="710"/>
      <c r="AO179" s="710"/>
      <c r="AP179" s="710"/>
      <c r="AQ179" s="710"/>
      <c r="AR179" s="710"/>
      <c r="AS179" s="710"/>
      <c r="AT179" s="710"/>
      <c r="AU179" s="710"/>
      <c r="AV179" s="710"/>
      <c r="AW179" s="710"/>
      <c r="AX179" s="710"/>
      <c r="AY179" s="427"/>
    </row>
    <row r="180" spans="1:51" ht="18" hidden="1" customHeight="1" x14ac:dyDescent="0.25">
      <c r="A180" s="829"/>
      <c r="B180" s="710"/>
      <c r="C180" s="710"/>
      <c r="D180" s="408" t="s">
        <v>345</v>
      </c>
      <c r="E180" s="179"/>
      <c r="F180" s="180"/>
      <c r="G180" s="174"/>
      <c r="H180" s="174"/>
      <c r="I180" s="174"/>
      <c r="J180" s="410"/>
      <c r="K180" s="409"/>
      <c r="L180" s="410"/>
      <c r="M180" s="410"/>
      <c r="N180" s="410"/>
      <c r="O180" s="410"/>
      <c r="P180" s="410"/>
      <c r="Q180" s="410"/>
      <c r="R180" s="416"/>
      <c r="S180" s="710"/>
      <c r="T180" s="167"/>
      <c r="U180" s="167"/>
      <c r="V180" s="167"/>
      <c r="W180" s="415"/>
      <c r="X180" s="411"/>
      <c r="Y180" s="411"/>
      <c r="Z180" s="411"/>
      <c r="AA180" s="433"/>
      <c r="AB180" s="419"/>
      <c r="AC180" s="401"/>
      <c r="AD180" s="409"/>
      <c r="AE180" s="420"/>
      <c r="AF180" s="455"/>
      <c r="AG180" s="829"/>
      <c r="AH180" s="710"/>
      <c r="AI180" s="710"/>
      <c r="AJ180" s="710"/>
      <c r="AK180" s="710"/>
      <c r="AL180" s="710"/>
      <c r="AM180" s="710"/>
      <c r="AN180" s="710"/>
      <c r="AO180" s="710"/>
      <c r="AP180" s="710"/>
      <c r="AQ180" s="710"/>
      <c r="AR180" s="710"/>
      <c r="AS180" s="710"/>
      <c r="AT180" s="710"/>
      <c r="AU180" s="710"/>
      <c r="AV180" s="710"/>
      <c r="AW180" s="710"/>
      <c r="AX180" s="710"/>
      <c r="AY180" s="427"/>
    </row>
    <row r="181" spans="1:51" ht="27.75" hidden="1" customHeight="1" x14ac:dyDescent="0.25">
      <c r="A181" s="829"/>
      <c r="B181" s="710"/>
      <c r="C181" s="710"/>
      <c r="D181" s="404" t="s">
        <v>346</v>
      </c>
      <c r="E181" s="179"/>
      <c r="F181" s="180"/>
      <c r="G181" s="174"/>
      <c r="H181" s="174"/>
      <c r="I181" s="174"/>
      <c r="J181" s="410"/>
      <c r="K181" s="409"/>
      <c r="L181" s="410"/>
      <c r="M181" s="410"/>
      <c r="N181" s="410"/>
      <c r="O181" s="410"/>
      <c r="P181" s="410"/>
      <c r="Q181" s="410"/>
      <c r="R181" s="416"/>
      <c r="S181" s="710"/>
      <c r="T181" s="167"/>
      <c r="U181" s="167"/>
      <c r="V181" s="167"/>
      <c r="W181" s="415"/>
      <c r="X181" s="411"/>
      <c r="Y181" s="411"/>
      <c r="Z181" s="411"/>
      <c r="AA181" s="433"/>
      <c r="AB181" s="419"/>
      <c r="AC181" s="401"/>
      <c r="AD181" s="409"/>
      <c r="AE181" s="420"/>
      <c r="AF181" s="455"/>
      <c r="AG181" s="829"/>
      <c r="AH181" s="710"/>
      <c r="AI181" s="710"/>
      <c r="AJ181" s="710"/>
      <c r="AK181" s="710"/>
      <c r="AL181" s="710"/>
      <c r="AM181" s="710"/>
      <c r="AN181" s="710"/>
      <c r="AO181" s="710"/>
      <c r="AP181" s="710"/>
      <c r="AQ181" s="710"/>
      <c r="AR181" s="710"/>
      <c r="AS181" s="710"/>
      <c r="AT181" s="710"/>
      <c r="AU181" s="710"/>
      <c r="AV181" s="710"/>
      <c r="AW181" s="710"/>
      <c r="AX181" s="710"/>
      <c r="AY181" s="427"/>
    </row>
    <row r="182" spans="1:51" ht="27.75" hidden="1" customHeight="1" x14ac:dyDescent="0.25">
      <c r="A182" s="829"/>
      <c r="B182" s="710"/>
      <c r="C182" s="710"/>
      <c r="D182" s="408" t="s">
        <v>347</v>
      </c>
      <c r="E182" s="179"/>
      <c r="F182" s="180"/>
      <c r="G182" s="174"/>
      <c r="H182" s="174"/>
      <c r="I182" s="174"/>
      <c r="J182" s="410"/>
      <c r="K182" s="409"/>
      <c r="L182" s="410"/>
      <c r="M182" s="410"/>
      <c r="N182" s="410"/>
      <c r="O182" s="410"/>
      <c r="P182" s="410"/>
      <c r="Q182" s="410"/>
      <c r="R182" s="416"/>
      <c r="S182" s="710"/>
      <c r="T182" s="167"/>
      <c r="U182" s="167"/>
      <c r="V182" s="167"/>
      <c r="W182" s="415"/>
      <c r="X182" s="411"/>
      <c r="Y182" s="411"/>
      <c r="Z182" s="411"/>
      <c r="AA182" s="433"/>
      <c r="AB182" s="419"/>
      <c r="AC182" s="401"/>
      <c r="AD182" s="409"/>
      <c r="AE182" s="420"/>
      <c r="AF182" s="455"/>
      <c r="AG182" s="829"/>
      <c r="AH182" s="710"/>
      <c r="AI182" s="710"/>
      <c r="AJ182" s="710"/>
      <c r="AK182" s="710"/>
      <c r="AL182" s="710"/>
      <c r="AM182" s="710"/>
      <c r="AN182" s="710"/>
      <c r="AO182" s="710"/>
      <c r="AP182" s="710"/>
      <c r="AQ182" s="710"/>
      <c r="AR182" s="710"/>
      <c r="AS182" s="710"/>
      <c r="AT182" s="710"/>
      <c r="AU182" s="710"/>
      <c r="AV182" s="710"/>
      <c r="AW182" s="710"/>
      <c r="AX182" s="710"/>
      <c r="AY182" s="427"/>
    </row>
    <row r="183" spans="1:51" ht="27.75" hidden="1" customHeight="1" x14ac:dyDescent="0.25">
      <c r="A183" s="829"/>
      <c r="B183" s="710"/>
      <c r="C183" s="731"/>
      <c r="D183" s="412" t="s">
        <v>348</v>
      </c>
      <c r="E183" s="179"/>
      <c r="F183" s="180"/>
      <c r="G183" s="174"/>
      <c r="H183" s="174"/>
      <c r="I183" s="174"/>
      <c r="J183" s="410"/>
      <c r="K183" s="409"/>
      <c r="L183" s="410"/>
      <c r="M183" s="410"/>
      <c r="N183" s="410"/>
      <c r="O183" s="410"/>
      <c r="P183" s="410"/>
      <c r="Q183" s="410"/>
      <c r="R183" s="416"/>
      <c r="S183" s="710"/>
      <c r="T183" s="167"/>
      <c r="U183" s="167"/>
      <c r="V183" s="167"/>
      <c r="W183" s="415"/>
      <c r="X183" s="411"/>
      <c r="Y183" s="411"/>
      <c r="Z183" s="411"/>
      <c r="AA183" s="433"/>
      <c r="AB183" s="419"/>
      <c r="AC183" s="401"/>
      <c r="AD183" s="409"/>
      <c r="AE183" s="420"/>
      <c r="AF183" s="455"/>
      <c r="AG183" s="823"/>
      <c r="AH183" s="731"/>
      <c r="AI183" s="731"/>
      <c r="AJ183" s="731"/>
      <c r="AK183" s="731"/>
      <c r="AL183" s="731"/>
      <c r="AM183" s="731"/>
      <c r="AN183" s="731"/>
      <c r="AO183" s="731"/>
      <c r="AP183" s="731"/>
      <c r="AQ183" s="731"/>
      <c r="AR183" s="731"/>
      <c r="AS183" s="731"/>
      <c r="AT183" s="731"/>
      <c r="AU183" s="731"/>
      <c r="AV183" s="731"/>
      <c r="AW183" s="731"/>
      <c r="AX183" s="731"/>
      <c r="AY183" s="427"/>
    </row>
    <row r="184" spans="1:51" ht="18" hidden="1" customHeight="1" x14ac:dyDescent="0.25">
      <c r="A184" s="829"/>
      <c r="B184" s="710"/>
      <c r="C184" s="818" t="s">
        <v>682</v>
      </c>
      <c r="D184" s="413" t="s">
        <v>340</v>
      </c>
      <c r="E184" s="179"/>
      <c r="F184" s="180"/>
      <c r="G184" s="174"/>
      <c r="H184" s="174"/>
      <c r="I184" s="174"/>
      <c r="J184" s="410"/>
      <c r="K184" s="409"/>
      <c r="L184" s="410"/>
      <c r="M184" s="410"/>
      <c r="N184" s="410"/>
      <c r="O184" s="410"/>
      <c r="P184" s="410"/>
      <c r="Q184" s="410"/>
      <c r="R184" s="416"/>
      <c r="S184" s="710"/>
      <c r="T184" s="167"/>
      <c r="U184" s="167"/>
      <c r="V184" s="167"/>
      <c r="W184" s="415"/>
      <c r="X184" s="411"/>
      <c r="Y184" s="411"/>
      <c r="Z184" s="411"/>
      <c r="AA184" s="433"/>
      <c r="AB184" s="419"/>
      <c r="AC184" s="401"/>
      <c r="AD184" s="409"/>
      <c r="AE184" s="420"/>
      <c r="AF184" s="455"/>
      <c r="AG184" s="913" t="s">
        <v>682</v>
      </c>
      <c r="AH184" s="813" t="s">
        <v>633</v>
      </c>
      <c r="AI184" s="813" t="s">
        <v>633</v>
      </c>
      <c r="AJ184" s="813" t="s">
        <v>633</v>
      </c>
      <c r="AK184" s="813" t="s">
        <v>457</v>
      </c>
      <c r="AL184" s="813" t="s">
        <v>178</v>
      </c>
      <c r="AM184" s="813" t="s">
        <v>1136</v>
      </c>
      <c r="AN184" s="909">
        <v>22438</v>
      </c>
      <c r="AO184" s="910">
        <v>181364</v>
      </c>
      <c r="AP184" s="910">
        <v>191238</v>
      </c>
      <c r="AQ184" s="911" t="s">
        <v>459</v>
      </c>
      <c r="AR184" s="911" t="s">
        <v>459</v>
      </c>
      <c r="AS184" s="911" t="s">
        <v>459</v>
      </c>
      <c r="AT184" s="911" t="s">
        <v>459</v>
      </c>
      <c r="AU184" s="915" t="s">
        <v>459</v>
      </c>
      <c r="AV184" s="915" t="s">
        <v>459</v>
      </c>
      <c r="AW184" s="915" t="s">
        <v>459</v>
      </c>
      <c r="AX184" s="910">
        <v>22438</v>
      </c>
      <c r="AY184" s="427"/>
    </row>
    <row r="185" spans="1:51" ht="18.75" hidden="1" customHeight="1" x14ac:dyDescent="0.25">
      <c r="A185" s="829"/>
      <c r="B185" s="710"/>
      <c r="C185" s="710"/>
      <c r="D185" s="404" t="s">
        <v>343</v>
      </c>
      <c r="E185" s="179"/>
      <c r="F185" s="180"/>
      <c r="G185" s="174"/>
      <c r="H185" s="174"/>
      <c r="I185" s="174"/>
      <c r="J185" s="410"/>
      <c r="K185" s="409"/>
      <c r="L185" s="410"/>
      <c r="M185" s="410"/>
      <c r="N185" s="410"/>
      <c r="O185" s="410"/>
      <c r="P185" s="410"/>
      <c r="Q185" s="410"/>
      <c r="R185" s="416"/>
      <c r="S185" s="710"/>
      <c r="T185" s="167"/>
      <c r="U185" s="167"/>
      <c r="V185" s="167"/>
      <c r="W185" s="415"/>
      <c r="X185" s="411"/>
      <c r="Y185" s="411"/>
      <c r="Z185" s="411"/>
      <c r="AA185" s="433"/>
      <c r="AB185" s="419"/>
      <c r="AC185" s="401"/>
      <c r="AD185" s="409"/>
      <c r="AE185" s="420"/>
      <c r="AF185" s="455"/>
      <c r="AG185" s="829"/>
      <c r="AH185" s="710"/>
      <c r="AI185" s="710"/>
      <c r="AJ185" s="710"/>
      <c r="AK185" s="710"/>
      <c r="AL185" s="710"/>
      <c r="AM185" s="710"/>
      <c r="AN185" s="710"/>
      <c r="AO185" s="710"/>
      <c r="AP185" s="710"/>
      <c r="AQ185" s="710"/>
      <c r="AR185" s="710"/>
      <c r="AS185" s="710"/>
      <c r="AT185" s="710"/>
      <c r="AU185" s="710"/>
      <c r="AV185" s="710"/>
      <c r="AW185" s="710"/>
      <c r="AX185" s="710"/>
      <c r="AY185" s="427"/>
    </row>
    <row r="186" spans="1:51" ht="18" hidden="1" customHeight="1" x14ac:dyDescent="0.25">
      <c r="A186" s="829"/>
      <c r="B186" s="710"/>
      <c r="C186" s="710"/>
      <c r="D186" s="408" t="s">
        <v>345</v>
      </c>
      <c r="E186" s="179"/>
      <c r="F186" s="180"/>
      <c r="G186" s="174"/>
      <c r="H186" s="174"/>
      <c r="I186" s="174"/>
      <c r="J186" s="410"/>
      <c r="K186" s="409"/>
      <c r="L186" s="410"/>
      <c r="M186" s="410"/>
      <c r="N186" s="410"/>
      <c r="O186" s="410"/>
      <c r="P186" s="410"/>
      <c r="Q186" s="410"/>
      <c r="R186" s="416"/>
      <c r="S186" s="710"/>
      <c r="T186" s="167"/>
      <c r="U186" s="167"/>
      <c r="V186" s="167"/>
      <c r="W186" s="415"/>
      <c r="X186" s="411"/>
      <c r="Y186" s="411"/>
      <c r="Z186" s="411"/>
      <c r="AA186" s="433"/>
      <c r="AB186" s="419"/>
      <c r="AC186" s="401"/>
      <c r="AD186" s="409"/>
      <c r="AE186" s="420"/>
      <c r="AF186" s="455"/>
      <c r="AG186" s="829"/>
      <c r="AH186" s="710"/>
      <c r="AI186" s="710"/>
      <c r="AJ186" s="710"/>
      <c r="AK186" s="710"/>
      <c r="AL186" s="710"/>
      <c r="AM186" s="710"/>
      <c r="AN186" s="710"/>
      <c r="AO186" s="710"/>
      <c r="AP186" s="710"/>
      <c r="AQ186" s="710"/>
      <c r="AR186" s="710"/>
      <c r="AS186" s="710"/>
      <c r="AT186" s="710"/>
      <c r="AU186" s="710"/>
      <c r="AV186" s="710"/>
      <c r="AW186" s="710"/>
      <c r="AX186" s="710"/>
      <c r="AY186" s="427"/>
    </row>
    <row r="187" spans="1:51" ht="27.75" hidden="1" customHeight="1" x14ac:dyDescent="0.25">
      <c r="A187" s="829"/>
      <c r="B187" s="710"/>
      <c r="C187" s="710"/>
      <c r="D187" s="404" t="s">
        <v>346</v>
      </c>
      <c r="E187" s="179"/>
      <c r="F187" s="180"/>
      <c r="G187" s="174"/>
      <c r="H187" s="174"/>
      <c r="I187" s="174"/>
      <c r="J187" s="410"/>
      <c r="K187" s="409"/>
      <c r="L187" s="410"/>
      <c r="M187" s="410"/>
      <c r="N187" s="410"/>
      <c r="O187" s="410"/>
      <c r="P187" s="410"/>
      <c r="Q187" s="410"/>
      <c r="R187" s="416"/>
      <c r="S187" s="710"/>
      <c r="T187" s="167"/>
      <c r="U187" s="167"/>
      <c r="V187" s="167"/>
      <c r="W187" s="415"/>
      <c r="X187" s="411"/>
      <c r="Y187" s="411"/>
      <c r="Z187" s="411"/>
      <c r="AA187" s="433"/>
      <c r="AB187" s="419"/>
      <c r="AC187" s="401"/>
      <c r="AD187" s="409"/>
      <c r="AE187" s="420"/>
      <c r="AF187" s="455"/>
      <c r="AG187" s="829"/>
      <c r="AH187" s="710"/>
      <c r="AI187" s="710"/>
      <c r="AJ187" s="710"/>
      <c r="AK187" s="710"/>
      <c r="AL187" s="710"/>
      <c r="AM187" s="710"/>
      <c r="AN187" s="710"/>
      <c r="AO187" s="710"/>
      <c r="AP187" s="710"/>
      <c r="AQ187" s="710"/>
      <c r="AR187" s="710"/>
      <c r="AS187" s="710"/>
      <c r="AT187" s="710"/>
      <c r="AU187" s="710"/>
      <c r="AV187" s="710"/>
      <c r="AW187" s="710"/>
      <c r="AX187" s="710"/>
      <c r="AY187" s="427"/>
    </row>
    <row r="188" spans="1:51" ht="27.75" hidden="1" customHeight="1" x14ac:dyDescent="0.25">
      <c r="A188" s="829"/>
      <c r="B188" s="710"/>
      <c r="C188" s="710"/>
      <c r="D188" s="408" t="s">
        <v>347</v>
      </c>
      <c r="E188" s="179"/>
      <c r="F188" s="180"/>
      <c r="G188" s="174"/>
      <c r="H188" s="174"/>
      <c r="I188" s="174"/>
      <c r="J188" s="410"/>
      <c r="K188" s="409"/>
      <c r="L188" s="410"/>
      <c r="M188" s="410"/>
      <c r="N188" s="410"/>
      <c r="O188" s="410"/>
      <c r="P188" s="410"/>
      <c r="Q188" s="410"/>
      <c r="R188" s="416"/>
      <c r="S188" s="710"/>
      <c r="T188" s="167"/>
      <c r="U188" s="167"/>
      <c r="V188" s="167"/>
      <c r="W188" s="415"/>
      <c r="X188" s="411"/>
      <c r="Y188" s="411"/>
      <c r="Z188" s="411"/>
      <c r="AA188" s="433"/>
      <c r="AB188" s="419"/>
      <c r="AC188" s="401"/>
      <c r="AD188" s="409"/>
      <c r="AE188" s="420"/>
      <c r="AF188" s="455"/>
      <c r="AG188" s="829"/>
      <c r="AH188" s="710"/>
      <c r="AI188" s="710"/>
      <c r="AJ188" s="710"/>
      <c r="AK188" s="710"/>
      <c r="AL188" s="710"/>
      <c r="AM188" s="710"/>
      <c r="AN188" s="710"/>
      <c r="AO188" s="710"/>
      <c r="AP188" s="710"/>
      <c r="AQ188" s="710"/>
      <c r="AR188" s="710"/>
      <c r="AS188" s="710"/>
      <c r="AT188" s="710"/>
      <c r="AU188" s="710"/>
      <c r="AV188" s="710"/>
      <c r="AW188" s="710"/>
      <c r="AX188" s="710"/>
      <c r="AY188" s="427"/>
    </row>
    <row r="189" spans="1:51" ht="27.75" hidden="1" customHeight="1" x14ac:dyDescent="0.25">
      <c r="A189" s="829"/>
      <c r="B189" s="710"/>
      <c r="C189" s="731"/>
      <c r="D189" s="412" t="s">
        <v>348</v>
      </c>
      <c r="E189" s="179"/>
      <c r="F189" s="180"/>
      <c r="G189" s="174"/>
      <c r="H189" s="174"/>
      <c r="I189" s="174"/>
      <c r="J189" s="410"/>
      <c r="K189" s="409"/>
      <c r="L189" s="410"/>
      <c r="M189" s="410"/>
      <c r="N189" s="410"/>
      <c r="O189" s="410"/>
      <c r="P189" s="410"/>
      <c r="Q189" s="410"/>
      <c r="R189" s="416"/>
      <c r="S189" s="710"/>
      <c r="T189" s="167"/>
      <c r="U189" s="167"/>
      <c r="V189" s="167"/>
      <c r="W189" s="415"/>
      <c r="X189" s="411"/>
      <c r="Y189" s="411"/>
      <c r="Z189" s="411"/>
      <c r="AA189" s="433"/>
      <c r="AB189" s="419"/>
      <c r="AC189" s="401"/>
      <c r="AD189" s="409"/>
      <c r="AE189" s="420"/>
      <c r="AF189" s="455"/>
      <c r="AG189" s="823"/>
      <c r="AH189" s="731"/>
      <c r="AI189" s="731"/>
      <c r="AJ189" s="731"/>
      <c r="AK189" s="731"/>
      <c r="AL189" s="731"/>
      <c r="AM189" s="731"/>
      <c r="AN189" s="731"/>
      <c r="AO189" s="731"/>
      <c r="AP189" s="731"/>
      <c r="AQ189" s="731"/>
      <c r="AR189" s="731"/>
      <c r="AS189" s="731"/>
      <c r="AT189" s="731"/>
      <c r="AU189" s="731"/>
      <c r="AV189" s="731"/>
      <c r="AW189" s="731"/>
      <c r="AX189" s="731"/>
      <c r="AY189" s="427"/>
    </row>
    <row r="190" spans="1:51" ht="18" hidden="1" customHeight="1" x14ac:dyDescent="0.25">
      <c r="A190" s="829"/>
      <c r="B190" s="710"/>
      <c r="C190" s="818" t="s">
        <v>646</v>
      </c>
      <c r="D190" s="413" t="s">
        <v>340</v>
      </c>
      <c r="E190" s="179"/>
      <c r="F190" s="180"/>
      <c r="G190" s="174"/>
      <c r="H190" s="174"/>
      <c r="I190" s="174"/>
      <c r="J190" s="410"/>
      <c r="K190" s="409"/>
      <c r="L190" s="410"/>
      <c r="M190" s="410"/>
      <c r="N190" s="410"/>
      <c r="O190" s="410"/>
      <c r="P190" s="410"/>
      <c r="Q190" s="410"/>
      <c r="R190" s="416"/>
      <c r="S190" s="710"/>
      <c r="T190" s="167"/>
      <c r="U190" s="167"/>
      <c r="V190" s="167"/>
      <c r="W190" s="415"/>
      <c r="X190" s="411"/>
      <c r="Y190" s="411"/>
      <c r="Z190" s="411"/>
      <c r="AA190" s="433"/>
      <c r="AB190" s="419"/>
      <c r="AC190" s="401"/>
      <c r="AD190" s="409"/>
      <c r="AE190" s="420"/>
      <c r="AF190" s="455"/>
      <c r="AG190" s="913" t="s">
        <v>646</v>
      </c>
      <c r="AH190" s="813" t="s">
        <v>633</v>
      </c>
      <c r="AI190" s="813" t="s">
        <v>633</v>
      </c>
      <c r="AJ190" s="813" t="s">
        <v>633</v>
      </c>
      <c r="AK190" s="813" t="s">
        <v>457</v>
      </c>
      <c r="AL190" s="813" t="s">
        <v>178</v>
      </c>
      <c r="AM190" s="813" t="s">
        <v>1136</v>
      </c>
      <c r="AN190" s="909">
        <v>186383</v>
      </c>
      <c r="AO190" s="910">
        <v>86612</v>
      </c>
      <c r="AP190" s="910">
        <v>92493</v>
      </c>
      <c r="AQ190" s="911" t="s">
        <v>459</v>
      </c>
      <c r="AR190" s="911" t="s">
        <v>459</v>
      </c>
      <c r="AS190" s="911" t="s">
        <v>459</v>
      </c>
      <c r="AT190" s="911" t="s">
        <v>459</v>
      </c>
      <c r="AU190" s="915" t="s">
        <v>459</v>
      </c>
      <c r="AV190" s="915" t="s">
        <v>459</v>
      </c>
      <c r="AW190" s="915" t="s">
        <v>459</v>
      </c>
      <c r="AX190" s="910">
        <v>186383</v>
      </c>
      <c r="AY190" s="427"/>
    </row>
    <row r="191" spans="1:51" ht="18.75" hidden="1" customHeight="1" x14ac:dyDescent="0.25">
      <c r="A191" s="829"/>
      <c r="B191" s="710"/>
      <c r="C191" s="710"/>
      <c r="D191" s="404" t="s">
        <v>343</v>
      </c>
      <c r="E191" s="179"/>
      <c r="F191" s="180"/>
      <c r="G191" s="174"/>
      <c r="H191" s="174"/>
      <c r="I191" s="174"/>
      <c r="J191" s="410"/>
      <c r="K191" s="409"/>
      <c r="L191" s="410"/>
      <c r="M191" s="410"/>
      <c r="N191" s="410"/>
      <c r="O191" s="410"/>
      <c r="P191" s="410"/>
      <c r="Q191" s="410"/>
      <c r="R191" s="416"/>
      <c r="S191" s="710"/>
      <c r="T191" s="167"/>
      <c r="U191" s="167"/>
      <c r="V191" s="167"/>
      <c r="W191" s="415"/>
      <c r="X191" s="411"/>
      <c r="Y191" s="411"/>
      <c r="Z191" s="411"/>
      <c r="AA191" s="433"/>
      <c r="AB191" s="419"/>
      <c r="AC191" s="401"/>
      <c r="AD191" s="409"/>
      <c r="AE191" s="420"/>
      <c r="AF191" s="455"/>
      <c r="AG191" s="829"/>
      <c r="AH191" s="710"/>
      <c r="AI191" s="710"/>
      <c r="AJ191" s="710"/>
      <c r="AK191" s="710"/>
      <c r="AL191" s="710"/>
      <c r="AM191" s="710"/>
      <c r="AN191" s="710"/>
      <c r="AO191" s="710"/>
      <c r="AP191" s="710"/>
      <c r="AQ191" s="710"/>
      <c r="AR191" s="710"/>
      <c r="AS191" s="710"/>
      <c r="AT191" s="710"/>
      <c r="AU191" s="710"/>
      <c r="AV191" s="710"/>
      <c r="AW191" s="710"/>
      <c r="AX191" s="710"/>
      <c r="AY191" s="427"/>
    </row>
    <row r="192" spans="1:51" ht="18" hidden="1" customHeight="1" x14ac:dyDescent="0.25">
      <c r="A192" s="829"/>
      <c r="B192" s="710"/>
      <c r="C192" s="710"/>
      <c r="D192" s="408" t="s">
        <v>345</v>
      </c>
      <c r="E192" s="179"/>
      <c r="F192" s="180"/>
      <c r="G192" s="174"/>
      <c r="H192" s="174"/>
      <c r="I192" s="174"/>
      <c r="J192" s="410"/>
      <c r="K192" s="409"/>
      <c r="L192" s="410"/>
      <c r="M192" s="410"/>
      <c r="N192" s="410"/>
      <c r="O192" s="410"/>
      <c r="P192" s="410"/>
      <c r="Q192" s="410"/>
      <c r="R192" s="416"/>
      <c r="S192" s="710"/>
      <c r="T192" s="167"/>
      <c r="U192" s="167"/>
      <c r="V192" s="167"/>
      <c r="W192" s="415"/>
      <c r="X192" s="411"/>
      <c r="Y192" s="411"/>
      <c r="Z192" s="411"/>
      <c r="AA192" s="433"/>
      <c r="AB192" s="419"/>
      <c r="AC192" s="401"/>
      <c r="AD192" s="409"/>
      <c r="AE192" s="420"/>
      <c r="AF192" s="455"/>
      <c r="AG192" s="829"/>
      <c r="AH192" s="710"/>
      <c r="AI192" s="710"/>
      <c r="AJ192" s="710"/>
      <c r="AK192" s="710"/>
      <c r="AL192" s="710"/>
      <c r="AM192" s="710"/>
      <c r="AN192" s="710"/>
      <c r="AO192" s="710"/>
      <c r="AP192" s="710"/>
      <c r="AQ192" s="710"/>
      <c r="AR192" s="710"/>
      <c r="AS192" s="710"/>
      <c r="AT192" s="710"/>
      <c r="AU192" s="710"/>
      <c r="AV192" s="710"/>
      <c r="AW192" s="710"/>
      <c r="AX192" s="710"/>
      <c r="AY192" s="427"/>
    </row>
    <row r="193" spans="1:51" ht="27.75" hidden="1" customHeight="1" x14ac:dyDescent="0.25">
      <c r="A193" s="829"/>
      <c r="B193" s="710"/>
      <c r="C193" s="710"/>
      <c r="D193" s="404" t="s">
        <v>346</v>
      </c>
      <c r="E193" s="179"/>
      <c r="F193" s="180"/>
      <c r="G193" s="174"/>
      <c r="H193" s="174"/>
      <c r="I193" s="174"/>
      <c r="J193" s="410"/>
      <c r="K193" s="409"/>
      <c r="L193" s="410"/>
      <c r="M193" s="410"/>
      <c r="N193" s="410"/>
      <c r="O193" s="410"/>
      <c r="P193" s="410"/>
      <c r="Q193" s="410"/>
      <c r="R193" s="416"/>
      <c r="S193" s="710"/>
      <c r="T193" s="167"/>
      <c r="U193" s="167"/>
      <c r="V193" s="167"/>
      <c r="W193" s="415"/>
      <c r="X193" s="411"/>
      <c r="Y193" s="411"/>
      <c r="Z193" s="411"/>
      <c r="AA193" s="433"/>
      <c r="AB193" s="419"/>
      <c r="AC193" s="401"/>
      <c r="AD193" s="409"/>
      <c r="AE193" s="420"/>
      <c r="AF193" s="455"/>
      <c r="AG193" s="829"/>
      <c r="AH193" s="710"/>
      <c r="AI193" s="710"/>
      <c r="AJ193" s="710"/>
      <c r="AK193" s="710"/>
      <c r="AL193" s="710"/>
      <c r="AM193" s="710"/>
      <c r="AN193" s="710"/>
      <c r="AO193" s="710"/>
      <c r="AP193" s="710"/>
      <c r="AQ193" s="710"/>
      <c r="AR193" s="710"/>
      <c r="AS193" s="710"/>
      <c r="AT193" s="710"/>
      <c r="AU193" s="710"/>
      <c r="AV193" s="710"/>
      <c r="AW193" s="710"/>
      <c r="AX193" s="710"/>
      <c r="AY193" s="427"/>
    </row>
    <row r="194" spans="1:51" ht="27.75" hidden="1" customHeight="1" x14ac:dyDescent="0.25">
      <c r="A194" s="829"/>
      <c r="B194" s="710"/>
      <c r="C194" s="710"/>
      <c r="D194" s="408" t="s">
        <v>347</v>
      </c>
      <c r="E194" s="179"/>
      <c r="F194" s="180"/>
      <c r="G194" s="174"/>
      <c r="H194" s="174"/>
      <c r="I194" s="174"/>
      <c r="J194" s="410"/>
      <c r="K194" s="409"/>
      <c r="L194" s="410"/>
      <c r="M194" s="410"/>
      <c r="N194" s="410"/>
      <c r="O194" s="410"/>
      <c r="P194" s="410"/>
      <c r="Q194" s="410"/>
      <c r="R194" s="416"/>
      <c r="S194" s="710"/>
      <c r="T194" s="167"/>
      <c r="U194" s="167"/>
      <c r="V194" s="167"/>
      <c r="W194" s="415"/>
      <c r="X194" s="411"/>
      <c r="Y194" s="411"/>
      <c r="Z194" s="411"/>
      <c r="AA194" s="433"/>
      <c r="AB194" s="419"/>
      <c r="AC194" s="401"/>
      <c r="AD194" s="409"/>
      <c r="AE194" s="420"/>
      <c r="AF194" s="455"/>
      <c r="AG194" s="829"/>
      <c r="AH194" s="710"/>
      <c r="AI194" s="710"/>
      <c r="AJ194" s="710"/>
      <c r="AK194" s="710"/>
      <c r="AL194" s="710"/>
      <c r="AM194" s="710"/>
      <c r="AN194" s="710"/>
      <c r="AO194" s="710"/>
      <c r="AP194" s="710"/>
      <c r="AQ194" s="710"/>
      <c r="AR194" s="710"/>
      <c r="AS194" s="710"/>
      <c r="AT194" s="710"/>
      <c r="AU194" s="710"/>
      <c r="AV194" s="710"/>
      <c r="AW194" s="710"/>
      <c r="AX194" s="710"/>
      <c r="AY194" s="427"/>
    </row>
    <row r="195" spans="1:51" ht="27.75" hidden="1" customHeight="1" x14ac:dyDescent="0.25">
      <c r="A195" s="829"/>
      <c r="B195" s="710"/>
      <c r="C195" s="731"/>
      <c r="D195" s="412" t="s">
        <v>348</v>
      </c>
      <c r="E195" s="179"/>
      <c r="F195" s="180"/>
      <c r="G195" s="174"/>
      <c r="H195" s="174"/>
      <c r="I195" s="174"/>
      <c r="J195" s="410"/>
      <c r="K195" s="409"/>
      <c r="L195" s="410"/>
      <c r="M195" s="410"/>
      <c r="N195" s="410"/>
      <c r="O195" s="410"/>
      <c r="P195" s="410"/>
      <c r="Q195" s="410"/>
      <c r="R195" s="416"/>
      <c r="S195" s="710"/>
      <c r="T195" s="167"/>
      <c r="U195" s="167"/>
      <c r="V195" s="167"/>
      <c r="W195" s="415"/>
      <c r="X195" s="411"/>
      <c r="Y195" s="411"/>
      <c r="Z195" s="411"/>
      <c r="AA195" s="433"/>
      <c r="AB195" s="419"/>
      <c r="AC195" s="401"/>
      <c r="AD195" s="409"/>
      <c r="AE195" s="420"/>
      <c r="AF195" s="455"/>
      <c r="AG195" s="823"/>
      <c r="AH195" s="731"/>
      <c r="AI195" s="731"/>
      <c r="AJ195" s="731"/>
      <c r="AK195" s="731"/>
      <c r="AL195" s="731"/>
      <c r="AM195" s="731"/>
      <c r="AN195" s="731"/>
      <c r="AO195" s="731"/>
      <c r="AP195" s="731"/>
      <c r="AQ195" s="731"/>
      <c r="AR195" s="731"/>
      <c r="AS195" s="731"/>
      <c r="AT195" s="731"/>
      <c r="AU195" s="731"/>
      <c r="AV195" s="731"/>
      <c r="AW195" s="731"/>
      <c r="AX195" s="731"/>
      <c r="AY195" s="427"/>
    </row>
    <row r="196" spans="1:51" ht="18" customHeight="1" x14ac:dyDescent="0.25">
      <c r="A196" s="829"/>
      <c r="B196" s="710"/>
      <c r="C196" s="818" t="s">
        <v>649</v>
      </c>
      <c r="D196" s="413" t="s">
        <v>340</v>
      </c>
      <c r="E196" s="179"/>
      <c r="F196" s="180"/>
      <c r="G196" s="174">
        <v>1</v>
      </c>
      <c r="H196" s="174">
        <v>1</v>
      </c>
      <c r="I196" s="174">
        <v>1</v>
      </c>
      <c r="J196" s="410">
        <v>1</v>
      </c>
      <c r="K196" s="414">
        <v>1</v>
      </c>
      <c r="L196" s="410"/>
      <c r="M196" s="410"/>
      <c r="N196" s="410"/>
      <c r="O196" s="410"/>
      <c r="P196" s="410"/>
      <c r="Q196" s="410"/>
      <c r="R196" s="416">
        <v>1</v>
      </c>
      <c r="S196" s="710"/>
      <c r="T196" s="167">
        <v>1</v>
      </c>
      <c r="U196" s="167">
        <v>1</v>
      </c>
      <c r="V196" s="167">
        <v>1</v>
      </c>
      <c r="W196" s="415">
        <v>1</v>
      </c>
      <c r="X196" s="418">
        <v>1</v>
      </c>
      <c r="Y196" s="411"/>
      <c r="Z196" s="411"/>
      <c r="AA196" s="433"/>
      <c r="AB196" s="419"/>
      <c r="AC196" s="401"/>
      <c r="AD196" s="409"/>
      <c r="AE196" s="420">
        <v>1</v>
      </c>
      <c r="AF196" s="926" t="s">
        <v>1227</v>
      </c>
      <c r="AG196" s="913" t="s">
        <v>649</v>
      </c>
      <c r="AH196" s="813" t="s">
        <v>1172</v>
      </c>
      <c r="AI196" s="813" t="s">
        <v>1228</v>
      </c>
      <c r="AJ196" s="914" t="s">
        <v>1217</v>
      </c>
      <c r="AK196" s="813" t="s">
        <v>457</v>
      </c>
      <c r="AL196" s="813" t="s">
        <v>178</v>
      </c>
      <c r="AM196" s="813" t="s">
        <v>1136</v>
      </c>
      <c r="AN196" s="909">
        <v>735606</v>
      </c>
      <c r="AO196" s="910">
        <v>354354</v>
      </c>
      <c r="AP196" s="910">
        <v>381252</v>
      </c>
      <c r="AQ196" s="911" t="s">
        <v>459</v>
      </c>
      <c r="AR196" s="911" t="s">
        <v>459</v>
      </c>
      <c r="AS196" s="911" t="s">
        <v>459</v>
      </c>
      <c r="AT196" s="911" t="s">
        <v>459</v>
      </c>
      <c r="AU196" s="915" t="s">
        <v>459</v>
      </c>
      <c r="AV196" s="915" t="s">
        <v>459</v>
      </c>
      <c r="AW196" s="915" t="s">
        <v>459</v>
      </c>
      <c r="AX196" s="910">
        <v>270280</v>
      </c>
      <c r="AY196" s="427"/>
    </row>
    <row r="197" spans="1:51" ht="18.75" customHeight="1" x14ac:dyDescent="0.25">
      <c r="A197" s="829"/>
      <c r="B197" s="710"/>
      <c r="C197" s="710"/>
      <c r="D197" s="404" t="s">
        <v>343</v>
      </c>
      <c r="E197" s="179"/>
      <c r="F197" s="180"/>
      <c r="G197" s="174">
        <f>+G196*$G$155/$G$154</f>
        <v>2573116.8831168832</v>
      </c>
      <c r="H197" s="174">
        <f>+H196*$H$155/$H$154</f>
        <v>2573116.8831168832</v>
      </c>
      <c r="I197" s="174" t="e">
        <f>+I196*$I$155/$I$154</f>
        <v>#REF!</v>
      </c>
      <c r="J197" s="410" t="e">
        <f>+J196*$J$155/$J$154</f>
        <v>#REF!</v>
      </c>
      <c r="K197" s="409"/>
      <c r="L197" s="410"/>
      <c r="M197" s="410"/>
      <c r="N197" s="410"/>
      <c r="O197" s="410"/>
      <c r="P197" s="410"/>
      <c r="Q197" s="410"/>
      <c r="R197" s="410" t="e">
        <f>+R196*$R$155/$R$154</f>
        <v>#VALUE!</v>
      </c>
      <c r="S197" s="710"/>
      <c r="T197" s="174">
        <f>+T196*$T$155/$T$154</f>
        <v>0</v>
      </c>
      <c r="U197" s="174">
        <f>+U196*$U$155/$U$154</f>
        <v>11790000</v>
      </c>
      <c r="V197" s="174" t="e">
        <f>+V196*$V$155/$V$154</f>
        <v>#REF!</v>
      </c>
      <c r="W197" s="410" t="e">
        <f>+W196*$W$155/$W$154</f>
        <v>#REF!</v>
      </c>
      <c r="X197" s="411"/>
      <c r="Y197" s="411"/>
      <c r="Z197" s="411"/>
      <c r="AA197" s="433"/>
      <c r="AB197" s="419"/>
      <c r="AC197" s="401"/>
      <c r="AD197" s="409"/>
      <c r="AE197" s="409" t="e">
        <f>+AE196*$AE$155/$AE$154</f>
        <v>#VALUE!</v>
      </c>
      <c r="AF197" s="710"/>
      <c r="AG197" s="829"/>
      <c r="AH197" s="710"/>
      <c r="AI197" s="710"/>
      <c r="AJ197" s="710"/>
      <c r="AK197" s="710"/>
      <c r="AL197" s="710"/>
      <c r="AM197" s="710"/>
      <c r="AN197" s="710"/>
      <c r="AO197" s="710"/>
      <c r="AP197" s="710"/>
      <c r="AQ197" s="710"/>
      <c r="AR197" s="710"/>
      <c r="AS197" s="710"/>
      <c r="AT197" s="710"/>
      <c r="AU197" s="710"/>
      <c r="AV197" s="710"/>
      <c r="AW197" s="710"/>
      <c r="AX197" s="710"/>
      <c r="AY197" s="427"/>
    </row>
    <row r="198" spans="1:51" ht="27.75" customHeight="1" x14ac:dyDescent="0.25">
      <c r="A198" s="829"/>
      <c r="B198" s="710"/>
      <c r="C198" s="710"/>
      <c r="D198" s="408" t="s">
        <v>345</v>
      </c>
      <c r="E198" s="179"/>
      <c r="F198" s="180"/>
      <c r="G198" s="174"/>
      <c r="H198" s="174"/>
      <c r="I198" s="174"/>
      <c r="J198" s="410"/>
      <c r="K198" s="409"/>
      <c r="L198" s="410"/>
      <c r="M198" s="410"/>
      <c r="N198" s="410"/>
      <c r="O198" s="410"/>
      <c r="P198" s="410"/>
      <c r="Q198" s="410"/>
      <c r="R198" s="416"/>
      <c r="S198" s="710"/>
      <c r="T198" s="167"/>
      <c r="U198" s="167"/>
      <c r="V198" s="167"/>
      <c r="W198" s="415"/>
      <c r="X198" s="411"/>
      <c r="Y198" s="411"/>
      <c r="Z198" s="411"/>
      <c r="AA198" s="433"/>
      <c r="AB198" s="419"/>
      <c r="AC198" s="401"/>
      <c r="AD198" s="409"/>
      <c r="AE198" s="420"/>
      <c r="AF198" s="710"/>
      <c r="AG198" s="829"/>
      <c r="AH198" s="710"/>
      <c r="AI198" s="710"/>
      <c r="AJ198" s="710"/>
      <c r="AK198" s="710"/>
      <c r="AL198" s="710"/>
      <c r="AM198" s="710"/>
      <c r="AN198" s="710"/>
      <c r="AO198" s="710"/>
      <c r="AP198" s="710"/>
      <c r="AQ198" s="710"/>
      <c r="AR198" s="710"/>
      <c r="AS198" s="710"/>
      <c r="AT198" s="710"/>
      <c r="AU198" s="710"/>
      <c r="AV198" s="710"/>
      <c r="AW198" s="710"/>
      <c r="AX198" s="710"/>
      <c r="AY198" s="427"/>
    </row>
    <row r="199" spans="1:51" ht="27.75" customHeight="1" x14ac:dyDescent="0.25">
      <c r="A199" s="829"/>
      <c r="B199" s="710"/>
      <c r="C199" s="710"/>
      <c r="D199" s="404" t="s">
        <v>346</v>
      </c>
      <c r="E199" s="179"/>
      <c r="F199" s="180"/>
      <c r="G199" s="174"/>
      <c r="H199" s="174"/>
      <c r="I199" s="174"/>
      <c r="J199" s="410"/>
      <c r="K199" s="409"/>
      <c r="L199" s="410"/>
      <c r="M199" s="410"/>
      <c r="N199" s="410"/>
      <c r="O199" s="410"/>
      <c r="P199" s="410"/>
      <c r="Q199" s="410"/>
      <c r="R199" s="416"/>
      <c r="S199" s="710"/>
      <c r="T199" s="167"/>
      <c r="U199" s="453">
        <f>+$U$157/8</f>
        <v>2428417.875</v>
      </c>
      <c r="V199" s="167"/>
      <c r="W199" s="415"/>
      <c r="X199" s="411"/>
      <c r="Y199" s="411"/>
      <c r="Z199" s="411"/>
      <c r="AA199" s="433"/>
      <c r="AB199" s="419"/>
      <c r="AC199" s="401"/>
      <c r="AD199" s="409"/>
      <c r="AE199" s="420"/>
      <c r="AF199" s="710"/>
      <c r="AG199" s="829"/>
      <c r="AH199" s="710"/>
      <c r="AI199" s="710"/>
      <c r="AJ199" s="710"/>
      <c r="AK199" s="710"/>
      <c r="AL199" s="710"/>
      <c r="AM199" s="710"/>
      <c r="AN199" s="710"/>
      <c r="AO199" s="710"/>
      <c r="AP199" s="710"/>
      <c r="AQ199" s="710"/>
      <c r="AR199" s="710"/>
      <c r="AS199" s="710"/>
      <c r="AT199" s="710"/>
      <c r="AU199" s="710"/>
      <c r="AV199" s="710"/>
      <c r="AW199" s="710"/>
      <c r="AX199" s="710"/>
      <c r="AY199" s="427"/>
    </row>
    <row r="200" spans="1:51" ht="27.75" customHeight="1" x14ac:dyDescent="0.25">
      <c r="A200" s="829"/>
      <c r="B200" s="710"/>
      <c r="C200" s="710"/>
      <c r="D200" s="408" t="s">
        <v>347</v>
      </c>
      <c r="E200" s="179"/>
      <c r="F200" s="180"/>
      <c r="G200" s="174">
        <v>1</v>
      </c>
      <c r="H200" s="174">
        <v>1</v>
      </c>
      <c r="I200" s="174">
        <v>1</v>
      </c>
      <c r="J200" s="410">
        <v>1</v>
      </c>
      <c r="K200" s="409"/>
      <c r="L200" s="410"/>
      <c r="M200" s="410"/>
      <c r="N200" s="410"/>
      <c r="O200" s="410"/>
      <c r="P200" s="410"/>
      <c r="Q200" s="410"/>
      <c r="R200" s="416">
        <v>1</v>
      </c>
      <c r="S200" s="710"/>
      <c r="T200" s="167">
        <v>1</v>
      </c>
      <c r="U200" s="167">
        <v>1</v>
      </c>
      <c r="V200" s="167">
        <v>1</v>
      </c>
      <c r="W200" s="415">
        <v>1</v>
      </c>
      <c r="X200" s="411"/>
      <c r="Y200" s="411"/>
      <c r="Z200" s="411"/>
      <c r="AA200" s="433"/>
      <c r="AB200" s="419"/>
      <c r="AC200" s="401"/>
      <c r="AD200" s="409"/>
      <c r="AE200" s="420">
        <v>1</v>
      </c>
      <c r="AF200" s="710"/>
      <c r="AG200" s="829"/>
      <c r="AH200" s="710"/>
      <c r="AI200" s="710"/>
      <c r="AJ200" s="710"/>
      <c r="AK200" s="710"/>
      <c r="AL200" s="710"/>
      <c r="AM200" s="710"/>
      <c r="AN200" s="710"/>
      <c r="AO200" s="710"/>
      <c r="AP200" s="710"/>
      <c r="AQ200" s="710"/>
      <c r="AR200" s="710"/>
      <c r="AS200" s="710"/>
      <c r="AT200" s="710"/>
      <c r="AU200" s="710"/>
      <c r="AV200" s="710"/>
      <c r="AW200" s="710"/>
      <c r="AX200" s="710"/>
      <c r="AY200" s="427"/>
    </row>
    <row r="201" spans="1:51" ht="27.75" customHeight="1" x14ac:dyDescent="0.25">
      <c r="A201" s="829"/>
      <c r="B201" s="710"/>
      <c r="C201" s="731"/>
      <c r="D201" s="412" t="s">
        <v>348</v>
      </c>
      <c r="E201" s="179"/>
      <c r="F201" s="180"/>
      <c r="G201" s="174"/>
      <c r="H201" s="174">
        <f>+H200*$H$155/$H$154</f>
        <v>2573116.8831168832</v>
      </c>
      <c r="I201" s="174" t="e">
        <f>+I200*$I$155/$I$154</f>
        <v>#REF!</v>
      </c>
      <c r="J201" s="410" t="e">
        <f>+J200*$J$155/$J$154</f>
        <v>#REF!</v>
      </c>
      <c r="K201" s="409"/>
      <c r="L201" s="410"/>
      <c r="M201" s="410"/>
      <c r="N201" s="410"/>
      <c r="O201" s="410"/>
      <c r="P201" s="410"/>
      <c r="Q201" s="410"/>
      <c r="R201" s="410" t="e">
        <f>+R200*$R$155/$R$154</f>
        <v>#VALUE!</v>
      </c>
      <c r="S201" s="710"/>
      <c r="T201" s="174">
        <f>+T200*$T$155/$T$154</f>
        <v>0</v>
      </c>
      <c r="U201" s="174">
        <f>+U200*$U$155/$U$154</f>
        <v>11790000</v>
      </c>
      <c r="V201" s="174" t="e">
        <f>+V200*$V$155/$V$154</f>
        <v>#REF!</v>
      </c>
      <c r="W201" s="410" t="e">
        <f>+W200*$W$155/$W$154</f>
        <v>#REF!</v>
      </c>
      <c r="X201" s="411"/>
      <c r="Y201" s="411"/>
      <c r="Z201" s="411"/>
      <c r="AA201" s="433"/>
      <c r="AB201" s="419"/>
      <c r="AC201" s="401"/>
      <c r="AD201" s="409"/>
      <c r="AE201" s="409" t="e">
        <f>+AE200*$AE$155/$AE$154</f>
        <v>#VALUE!</v>
      </c>
      <c r="AF201" s="731"/>
      <c r="AG201" s="823"/>
      <c r="AH201" s="731"/>
      <c r="AI201" s="731"/>
      <c r="AJ201" s="731"/>
      <c r="AK201" s="731"/>
      <c r="AL201" s="731"/>
      <c r="AM201" s="731"/>
      <c r="AN201" s="731"/>
      <c r="AO201" s="731"/>
      <c r="AP201" s="731"/>
      <c r="AQ201" s="731"/>
      <c r="AR201" s="731"/>
      <c r="AS201" s="731"/>
      <c r="AT201" s="731"/>
      <c r="AU201" s="731"/>
      <c r="AV201" s="731"/>
      <c r="AW201" s="731"/>
      <c r="AX201" s="731"/>
      <c r="AY201" s="427"/>
    </row>
    <row r="202" spans="1:51" ht="18" customHeight="1" x14ac:dyDescent="0.25">
      <c r="A202" s="829"/>
      <c r="B202" s="710"/>
      <c r="C202" s="818" t="s">
        <v>526</v>
      </c>
      <c r="D202" s="413" t="s">
        <v>340</v>
      </c>
      <c r="E202" s="179"/>
      <c r="F202" s="180"/>
      <c r="G202" s="174"/>
      <c r="H202" s="174"/>
      <c r="I202" s="174">
        <v>1</v>
      </c>
      <c r="J202" s="410">
        <v>1</v>
      </c>
      <c r="K202" s="414">
        <v>1</v>
      </c>
      <c r="L202" s="410"/>
      <c r="M202" s="410"/>
      <c r="N202" s="410"/>
      <c r="O202" s="410"/>
      <c r="P202" s="410"/>
      <c r="Q202" s="410"/>
      <c r="R202" s="416">
        <v>3</v>
      </c>
      <c r="S202" s="710"/>
      <c r="T202" s="167"/>
      <c r="U202" s="167"/>
      <c r="V202" s="167">
        <v>1</v>
      </c>
      <c r="W202" s="415">
        <v>1</v>
      </c>
      <c r="X202" s="418">
        <v>1</v>
      </c>
      <c r="Y202" s="411"/>
      <c r="Z202" s="411"/>
      <c r="AA202" s="433"/>
      <c r="AB202" s="419"/>
      <c r="AC202" s="401"/>
      <c r="AD202" s="409"/>
      <c r="AE202" s="420">
        <v>3</v>
      </c>
      <c r="AF202" s="924" t="s">
        <v>1229</v>
      </c>
      <c r="AG202" s="913" t="s">
        <v>526</v>
      </c>
      <c r="AH202" s="813" t="s">
        <v>1230</v>
      </c>
      <c r="AI202" s="813" t="s">
        <v>1231</v>
      </c>
      <c r="AJ202" s="914" t="s">
        <v>1217</v>
      </c>
      <c r="AK202" s="813" t="s">
        <v>457</v>
      </c>
      <c r="AL202" s="813" t="s">
        <v>178</v>
      </c>
      <c r="AM202" s="813" t="s">
        <v>1136</v>
      </c>
      <c r="AN202" s="909">
        <v>1230539</v>
      </c>
      <c r="AO202" s="910">
        <v>511137</v>
      </c>
      <c r="AP202" s="910">
        <v>556761</v>
      </c>
      <c r="AQ202" s="911" t="s">
        <v>459</v>
      </c>
      <c r="AR202" s="911" t="s">
        <v>459</v>
      </c>
      <c r="AS202" s="911" t="s">
        <v>459</v>
      </c>
      <c r="AT202" s="911" t="s">
        <v>459</v>
      </c>
      <c r="AU202" s="915" t="s">
        <v>459</v>
      </c>
      <c r="AV202" s="915" t="s">
        <v>459</v>
      </c>
      <c r="AW202" s="915" t="s">
        <v>459</v>
      </c>
      <c r="AX202" s="910">
        <v>1230539</v>
      </c>
      <c r="AY202" s="427"/>
    </row>
    <row r="203" spans="1:51" ht="18.75" customHeight="1" x14ac:dyDescent="0.25">
      <c r="A203" s="829"/>
      <c r="B203" s="710"/>
      <c r="C203" s="710"/>
      <c r="D203" s="404" t="s">
        <v>343</v>
      </c>
      <c r="E203" s="179"/>
      <c r="F203" s="180"/>
      <c r="G203" s="174"/>
      <c r="H203" s="174"/>
      <c r="I203" s="174" t="e">
        <f>+I202*$I$155/$I$154</f>
        <v>#REF!</v>
      </c>
      <c r="J203" s="410" t="e">
        <f>+J202*$J$155/$J$154</f>
        <v>#REF!</v>
      </c>
      <c r="K203" s="409"/>
      <c r="L203" s="410"/>
      <c r="M203" s="410"/>
      <c r="N203" s="410"/>
      <c r="O203" s="410"/>
      <c r="P203" s="410"/>
      <c r="Q203" s="410"/>
      <c r="R203" s="410" t="e">
        <f>+R202*$R$155/$R$154</f>
        <v>#VALUE!</v>
      </c>
      <c r="S203" s="710"/>
      <c r="T203" s="167"/>
      <c r="U203" s="167"/>
      <c r="V203" s="174" t="e">
        <f>+V202*$V$155/$V$154</f>
        <v>#REF!</v>
      </c>
      <c r="W203" s="410" t="e">
        <f>+W202*$W$155/$W$154</f>
        <v>#REF!</v>
      </c>
      <c r="X203" s="411"/>
      <c r="Y203" s="411"/>
      <c r="Z203" s="411"/>
      <c r="AA203" s="433"/>
      <c r="AB203" s="419"/>
      <c r="AC203" s="401"/>
      <c r="AD203" s="409"/>
      <c r="AE203" s="409" t="e">
        <f>+AE202*$AE$155/$AE$154</f>
        <v>#VALUE!</v>
      </c>
      <c r="AF203" s="713"/>
      <c r="AG203" s="829"/>
      <c r="AH203" s="710"/>
      <c r="AI203" s="710"/>
      <c r="AJ203" s="710"/>
      <c r="AK203" s="710"/>
      <c r="AL203" s="710"/>
      <c r="AM203" s="710"/>
      <c r="AN203" s="710"/>
      <c r="AO203" s="710"/>
      <c r="AP203" s="710"/>
      <c r="AQ203" s="710"/>
      <c r="AR203" s="710"/>
      <c r="AS203" s="710"/>
      <c r="AT203" s="710"/>
      <c r="AU203" s="710"/>
      <c r="AV203" s="710"/>
      <c r="AW203" s="710"/>
      <c r="AX203" s="710"/>
      <c r="AY203" s="427"/>
    </row>
    <row r="204" spans="1:51" ht="27.75" customHeight="1" x14ac:dyDescent="0.25">
      <c r="A204" s="829"/>
      <c r="B204" s="710"/>
      <c r="C204" s="710"/>
      <c r="D204" s="408" t="s">
        <v>345</v>
      </c>
      <c r="E204" s="179"/>
      <c r="F204" s="180"/>
      <c r="G204" s="174"/>
      <c r="H204" s="174"/>
      <c r="I204" s="174"/>
      <c r="J204" s="410"/>
      <c r="K204" s="409"/>
      <c r="L204" s="410"/>
      <c r="M204" s="410"/>
      <c r="N204" s="410"/>
      <c r="O204" s="410"/>
      <c r="P204" s="410"/>
      <c r="Q204" s="410"/>
      <c r="R204" s="416"/>
      <c r="S204" s="710"/>
      <c r="T204" s="167"/>
      <c r="U204" s="167"/>
      <c r="V204" s="167"/>
      <c r="W204" s="415"/>
      <c r="X204" s="411"/>
      <c r="Y204" s="411"/>
      <c r="Z204" s="411"/>
      <c r="AA204" s="433"/>
      <c r="AB204" s="419"/>
      <c r="AC204" s="401"/>
      <c r="AD204" s="409"/>
      <c r="AE204" s="420"/>
      <c r="AF204" s="713"/>
      <c r="AG204" s="829"/>
      <c r="AH204" s="710"/>
      <c r="AI204" s="710"/>
      <c r="AJ204" s="710"/>
      <c r="AK204" s="710"/>
      <c r="AL204" s="710"/>
      <c r="AM204" s="710"/>
      <c r="AN204" s="710"/>
      <c r="AO204" s="710"/>
      <c r="AP204" s="710"/>
      <c r="AQ204" s="710"/>
      <c r="AR204" s="710"/>
      <c r="AS204" s="710"/>
      <c r="AT204" s="710"/>
      <c r="AU204" s="710"/>
      <c r="AV204" s="710"/>
      <c r="AW204" s="710"/>
      <c r="AX204" s="710"/>
      <c r="AY204" s="427"/>
    </row>
    <row r="205" spans="1:51" ht="27.75" customHeight="1" x14ac:dyDescent="0.25">
      <c r="A205" s="829"/>
      <c r="B205" s="710"/>
      <c r="C205" s="710"/>
      <c r="D205" s="404" t="s">
        <v>346</v>
      </c>
      <c r="E205" s="179"/>
      <c r="F205" s="180"/>
      <c r="G205" s="174"/>
      <c r="H205" s="174"/>
      <c r="I205" s="174"/>
      <c r="J205" s="410"/>
      <c r="K205" s="409"/>
      <c r="L205" s="410"/>
      <c r="M205" s="410"/>
      <c r="N205" s="410"/>
      <c r="O205" s="410"/>
      <c r="P205" s="410"/>
      <c r="Q205" s="410"/>
      <c r="R205" s="416"/>
      <c r="S205" s="710"/>
      <c r="T205" s="167"/>
      <c r="U205" s="167"/>
      <c r="V205" s="167"/>
      <c r="W205" s="415"/>
      <c r="X205" s="411"/>
      <c r="Y205" s="411"/>
      <c r="Z205" s="411"/>
      <c r="AA205" s="433"/>
      <c r="AB205" s="419"/>
      <c r="AC205" s="401"/>
      <c r="AD205" s="409"/>
      <c r="AE205" s="420"/>
      <c r="AF205" s="713"/>
      <c r="AG205" s="829"/>
      <c r="AH205" s="710"/>
      <c r="AI205" s="710"/>
      <c r="AJ205" s="710"/>
      <c r="AK205" s="710"/>
      <c r="AL205" s="710"/>
      <c r="AM205" s="710"/>
      <c r="AN205" s="710"/>
      <c r="AO205" s="710"/>
      <c r="AP205" s="710"/>
      <c r="AQ205" s="710"/>
      <c r="AR205" s="710"/>
      <c r="AS205" s="710"/>
      <c r="AT205" s="710"/>
      <c r="AU205" s="710"/>
      <c r="AV205" s="710"/>
      <c r="AW205" s="710"/>
      <c r="AX205" s="710"/>
      <c r="AY205" s="427"/>
    </row>
    <row r="206" spans="1:51" ht="27.75" customHeight="1" x14ac:dyDescent="0.25">
      <c r="A206" s="829"/>
      <c r="B206" s="710"/>
      <c r="C206" s="710"/>
      <c r="D206" s="408" t="s">
        <v>347</v>
      </c>
      <c r="E206" s="179"/>
      <c r="F206" s="180"/>
      <c r="G206" s="174"/>
      <c r="H206" s="174"/>
      <c r="I206" s="174">
        <v>1</v>
      </c>
      <c r="J206" s="410">
        <v>1</v>
      </c>
      <c r="K206" s="409"/>
      <c r="L206" s="410"/>
      <c r="M206" s="410"/>
      <c r="N206" s="410"/>
      <c r="O206" s="410"/>
      <c r="P206" s="410"/>
      <c r="Q206" s="410"/>
      <c r="R206" s="416">
        <v>3</v>
      </c>
      <c r="S206" s="710"/>
      <c r="T206" s="167"/>
      <c r="U206" s="167"/>
      <c r="V206" s="167">
        <v>1</v>
      </c>
      <c r="W206" s="415">
        <v>1</v>
      </c>
      <c r="X206" s="411"/>
      <c r="Y206" s="411"/>
      <c r="Z206" s="411"/>
      <c r="AA206" s="433"/>
      <c r="AB206" s="419"/>
      <c r="AC206" s="401"/>
      <c r="AD206" s="409"/>
      <c r="AE206" s="420">
        <v>3</v>
      </c>
      <c r="AF206" s="713"/>
      <c r="AG206" s="829"/>
      <c r="AH206" s="710"/>
      <c r="AI206" s="710"/>
      <c r="AJ206" s="710"/>
      <c r="AK206" s="710"/>
      <c r="AL206" s="710"/>
      <c r="AM206" s="710"/>
      <c r="AN206" s="710"/>
      <c r="AO206" s="710"/>
      <c r="AP206" s="710"/>
      <c r="AQ206" s="710"/>
      <c r="AR206" s="710"/>
      <c r="AS206" s="710"/>
      <c r="AT206" s="710"/>
      <c r="AU206" s="710"/>
      <c r="AV206" s="710"/>
      <c r="AW206" s="710"/>
      <c r="AX206" s="710"/>
      <c r="AY206" s="427"/>
    </row>
    <row r="207" spans="1:51" ht="27.75" customHeight="1" x14ac:dyDescent="0.25">
      <c r="A207" s="829"/>
      <c r="B207" s="710"/>
      <c r="C207" s="731"/>
      <c r="D207" s="412" t="s">
        <v>348</v>
      </c>
      <c r="E207" s="179"/>
      <c r="F207" s="180"/>
      <c r="G207" s="174"/>
      <c r="H207" s="174"/>
      <c r="I207" s="174" t="e">
        <f>+I206*$I$155/$I$154</f>
        <v>#REF!</v>
      </c>
      <c r="J207" s="410" t="e">
        <f>+J206*$J$155/$J$154</f>
        <v>#REF!</v>
      </c>
      <c r="K207" s="409"/>
      <c r="L207" s="410"/>
      <c r="M207" s="410"/>
      <c r="N207" s="410"/>
      <c r="O207" s="410"/>
      <c r="P207" s="410"/>
      <c r="Q207" s="410"/>
      <c r="R207" s="410" t="e">
        <f>+R206*$R$155/$R$154</f>
        <v>#VALUE!</v>
      </c>
      <c r="S207" s="710"/>
      <c r="T207" s="167"/>
      <c r="U207" s="167"/>
      <c r="V207" s="174" t="e">
        <f>+V206*$V$155/$V$154</f>
        <v>#REF!</v>
      </c>
      <c r="W207" s="410" t="e">
        <f>+W206*$W$155/$W$154</f>
        <v>#REF!</v>
      </c>
      <c r="X207" s="411"/>
      <c r="Y207" s="411"/>
      <c r="Z207" s="411"/>
      <c r="AA207" s="433"/>
      <c r="AB207" s="419"/>
      <c r="AC207" s="401"/>
      <c r="AD207" s="409"/>
      <c r="AE207" s="409" t="e">
        <f>+AE206*$AE$155/$AE$154</f>
        <v>#VALUE!</v>
      </c>
      <c r="AF207" s="830"/>
      <c r="AG207" s="823"/>
      <c r="AH207" s="731"/>
      <c r="AI207" s="731"/>
      <c r="AJ207" s="731"/>
      <c r="AK207" s="731"/>
      <c r="AL207" s="731"/>
      <c r="AM207" s="731"/>
      <c r="AN207" s="731"/>
      <c r="AO207" s="731"/>
      <c r="AP207" s="731"/>
      <c r="AQ207" s="731"/>
      <c r="AR207" s="731"/>
      <c r="AS207" s="731"/>
      <c r="AT207" s="731"/>
      <c r="AU207" s="731"/>
      <c r="AV207" s="731"/>
      <c r="AW207" s="731"/>
      <c r="AX207" s="731"/>
      <c r="AY207" s="427"/>
    </row>
    <row r="208" spans="1:51" ht="18" customHeight="1" x14ac:dyDescent="0.25">
      <c r="A208" s="829"/>
      <c r="B208" s="710"/>
      <c r="C208" s="818" t="s">
        <v>1175</v>
      </c>
      <c r="D208" s="413" t="s">
        <v>340</v>
      </c>
      <c r="E208" s="179"/>
      <c r="F208" s="180"/>
      <c r="G208" s="174"/>
      <c r="H208" s="174">
        <v>3</v>
      </c>
      <c r="I208" s="174">
        <v>4</v>
      </c>
      <c r="J208" s="410">
        <v>5</v>
      </c>
      <c r="K208" s="414">
        <v>5</v>
      </c>
      <c r="L208" s="410"/>
      <c r="M208" s="410"/>
      <c r="N208" s="410"/>
      <c r="O208" s="410">
        <v>1</v>
      </c>
      <c r="P208" s="410">
        <v>1</v>
      </c>
      <c r="Q208" s="410">
        <v>1</v>
      </c>
      <c r="R208" s="416">
        <v>2</v>
      </c>
      <c r="S208" s="710"/>
      <c r="T208" s="167"/>
      <c r="U208" s="167">
        <v>3</v>
      </c>
      <c r="V208" s="167">
        <v>4</v>
      </c>
      <c r="W208" s="415">
        <v>5</v>
      </c>
      <c r="X208" s="418">
        <v>5</v>
      </c>
      <c r="Y208" s="411"/>
      <c r="Z208" s="411"/>
      <c r="AA208" s="433"/>
      <c r="AB208" s="454">
        <v>1</v>
      </c>
      <c r="AC208" s="401">
        <v>1</v>
      </c>
      <c r="AD208" s="409">
        <v>1</v>
      </c>
      <c r="AE208" s="420">
        <v>2</v>
      </c>
      <c r="AF208" s="926" t="s">
        <v>1232</v>
      </c>
      <c r="AG208" s="913" t="s">
        <v>652</v>
      </c>
      <c r="AH208" s="813" t="s">
        <v>1233</v>
      </c>
      <c r="AI208" s="813" t="s">
        <v>1234</v>
      </c>
      <c r="AJ208" s="914" t="s">
        <v>1217</v>
      </c>
      <c r="AK208" s="813" t="s">
        <v>457</v>
      </c>
      <c r="AL208" s="813" t="s">
        <v>178</v>
      </c>
      <c r="AM208" s="813" t="s">
        <v>1136</v>
      </c>
      <c r="AN208" s="909">
        <v>388154</v>
      </c>
      <c r="AO208" s="910">
        <v>183971</v>
      </c>
      <c r="AP208" s="910">
        <v>204184</v>
      </c>
      <c r="AQ208" s="911" t="s">
        <v>459</v>
      </c>
      <c r="AR208" s="911" t="s">
        <v>459</v>
      </c>
      <c r="AS208" s="911" t="s">
        <v>459</v>
      </c>
      <c r="AT208" s="911" t="s">
        <v>459</v>
      </c>
      <c r="AU208" s="915" t="s">
        <v>459</v>
      </c>
      <c r="AV208" s="915" t="s">
        <v>459</v>
      </c>
      <c r="AW208" s="915" t="s">
        <v>459</v>
      </c>
      <c r="AX208" s="910">
        <v>388154</v>
      </c>
      <c r="AY208" s="427"/>
    </row>
    <row r="209" spans="1:51" ht="18" customHeight="1" x14ac:dyDescent="0.25">
      <c r="A209" s="829"/>
      <c r="B209" s="710"/>
      <c r="C209" s="710"/>
      <c r="D209" s="404" t="s">
        <v>343</v>
      </c>
      <c r="E209" s="179"/>
      <c r="F209" s="180"/>
      <c r="G209" s="174"/>
      <c r="H209" s="174">
        <f>+H208*$H$155/$H$154</f>
        <v>7719350.6493506497</v>
      </c>
      <c r="I209" s="174" t="e">
        <f>+I208*$I$155/$I$154</f>
        <v>#REF!</v>
      </c>
      <c r="J209" s="410" t="e">
        <f>+J208*$J$155/$J$154</f>
        <v>#REF!</v>
      </c>
      <c r="K209" s="409"/>
      <c r="L209" s="410"/>
      <c r="M209" s="410"/>
      <c r="N209" s="410"/>
      <c r="O209" s="410">
        <f>+O208*$O$155/$O$154</f>
        <v>7144200</v>
      </c>
      <c r="P209" s="410" t="e">
        <f>+P208*$P$155/$P$154</f>
        <v>#VALUE!</v>
      </c>
      <c r="Q209" s="410" t="e">
        <f>+Q208*$Q$155/$Q$154</f>
        <v>#VALUE!</v>
      </c>
      <c r="R209" s="410" t="e">
        <f>+R208*$R$155/$R$154</f>
        <v>#VALUE!</v>
      </c>
      <c r="S209" s="710"/>
      <c r="T209" s="167"/>
      <c r="U209" s="174">
        <f>+U208*$U$155/$U$154</f>
        <v>35370000</v>
      </c>
      <c r="V209" s="174" t="e">
        <f>+V208*$V$155/$V$154</f>
        <v>#REF!</v>
      </c>
      <c r="W209" s="410" t="e">
        <f>+W208*$W$155/$W$154</f>
        <v>#REF!</v>
      </c>
      <c r="X209" s="411"/>
      <c r="Y209" s="411"/>
      <c r="Z209" s="411"/>
      <c r="AA209" s="433"/>
      <c r="AB209" s="409">
        <f>+AB208*$AB$155/$AB$154</f>
        <v>35887000</v>
      </c>
      <c r="AC209" s="409" t="e">
        <f>+AC208*$AC$155/$AC$154</f>
        <v>#VALUE!</v>
      </c>
      <c r="AD209" s="409" t="e">
        <f>+AD208*$AD$155/$AD$154</f>
        <v>#VALUE!</v>
      </c>
      <c r="AE209" s="409" t="e">
        <f>+AE208*$AE$155/$AE$154</f>
        <v>#VALUE!</v>
      </c>
      <c r="AF209" s="710"/>
      <c r="AG209" s="829"/>
      <c r="AH209" s="710"/>
      <c r="AI209" s="710"/>
      <c r="AJ209" s="710"/>
      <c r="AK209" s="710"/>
      <c r="AL209" s="710"/>
      <c r="AM209" s="710"/>
      <c r="AN209" s="710"/>
      <c r="AO209" s="710"/>
      <c r="AP209" s="710"/>
      <c r="AQ209" s="710"/>
      <c r="AR209" s="710"/>
      <c r="AS209" s="710"/>
      <c r="AT209" s="710"/>
      <c r="AU209" s="710"/>
      <c r="AV209" s="710"/>
      <c r="AW209" s="710"/>
      <c r="AX209" s="710"/>
      <c r="AY209" s="427"/>
    </row>
    <row r="210" spans="1:51" ht="27" customHeight="1" x14ac:dyDescent="0.25">
      <c r="A210" s="829"/>
      <c r="B210" s="710"/>
      <c r="C210" s="710"/>
      <c r="D210" s="408" t="s">
        <v>345</v>
      </c>
      <c r="E210" s="179"/>
      <c r="F210" s="180"/>
      <c r="G210" s="174"/>
      <c r="H210" s="174"/>
      <c r="I210" s="174"/>
      <c r="J210" s="410"/>
      <c r="K210" s="409"/>
      <c r="L210" s="410"/>
      <c r="M210" s="410"/>
      <c r="N210" s="410"/>
      <c r="O210" s="410"/>
      <c r="P210" s="410"/>
      <c r="Q210" s="410"/>
      <c r="R210" s="416"/>
      <c r="S210" s="710"/>
      <c r="T210" s="167"/>
      <c r="U210" s="167"/>
      <c r="V210" s="167"/>
      <c r="W210" s="415"/>
      <c r="X210" s="411"/>
      <c r="Y210" s="411"/>
      <c r="Z210" s="411"/>
      <c r="AA210" s="433"/>
      <c r="AB210" s="419"/>
      <c r="AC210" s="401"/>
      <c r="AD210" s="409"/>
      <c r="AE210" s="420"/>
      <c r="AF210" s="710"/>
      <c r="AG210" s="829"/>
      <c r="AH210" s="710"/>
      <c r="AI210" s="710"/>
      <c r="AJ210" s="710"/>
      <c r="AK210" s="710"/>
      <c r="AL210" s="710"/>
      <c r="AM210" s="710"/>
      <c r="AN210" s="710"/>
      <c r="AO210" s="710"/>
      <c r="AP210" s="710"/>
      <c r="AQ210" s="710"/>
      <c r="AR210" s="710"/>
      <c r="AS210" s="710"/>
      <c r="AT210" s="710"/>
      <c r="AU210" s="710"/>
      <c r="AV210" s="710"/>
      <c r="AW210" s="710"/>
      <c r="AX210" s="710"/>
      <c r="AY210" s="427"/>
    </row>
    <row r="211" spans="1:51" ht="27" customHeight="1" x14ac:dyDescent="0.25">
      <c r="A211" s="829"/>
      <c r="B211" s="710"/>
      <c r="C211" s="710"/>
      <c r="D211" s="404" t="s">
        <v>346</v>
      </c>
      <c r="E211" s="179"/>
      <c r="F211" s="180"/>
      <c r="G211" s="174"/>
      <c r="H211" s="174"/>
      <c r="I211" s="174"/>
      <c r="J211" s="410"/>
      <c r="K211" s="409"/>
      <c r="L211" s="410"/>
      <c r="M211" s="410"/>
      <c r="N211" s="410"/>
      <c r="O211" s="410"/>
      <c r="P211" s="410"/>
      <c r="Q211" s="410"/>
      <c r="R211" s="416"/>
      <c r="S211" s="710"/>
      <c r="T211" s="167"/>
      <c r="U211" s="453">
        <f>+$U$157/8</f>
        <v>2428417.875</v>
      </c>
      <c r="V211" s="167"/>
      <c r="W211" s="415"/>
      <c r="X211" s="411"/>
      <c r="Y211" s="411"/>
      <c r="Z211" s="411"/>
      <c r="AA211" s="433"/>
      <c r="AB211" s="419"/>
      <c r="AC211" s="401"/>
      <c r="AD211" s="409"/>
      <c r="AE211" s="420"/>
      <c r="AF211" s="710"/>
      <c r="AG211" s="829"/>
      <c r="AH211" s="710"/>
      <c r="AI211" s="710"/>
      <c r="AJ211" s="710"/>
      <c r="AK211" s="710"/>
      <c r="AL211" s="710"/>
      <c r="AM211" s="710"/>
      <c r="AN211" s="710"/>
      <c r="AO211" s="710"/>
      <c r="AP211" s="710"/>
      <c r="AQ211" s="710"/>
      <c r="AR211" s="710"/>
      <c r="AS211" s="710"/>
      <c r="AT211" s="710"/>
      <c r="AU211" s="710"/>
      <c r="AV211" s="710"/>
      <c r="AW211" s="710"/>
      <c r="AX211" s="710"/>
      <c r="AY211" s="427"/>
    </row>
    <row r="212" spans="1:51" ht="27" customHeight="1" x14ac:dyDescent="0.25">
      <c r="A212" s="829"/>
      <c r="B212" s="710"/>
      <c r="C212" s="710"/>
      <c r="D212" s="408" t="s">
        <v>347</v>
      </c>
      <c r="E212" s="179"/>
      <c r="F212" s="180"/>
      <c r="G212" s="174"/>
      <c r="H212" s="174">
        <v>3</v>
      </c>
      <c r="I212" s="174">
        <v>4</v>
      </c>
      <c r="J212" s="410">
        <v>5</v>
      </c>
      <c r="K212" s="409"/>
      <c r="L212" s="410"/>
      <c r="M212" s="410"/>
      <c r="N212" s="410"/>
      <c r="O212" s="410">
        <f>+O208</f>
        <v>1</v>
      </c>
      <c r="P212" s="410">
        <v>1</v>
      </c>
      <c r="Q212" s="410">
        <v>1</v>
      </c>
      <c r="R212" s="416">
        <v>2</v>
      </c>
      <c r="S212" s="710"/>
      <c r="T212" s="167"/>
      <c r="U212" s="167">
        <v>3</v>
      </c>
      <c r="V212" s="167">
        <v>4</v>
      </c>
      <c r="W212" s="415">
        <v>5</v>
      </c>
      <c r="X212" s="411"/>
      <c r="Y212" s="411"/>
      <c r="Z212" s="411"/>
      <c r="AA212" s="433"/>
      <c r="AB212" s="409">
        <f>+AB208</f>
        <v>1</v>
      </c>
      <c r="AC212" s="401">
        <v>1</v>
      </c>
      <c r="AD212" s="409">
        <v>1</v>
      </c>
      <c r="AE212" s="420">
        <v>2</v>
      </c>
      <c r="AF212" s="710"/>
      <c r="AG212" s="829"/>
      <c r="AH212" s="710"/>
      <c r="AI212" s="710"/>
      <c r="AJ212" s="710"/>
      <c r="AK212" s="710"/>
      <c r="AL212" s="710"/>
      <c r="AM212" s="710"/>
      <c r="AN212" s="710"/>
      <c r="AO212" s="710"/>
      <c r="AP212" s="710"/>
      <c r="AQ212" s="710"/>
      <c r="AR212" s="710"/>
      <c r="AS212" s="710"/>
      <c r="AT212" s="710"/>
      <c r="AU212" s="710"/>
      <c r="AV212" s="710"/>
      <c r="AW212" s="710"/>
      <c r="AX212" s="710"/>
      <c r="AY212" s="427"/>
    </row>
    <row r="213" spans="1:51" ht="27.75" customHeight="1" x14ac:dyDescent="0.25">
      <c r="A213" s="829"/>
      <c r="B213" s="710"/>
      <c r="C213" s="731"/>
      <c r="D213" s="412" t="s">
        <v>348</v>
      </c>
      <c r="E213" s="179"/>
      <c r="F213" s="180"/>
      <c r="G213" s="174"/>
      <c r="H213" s="174">
        <f>+H212*$H$155/$H$154</f>
        <v>7719350.6493506497</v>
      </c>
      <c r="I213" s="174" t="e">
        <f>+I212*$I$155/$I$154</f>
        <v>#REF!</v>
      </c>
      <c r="J213" s="410" t="e">
        <f>+J212*$J$155/$J$154</f>
        <v>#REF!</v>
      </c>
      <c r="K213" s="409"/>
      <c r="L213" s="410"/>
      <c r="M213" s="410"/>
      <c r="N213" s="410"/>
      <c r="O213" s="410">
        <f>+O209</f>
        <v>7144200</v>
      </c>
      <c r="P213" s="410" t="e">
        <f>+P212*$P$155/$P$154</f>
        <v>#VALUE!</v>
      </c>
      <c r="Q213" s="410" t="e">
        <f>+Q212*$Q$155/$Q$154</f>
        <v>#VALUE!</v>
      </c>
      <c r="R213" s="410" t="e">
        <f>+R212*$R$155/$R$154</f>
        <v>#VALUE!</v>
      </c>
      <c r="S213" s="710"/>
      <c r="T213" s="167"/>
      <c r="U213" s="174">
        <f>+U212*$U$155/$U$154</f>
        <v>35370000</v>
      </c>
      <c r="V213" s="174" t="e">
        <f>+V212*$V$155/$V$154</f>
        <v>#REF!</v>
      </c>
      <c r="W213" s="410" t="e">
        <f>+W212*$W$155/$W$154</f>
        <v>#REF!</v>
      </c>
      <c r="X213" s="411"/>
      <c r="Y213" s="411"/>
      <c r="Z213" s="411"/>
      <c r="AA213" s="433"/>
      <c r="AB213" s="409">
        <f>+AB209</f>
        <v>35887000</v>
      </c>
      <c r="AC213" s="409" t="e">
        <f>+AC212*$AC$155/$AC$154</f>
        <v>#VALUE!</v>
      </c>
      <c r="AD213" s="409" t="e">
        <f>+AD212*$AD$155/$AD$154</f>
        <v>#VALUE!</v>
      </c>
      <c r="AE213" s="409" t="e">
        <f>+AE212*$AE$155/$AE$154</f>
        <v>#VALUE!</v>
      </c>
      <c r="AF213" s="731"/>
      <c r="AG213" s="823"/>
      <c r="AH213" s="731"/>
      <c r="AI213" s="731"/>
      <c r="AJ213" s="731"/>
      <c r="AK213" s="731"/>
      <c r="AL213" s="731"/>
      <c r="AM213" s="731"/>
      <c r="AN213" s="731"/>
      <c r="AO213" s="731"/>
      <c r="AP213" s="731"/>
      <c r="AQ213" s="731"/>
      <c r="AR213" s="731"/>
      <c r="AS213" s="731"/>
      <c r="AT213" s="731"/>
      <c r="AU213" s="731"/>
      <c r="AV213" s="731"/>
      <c r="AW213" s="731"/>
      <c r="AX213" s="731"/>
      <c r="AY213" s="427"/>
    </row>
    <row r="214" spans="1:51" ht="18" customHeight="1" x14ac:dyDescent="0.25">
      <c r="A214" s="829"/>
      <c r="B214" s="710"/>
      <c r="C214" s="818" t="s">
        <v>1180</v>
      </c>
      <c r="D214" s="413" t="s">
        <v>340</v>
      </c>
      <c r="E214" s="179"/>
      <c r="F214" s="180"/>
      <c r="G214" s="174">
        <v>1</v>
      </c>
      <c r="H214" s="174">
        <v>1</v>
      </c>
      <c r="I214" s="174">
        <v>1</v>
      </c>
      <c r="J214" s="410">
        <v>1</v>
      </c>
      <c r="K214" s="414">
        <v>1</v>
      </c>
      <c r="L214" s="410"/>
      <c r="M214" s="410"/>
      <c r="N214" s="410"/>
      <c r="O214" s="410"/>
      <c r="P214" s="410"/>
      <c r="Q214" s="410">
        <v>2</v>
      </c>
      <c r="R214" s="416">
        <v>2</v>
      </c>
      <c r="S214" s="710"/>
      <c r="T214" s="167">
        <v>1</v>
      </c>
      <c r="U214" s="167">
        <v>1</v>
      </c>
      <c r="V214" s="167">
        <v>1</v>
      </c>
      <c r="W214" s="415">
        <v>1</v>
      </c>
      <c r="X214" s="418">
        <v>1</v>
      </c>
      <c r="Y214" s="411"/>
      <c r="Z214" s="411"/>
      <c r="AA214" s="433"/>
      <c r="AB214" s="419"/>
      <c r="AC214" s="401"/>
      <c r="AD214" s="409">
        <v>2</v>
      </c>
      <c r="AE214" s="420">
        <v>2</v>
      </c>
      <c r="AF214" s="926" t="s">
        <v>1235</v>
      </c>
      <c r="AG214" s="913" t="s">
        <v>490</v>
      </c>
      <c r="AH214" s="813" t="s">
        <v>1236</v>
      </c>
      <c r="AI214" s="813" t="s">
        <v>1237</v>
      </c>
      <c r="AJ214" s="914" t="s">
        <v>1217</v>
      </c>
      <c r="AK214" s="813" t="s">
        <v>457</v>
      </c>
      <c r="AL214" s="813" t="s">
        <v>178</v>
      </c>
      <c r="AM214" s="813" t="s">
        <v>1136</v>
      </c>
      <c r="AN214" s="909">
        <v>840955</v>
      </c>
      <c r="AO214" s="910">
        <v>396682</v>
      </c>
      <c r="AP214" s="910">
        <v>444273</v>
      </c>
      <c r="AQ214" s="911" t="s">
        <v>459</v>
      </c>
      <c r="AR214" s="911" t="s">
        <v>459</v>
      </c>
      <c r="AS214" s="911" t="s">
        <v>459</v>
      </c>
      <c r="AT214" s="911" t="s">
        <v>459</v>
      </c>
      <c r="AU214" s="915" t="s">
        <v>459</v>
      </c>
      <c r="AV214" s="915" t="s">
        <v>459</v>
      </c>
      <c r="AW214" s="915" t="s">
        <v>459</v>
      </c>
      <c r="AX214" s="910">
        <v>840955</v>
      </c>
      <c r="AY214" s="427"/>
    </row>
    <row r="215" spans="1:51" ht="18.75" customHeight="1" x14ac:dyDescent="0.25">
      <c r="A215" s="829"/>
      <c r="B215" s="710"/>
      <c r="C215" s="710"/>
      <c r="D215" s="404" t="s">
        <v>343</v>
      </c>
      <c r="E215" s="179"/>
      <c r="F215" s="180"/>
      <c r="G215" s="174">
        <f>+G214*$G$155/$G$154</f>
        <v>2573116.8831168832</v>
      </c>
      <c r="H215" s="174">
        <f>+H214*$H$155/$H$154</f>
        <v>2573116.8831168832</v>
      </c>
      <c r="I215" s="174" t="e">
        <f>+I214*$I$155/$I$154</f>
        <v>#REF!</v>
      </c>
      <c r="J215" s="410" t="e">
        <f>+J214*$J$155/$J$154</f>
        <v>#REF!</v>
      </c>
      <c r="K215" s="409"/>
      <c r="L215" s="410"/>
      <c r="M215" s="410"/>
      <c r="N215" s="410"/>
      <c r="O215" s="410"/>
      <c r="P215" s="410"/>
      <c r="Q215" s="410" t="e">
        <f>+Q214*$Q$155/$Q$154</f>
        <v>#VALUE!</v>
      </c>
      <c r="R215" s="410" t="e">
        <f>+R214*$R$155/$R$154</f>
        <v>#VALUE!</v>
      </c>
      <c r="S215" s="710"/>
      <c r="T215" s="174">
        <f>+T214*$T$155/$T$154</f>
        <v>0</v>
      </c>
      <c r="U215" s="174">
        <f>+U214*$U$155/$U$154</f>
        <v>11790000</v>
      </c>
      <c r="V215" s="174" t="e">
        <f>+V214*$V$155/$V$154</f>
        <v>#REF!</v>
      </c>
      <c r="W215" s="410" t="e">
        <f>+W214*$W$155/$W$154</f>
        <v>#REF!</v>
      </c>
      <c r="X215" s="411"/>
      <c r="Y215" s="411"/>
      <c r="Z215" s="411"/>
      <c r="AA215" s="433"/>
      <c r="AB215" s="419"/>
      <c r="AC215" s="401"/>
      <c r="AD215" s="409" t="e">
        <f>+AD214*$AD$155/$AD$154</f>
        <v>#VALUE!</v>
      </c>
      <c r="AE215" s="409" t="e">
        <f>+AE214*$AE$155/$AE$154</f>
        <v>#VALUE!</v>
      </c>
      <c r="AF215" s="710"/>
      <c r="AG215" s="829"/>
      <c r="AH215" s="710"/>
      <c r="AI215" s="710"/>
      <c r="AJ215" s="710"/>
      <c r="AK215" s="710"/>
      <c r="AL215" s="710"/>
      <c r="AM215" s="710"/>
      <c r="AN215" s="710"/>
      <c r="AO215" s="710"/>
      <c r="AP215" s="710"/>
      <c r="AQ215" s="710"/>
      <c r="AR215" s="710"/>
      <c r="AS215" s="710"/>
      <c r="AT215" s="710"/>
      <c r="AU215" s="710"/>
      <c r="AV215" s="710"/>
      <c r="AW215" s="710"/>
      <c r="AX215" s="710"/>
      <c r="AY215" s="427"/>
    </row>
    <row r="216" spans="1:51" ht="27.75" customHeight="1" x14ac:dyDescent="0.25">
      <c r="A216" s="829"/>
      <c r="B216" s="710"/>
      <c r="C216" s="710"/>
      <c r="D216" s="408" t="s">
        <v>345</v>
      </c>
      <c r="E216" s="179"/>
      <c r="F216" s="180"/>
      <c r="G216" s="174"/>
      <c r="H216" s="174"/>
      <c r="I216" s="174"/>
      <c r="J216" s="410"/>
      <c r="K216" s="409"/>
      <c r="L216" s="410"/>
      <c r="M216" s="410"/>
      <c r="N216" s="410"/>
      <c r="O216" s="410"/>
      <c r="P216" s="410"/>
      <c r="Q216" s="410"/>
      <c r="R216" s="416"/>
      <c r="S216" s="710"/>
      <c r="T216" s="167"/>
      <c r="U216" s="167"/>
      <c r="V216" s="167"/>
      <c r="W216" s="415"/>
      <c r="X216" s="411"/>
      <c r="Y216" s="411"/>
      <c r="Z216" s="411"/>
      <c r="AA216" s="433"/>
      <c r="AB216" s="419"/>
      <c r="AC216" s="401"/>
      <c r="AD216" s="409"/>
      <c r="AE216" s="420"/>
      <c r="AF216" s="710"/>
      <c r="AG216" s="829"/>
      <c r="AH216" s="710"/>
      <c r="AI216" s="710"/>
      <c r="AJ216" s="710"/>
      <c r="AK216" s="710"/>
      <c r="AL216" s="710"/>
      <c r="AM216" s="710"/>
      <c r="AN216" s="710"/>
      <c r="AO216" s="710"/>
      <c r="AP216" s="710"/>
      <c r="AQ216" s="710"/>
      <c r="AR216" s="710"/>
      <c r="AS216" s="710"/>
      <c r="AT216" s="710"/>
      <c r="AU216" s="710"/>
      <c r="AV216" s="710"/>
      <c r="AW216" s="710"/>
      <c r="AX216" s="710"/>
      <c r="AY216" s="427"/>
    </row>
    <row r="217" spans="1:51" ht="27.75" customHeight="1" x14ac:dyDescent="0.25">
      <c r="A217" s="829"/>
      <c r="B217" s="710"/>
      <c r="C217" s="710"/>
      <c r="D217" s="404" t="s">
        <v>346</v>
      </c>
      <c r="E217" s="179"/>
      <c r="F217" s="180"/>
      <c r="G217" s="174"/>
      <c r="H217" s="174"/>
      <c r="I217" s="174"/>
      <c r="J217" s="410"/>
      <c r="K217" s="409"/>
      <c r="L217" s="410"/>
      <c r="M217" s="410"/>
      <c r="N217" s="410"/>
      <c r="O217" s="410"/>
      <c r="P217" s="410"/>
      <c r="Q217" s="410"/>
      <c r="R217" s="416"/>
      <c r="S217" s="710"/>
      <c r="T217" s="167"/>
      <c r="U217" s="453">
        <f>+$U$157/8</f>
        <v>2428417.875</v>
      </c>
      <c r="V217" s="167"/>
      <c r="W217" s="415"/>
      <c r="X217" s="411"/>
      <c r="Y217" s="411"/>
      <c r="Z217" s="411"/>
      <c r="AA217" s="433"/>
      <c r="AB217" s="419"/>
      <c r="AC217" s="401"/>
      <c r="AD217" s="409"/>
      <c r="AE217" s="420"/>
      <c r="AF217" s="710"/>
      <c r="AG217" s="829"/>
      <c r="AH217" s="710"/>
      <c r="AI217" s="710"/>
      <c r="AJ217" s="710"/>
      <c r="AK217" s="710"/>
      <c r="AL217" s="710"/>
      <c r="AM217" s="710"/>
      <c r="AN217" s="710"/>
      <c r="AO217" s="710"/>
      <c r="AP217" s="710"/>
      <c r="AQ217" s="710"/>
      <c r="AR217" s="710"/>
      <c r="AS217" s="710"/>
      <c r="AT217" s="710"/>
      <c r="AU217" s="710"/>
      <c r="AV217" s="710"/>
      <c r="AW217" s="710"/>
      <c r="AX217" s="710"/>
      <c r="AY217" s="427"/>
    </row>
    <row r="218" spans="1:51" ht="27.75" customHeight="1" x14ac:dyDescent="0.25">
      <c r="A218" s="829"/>
      <c r="B218" s="710"/>
      <c r="C218" s="710"/>
      <c r="D218" s="408" t="s">
        <v>347</v>
      </c>
      <c r="E218" s="179"/>
      <c r="F218" s="180"/>
      <c r="G218" s="174">
        <v>1</v>
      </c>
      <c r="H218" s="174">
        <v>1</v>
      </c>
      <c r="I218" s="174">
        <v>1</v>
      </c>
      <c r="J218" s="410">
        <v>1</v>
      </c>
      <c r="K218" s="409"/>
      <c r="L218" s="410"/>
      <c r="M218" s="410"/>
      <c r="N218" s="410"/>
      <c r="O218" s="410"/>
      <c r="P218" s="410"/>
      <c r="Q218" s="410">
        <v>2</v>
      </c>
      <c r="R218" s="416">
        <v>2</v>
      </c>
      <c r="S218" s="710"/>
      <c r="T218" s="167">
        <v>1</v>
      </c>
      <c r="U218" s="167">
        <v>1</v>
      </c>
      <c r="V218" s="167">
        <v>1</v>
      </c>
      <c r="W218" s="415">
        <v>1</v>
      </c>
      <c r="X218" s="411"/>
      <c r="Y218" s="411"/>
      <c r="Z218" s="411"/>
      <c r="AA218" s="433"/>
      <c r="AB218" s="419"/>
      <c r="AC218" s="401"/>
      <c r="AD218" s="409">
        <v>2</v>
      </c>
      <c r="AE218" s="420">
        <v>2</v>
      </c>
      <c r="AF218" s="710"/>
      <c r="AG218" s="829"/>
      <c r="AH218" s="710"/>
      <c r="AI218" s="710"/>
      <c r="AJ218" s="710"/>
      <c r="AK218" s="710"/>
      <c r="AL218" s="710"/>
      <c r="AM218" s="710"/>
      <c r="AN218" s="710"/>
      <c r="AO218" s="710"/>
      <c r="AP218" s="710"/>
      <c r="AQ218" s="710"/>
      <c r="AR218" s="710"/>
      <c r="AS218" s="710"/>
      <c r="AT218" s="710"/>
      <c r="AU218" s="710"/>
      <c r="AV218" s="710"/>
      <c r="AW218" s="710"/>
      <c r="AX218" s="710"/>
      <c r="AY218" s="427"/>
    </row>
    <row r="219" spans="1:51" ht="27.75" customHeight="1" x14ac:dyDescent="0.25">
      <c r="A219" s="829"/>
      <c r="B219" s="710"/>
      <c r="C219" s="731"/>
      <c r="D219" s="412" t="s">
        <v>348</v>
      </c>
      <c r="E219" s="179"/>
      <c r="F219" s="180"/>
      <c r="G219" s="174">
        <f>+G218*$G$155/$G$154</f>
        <v>2573116.8831168832</v>
      </c>
      <c r="H219" s="174">
        <f>+H218*$H$155/$H$154</f>
        <v>2573116.8831168832</v>
      </c>
      <c r="I219" s="174" t="e">
        <f>+I218*$I$155/$I$154</f>
        <v>#REF!</v>
      </c>
      <c r="J219" s="410" t="e">
        <f>+J218*$J$155/$J$154</f>
        <v>#REF!</v>
      </c>
      <c r="K219" s="409"/>
      <c r="L219" s="410"/>
      <c r="M219" s="410"/>
      <c r="N219" s="410"/>
      <c r="O219" s="410"/>
      <c r="P219" s="410"/>
      <c r="Q219" s="410" t="e">
        <f>+Q218*$Q$155/$Q$154</f>
        <v>#VALUE!</v>
      </c>
      <c r="R219" s="410" t="e">
        <f>+R218*$R$155/$R$154</f>
        <v>#VALUE!</v>
      </c>
      <c r="S219" s="710"/>
      <c r="T219" s="174">
        <f>+T218*$T$155/$T$154</f>
        <v>0</v>
      </c>
      <c r="U219" s="174">
        <f>+U218*$U$155/$U$154</f>
        <v>11790000</v>
      </c>
      <c r="V219" s="174" t="e">
        <f>+V218*$V$155/$V$154</f>
        <v>#REF!</v>
      </c>
      <c r="W219" s="410" t="e">
        <f>+W218*$W$155/$W$154</f>
        <v>#REF!</v>
      </c>
      <c r="X219" s="411"/>
      <c r="Y219" s="411"/>
      <c r="Z219" s="411"/>
      <c r="AA219" s="433"/>
      <c r="AB219" s="419"/>
      <c r="AC219" s="401"/>
      <c r="AD219" s="409" t="e">
        <f>+AD218*$AD$155/$AD$154</f>
        <v>#VALUE!</v>
      </c>
      <c r="AE219" s="409" t="e">
        <f>+AE218*$AE$155/$AE$154</f>
        <v>#VALUE!</v>
      </c>
      <c r="AF219" s="731"/>
      <c r="AG219" s="823"/>
      <c r="AH219" s="731"/>
      <c r="AI219" s="731"/>
      <c r="AJ219" s="731"/>
      <c r="AK219" s="731"/>
      <c r="AL219" s="731"/>
      <c r="AM219" s="731"/>
      <c r="AN219" s="731"/>
      <c r="AO219" s="731"/>
      <c r="AP219" s="731"/>
      <c r="AQ219" s="731"/>
      <c r="AR219" s="731"/>
      <c r="AS219" s="731"/>
      <c r="AT219" s="731"/>
      <c r="AU219" s="731"/>
      <c r="AV219" s="731"/>
      <c r="AW219" s="731"/>
      <c r="AX219" s="731"/>
      <c r="AY219" s="427"/>
    </row>
    <row r="220" spans="1:51" ht="18" customHeight="1" x14ac:dyDescent="0.25">
      <c r="A220" s="829"/>
      <c r="B220" s="710"/>
      <c r="C220" s="958" t="s">
        <v>656</v>
      </c>
      <c r="D220" s="413" t="s">
        <v>340</v>
      </c>
      <c r="E220" s="179"/>
      <c r="F220" s="180"/>
      <c r="G220" s="174">
        <v>1</v>
      </c>
      <c r="H220" s="174">
        <v>1</v>
      </c>
      <c r="I220" s="174">
        <v>1</v>
      </c>
      <c r="J220" s="410">
        <v>2</v>
      </c>
      <c r="K220" s="414">
        <v>3</v>
      </c>
      <c r="L220" s="410"/>
      <c r="M220" s="410"/>
      <c r="N220" s="410"/>
      <c r="O220" s="410"/>
      <c r="P220" s="410"/>
      <c r="Q220" s="410">
        <v>1</v>
      </c>
      <c r="R220" s="416">
        <v>1</v>
      </c>
      <c r="S220" s="710"/>
      <c r="T220" s="167">
        <v>1</v>
      </c>
      <c r="U220" s="167">
        <v>1</v>
      </c>
      <c r="V220" s="167">
        <v>1</v>
      </c>
      <c r="W220" s="415">
        <v>2</v>
      </c>
      <c r="X220" s="418">
        <v>3</v>
      </c>
      <c r="Y220" s="411"/>
      <c r="Z220" s="411"/>
      <c r="AA220" s="433"/>
      <c r="AB220" s="419"/>
      <c r="AC220" s="401"/>
      <c r="AD220" s="409">
        <v>1</v>
      </c>
      <c r="AE220" s="420">
        <v>1</v>
      </c>
      <c r="AF220" s="923" t="s">
        <v>1238</v>
      </c>
      <c r="AG220" s="913" t="s">
        <v>621</v>
      </c>
      <c r="AH220" s="813" t="s">
        <v>1239</v>
      </c>
      <c r="AI220" s="813" t="s">
        <v>1240</v>
      </c>
      <c r="AJ220" s="914" t="s">
        <v>1217</v>
      </c>
      <c r="AK220" s="813" t="s">
        <v>457</v>
      </c>
      <c r="AL220" s="813" t="s">
        <v>1241</v>
      </c>
      <c r="AM220" s="813" t="s">
        <v>1136</v>
      </c>
      <c r="AN220" s="910">
        <v>1229903</v>
      </c>
      <c r="AO220" s="910">
        <v>579046</v>
      </c>
      <c r="AP220" s="910">
        <v>650857</v>
      </c>
      <c r="AQ220" s="911" t="s">
        <v>459</v>
      </c>
      <c r="AR220" s="911" t="s">
        <v>459</v>
      </c>
      <c r="AS220" s="911" t="s">
        <v>459</v>
      </c>
      <c r="AT220" s="911" t="s">
        <v>459</v>
      </c>
      <c r="AU220" s="915" t="s">
        <v>459</v>
      </c>
      <c r="AV220" s="915" t="s">
        <v>459</v>
      </c>
      <c r="AW220" s="915" t="s">
        <v>459</v>
      </c>
      <c r="AX220" s="910">
        <v>1229903</v>
      </c>
      <c r="AY220" s="427"/>
    </row>
    <row r="221" spans="1:51" ht="18.75" customHeight="1" x14ac:dyDescent="0.25">
      <c r="A221" s="829"/>
      <c r="B221" s="710"/>
      <c r="C221" s="710"/>
      <c r="D221" s="404" t="s">
        <v>343</v>
      </c>
      <c r="E221" s="179"/>
      <c r="F221" s="180"/>
      <c r="G221" s="174">
        <f>+G220*$G$155/$G$154</f>
        <v>2573116.8831168832</v>
      </c>
      <c r="H221" s="174">
        <f>+H220*$H$155/$H$154</f>
        <v>2573116.8831168832</v>
      </c>
      <c r="I221" s="174" t="e">
        <f>+I220*$I$155/$I$154</f>
        <v>#REF!</v>
      </c>
      <c r="J221" s="410" t="e">
        <f>+J220*$J$155/$J$154</f>
        <v>#REF!</v>
      </c>
      <c r="K221" s="409"/>
      <c r="L221" s="410"/>
      <c r="M221" s="410"/>
      <c r="N221" s="410"/>
      <c r="O221" s="410"/>
      <c r="P221" s="410"/>
      <c r="Q221" s="410" t="e">
        <f>+Q220*$Q$155/$Q$154</f>
        <v>#VALUE!</v>
      </c>
      <c r="R221" s="410" t="e">
        <f>+R220*$R$155/$R$154</f>
        <v>#VALUE!</v>
      </c>
      <c r="S221" s="710"/>
      <c r="T221" s="174">
        <f>+T220*$T$155/$T$154</f>
        <v>0</v>
      </c>
      <c r="U221" s="174">
        <f>+U220*$U$155/$U$154</f>
        <v>11790000</v>
      </c>
      <c r="V221" s="174" t="e">
        <f>+V220*$V$155/$V$154</f>
        <v>#REF!</v>
      </c>
      <c r="W221" s="410" t="e">
        <f>+W220*$W$155/$W$154</f>
        <v>#REF!</v>
      </c>
      <c r="X221" s="411"/>
      <c r="Y221" s="411"/>
      <c r="Z221" s="411"/>
      <c r="AA221" s="433"/>
      <c r="AB221" s="419"/>
      <c r="AC221" s="401"/>
      <c r="AD221" s="409" t="e">
        <f>+AD220*$AD$155/$AD$154</f>
        <v>#VALUE!</v>
      </c>
      <c r="AE221" s="409" t="e">
        <f>+AE220*$AE$155/$AE$154</f>
        <v>#VALUE!</v>
      </c>
      <c r="AF221" s="710"/>
      <c r="AG221" s="829"/>
      <c r="AH221" s="710"/>
      <c r="AI221" s="710"/>
      <c r="AJ221" s="710"/>
      <c r="AK221" s="710"/>
      <c r="AL221" s="710"/>
      <c r="AM221" s="710"/>
      <c r="AN221" s="710"/>
      <c r="AO221" s="710"/>
      <c r="AP221" s="710"/>
      <c r="AQ221" s="710"/>
      <c r="AR221" s="710"/>
      <c r="AS221" s="710"/>
      <c r="AT221" s="710"/>
      <c r="AU221" s="710"/>
      <c r="AV221" s="710"/>
      <c r="AW221" s="710"/>
      <c r="AX221" s="710"/>
      <c r="AY221" s="427"/>
    </row>
    <row r="222" spans="1:51" ht="27.75" customHeight="1" x14ac:dyDescent="0.25">
      <c r="A222" s="829"/>
      <c r="B222" s="710"/>
      <c r="C222" s="710"/>
      <c r="D222" s="408" t="s">
        <v>345</v>
      </c>
      <c r="E222" s="179"/>
      <c r="F222" s="180"/>
      <c r="G222" s="174"/>
      <c r="H222" s="174"/>
      <c r="I222" s="174"/>
      <c r="J222" s="410"/>
      <c r="K222" s="409"/>
      <c r="L222" s="410"/>
      <c r="M222" s="410"/>
      <c r="N222" s="410"/>
      <c r="O222" s="410"/>
      <c r="P222" s="410"/>
      <c r="Q222" s="410"/>
      <c r="R222" s="416"/>
      <c r="S222" s="710"/>
      <c r="T222" s="167"/>
      <c r="U222" s="167"/>
      <c r="V222" s="167"/>
      <c r="W222" s="415"/>
      <c r="X222" s="411"/>
      <c r="Y222" s="411"/>
      <c r="Z222" s="411"/>
      <c r="AA222" s="433"/>
      <c r="AB222" s="419"/>
      <c r="AC222" s="401"/>
      <c r="AD222" s="409"/>
      <c r="AE222" s="420"/>
      <c r="AF222" s="710"/>
      <c r="AG222" s="829"/>
      <c r="AH222" s="710"/>
      <c r="AI222" s="710"/>
      <c r="AJ222" s="710"/>
      <c r="AK222" s="710"/>
      <c r="AL222" s="710"/>
      <c r="AM222" s="710"/>
      <c r="AN222" s="710"/>
      <c r="AO222" s="710"/>
      <c r="AP222" s="710"/>
      <c r="AQ222" s="710"/>
      <c r="AR222" s="710"/>
      <c r="AS222" s="710"/>
      <c r="AT222" s="710"/>
      <c r="AU222" s="710"/>
      <c r="AV222" s="710"/>
      <c r="AW222" s="710"/>
      <c r="AX222" s="710"/>
      <c r="AY222" s="427"/>
    </row>
    <row r="223" spans="1:51" ht="27.75" customHeight="1" x14ac:dyDescent="0.25">
      <c r="A223" s="829"/>
      <c r="B223" s="710"/>
      <c r="C223" s="710"/>
      <c r="D223" s="404" t="s">
        <v>346</v>
      </c>
      <c r="E223" s="179"/>
      <c r="F223" s="180"/>
      <c r="G223" s="174"/>
      <c r="H223" s="174"/>
      <c r="I223" s="174"/>
      <c r="J223" s="410"/>
      <c r="K223" s="409"/>
      <c r="L223" s="410"/>
      <c r="M223" s="410"/>
      <c r="N223" s="410"/>
      <c r="O223" s="410"/>
      <c r="P223" s="410"/>
      <c r="Q223" s="410"/>
      <c r="R223" s="416"/>
      <c r="S223" s="710"/>
      <c r="T223" s="167"/>
      <c r="U223" s="453">
        <f>+$U$157/8</f>
        <v>2428417.875</v>
      </c>
      <c r="V223" s="167"/>
      <c r="W223" s="415"/>
      <c r="X223" s="411"/>
      <c r="Y223" s="411"/>
      <c r="Z223" s="411"/>
      <c r="AA223" s="433"/>
      <c r="AB223" s="419"/>
      <c r="AC223" s="401"/>
      <c r="AD223" s="409"/>
      <c r="AE223" s="420"/>
      <c r="AF223" s="710"/>
      <c r="AG223" s="829"/>
      <c r="AH223" s="710"/>
      <c r="AI223" s="710"/>
      <c r="AJ223" s="710"/>
      <c r="AK223" s="710"/>
      <c r="AL223" s="710"/>
      <c r="AM223" s="710"/>
      <c r="AN223" s="710"/>
      <c r="AO223" s="710"/>
      <c r="AP223" s="710"/>
      <c r="AQ223" s="710"/>
      <c r="AR223" s="710"/>
      <c r="AS223" s="710"/>
      <c r="AT223" s="710"/>
      <c r="AU223" s="710"/>
      <c r="AV223" s="710"/>
      <c r="AW223" s="710"/>
      <c r="AX223" s="710"/>
      <c r="AY223" s="427"/>
    </row>
    <row r="224" spans="1:51" ht="27.75" customHeight="1" x14ac:dyDescent="0.25">
      <c r="A224" s="829"/>
      <c r="B224" s="710"/>
      <c r="C224" s="710"/>
      <c r="D224" s="408" t="s">
        <v>347</v>
      </c>
      <c r="E224" s="179"/>
      <c r="F224" s="180"/>
      <c r="G224" s="174">
        <v>1</v>
      </c>
      <c r="H224" s="174">
        <v>1</v>
      </c>
      <c r="I224" s="174">
        <v>1</v>
      </c>
      <c r="J224" s="410">
        <v>2</v>
      </c>
      <c r="K224" s="409"/>
      <c r="L224" s="410"/>
      <c r="M224" s="410"/>
      <c r="N224" s="410"/>
      <c r="O224" s="410"/>
      <c r="P224" s="410"/>
      <c r="Q224" s="410">
        <v>1</v>
      </c>
      <c r="R224" s="416">
        <v>1</v>
      </c>
      <c r="S224" s="710"/>
      <c r="T224" s="167">
        <v>1</v>
      </c>
      <c r="U224" s="167">
        <v>1</v>
      </c>
      <c r="V224" s="167">
        <v>1</v>
      </c>
      <c r="W224" s="415">
        <v>2</v>
      </c>
      <c r="X224" s="411"/>
      <c r="Y224" s="411"/>
      <c r="Z224" s="411"/>
      <c r="AA224" s="433"/>
      <c r="AB224" s="419"/>
      <c r="AC224" s="401"/>
      <c r="AD224" s="409">
        <v>1</v>
      </c>
      <c r="AE224" s="420">
        <v>1</v>
      </c>
      <c r="AF224" s="710"/>
      <c r="AG224" s="829"/>
      <c r="AH224" s="710"/>
      <c r="AI224" s="710"/>
      <c r="AJ224" s="710"/>
      <c r="AK224" s="710"/>
      <c r="AL224" s="710"/>
      <c r="AM224" s="710"/>
      <c r="AN224" s="710"/>
      <c r="AO224" s="710"/>
      <c r="AP224" s="710"/>
      <c r="AQ224" s="710"/>
      <c r="AR224" s="710"/>
      <c r="AS224" s="710"/>
      <c r="AT224" s="710"/>
      <c r="AU224" s="710"/>
      <c r="AV224" s="710"/>
      <c r="AW224" s="710"/>
      <c r="AX224" s="710"/>
      <c r="AY224" s="427"/>
    </row>
    <row r="225" spans="1:51" ht="27.75" customHeight="1" x14ac:dyDescent="0.25">
      <c r="A225" s="829"/>
      <c r="B225" s="710"/>
      <c r="C225" s="731"/>
      <c r="D225" s="412" t="s">
        <v>348</v>
      </c>
      <c r="E225" s="179"/>
      <c r="F225" s="180"/>
      <c r="G225" s="174">
        <f>+G224*$G$155/$G$154</f>
        <v>2573116.8831168832</v>
      </c>
      <c r="H225" s="174">
        <f>+H224*$H$155/$H$154</f>
        <v>2573116.8831168832</v>
      </c>
      <c r="I225" s="174" t="e">
        <f>+I224*$I$155/$I$154</f>
        <v>#REF!</v>
      </c>
      <c r="J225" s="410" t="e">
        <f>+J224*$J$155/$J$154</f>
        <v>#REF!</v>
      </c>
      <c r="K225" s="409"/>
      <c r="L225" s="410"/>
      <c r="M225" s="410"/>
      <c r="N225" s="410"/>
      <c r="O225" s="410"/>
      <c r="P225" s="410"/>
      <c r="Q225" s="410" t="e">
        <f>+Q224*$Q$155/$Q$154</f>
        <v>#VALUE!</v>
      </c>
      <c r="R225" s="410" t="e">
        <f>+R224*$R$155/$R$154</f>
        <v>#VALUE!</v>
      </c>
      <c r="S225" s="710"/>
      <c r="T225" s="174">
        <f>+T224*$T$155/$T$154</f>
        <v>0</v>
      </c>
      <c r="U225" s="174">
        <f>+U224*$U$155/$U$154</f>
        <v>11790000</v>
      </c>
      <c r="V225" s="174" t="e">
        <f>+V224*$V$155/$V$154</f>
        <v>#REF!</v>
      </c>
      <c r="W225" s="410" t="e">
        <f>+W224*$W$155/$W$154</f>
        <v>#REF!</v>
      </c>
      <c r="X225" s="411"/>
      <c r="Y225" s="411"/>
      <c r="Z225" s="411"/>
      <c r="AA225" s="433"/>
      <c r="AB225" s="419"/>
      <c r="AC225" s="401"/>
      <c r="AD225" s="409" t="e">
        <f>+AD224*$AD$155/$AD$154</f>
        <v>#VALUE!</v>
      </c>
      <c r="AE225" s="409" t="e">
        <f>+AE224*$AE$155/$AE$154</f>
        <v>#VALUE!</v>
      </c>
      <c r="AF225" s="731"/>
      <c r="AG225" s="823"/>
      <c r="AH225" s="731"/>
      <c r="AI225" s="731"/>
      <c r="AJ225" s="731"/>
      <c r="AK225" s="731"/>
      <c r="AL225" s="731"/>
      <c r="AM225" s="731"/>
      <c r="AN225" s="731"/>
      <c r="AO225" s="731"/>
      <c r="AP225" s="731"/>
      <c r="AQ225" s="731"/>
      <c r="AR225" s="731"/>
      <c r="AS225" s="731"/>
      <c r="AT225" s="731"/>
      <c r="AU225" s="731"/>
      <c r="AV225" s="731"/>
      <c r="AW225" s="731"/>
      <c r="AX225" s="731"/>
      <c r="AY225" s="427"/>
    </row>
    <row r="226" spans="1:51" ht="18" customHeight="1" x14ac:dyDescent="0.25">
      <c r="A226" s="829"/>
      <c r="B226" s="710"/>
      <c r="C226" s="818" t="s">
        <v>659</v>
      </c>
      <c r="D226" s="413" t="s">
        <v>340</v>
      </c>
      <c r="E226" s="179"/>
      <c r="F226" s="180"/>
      <c r="G226" s="174">
        <v>1</v>
      </c>
      <c r="H226" s="174">
        <v>1</v>
      </c>
      <c r="I226" s="174">
        <v>1</v>
      </c>
      <c r="J226" s="410">
        <v>2</v>
      </c>
      <c r="K226" s="414">
        <v>2</v>
      </c>
      <c r="L226" s="410"/>
      <c r="M226" s="410"/>
      <c r="N226" s="410"/>
      <c r="O226" s="410"/>
      <c r="P226" s="410"/>
      <c r="Q226" s="410"/>
      <c r="R226" s="416">
        <v>1</v>
      </c>
      <c r="S226" s="710"/>
      <c r="T226" s="167">
        <v>1</v>
      </c>
      <c r="U226" s="167">
        <v>1</v>
      </c>
      <c r="V226" s="167">
        <v>1</v>
      </c>
      <c r="W226" s="415">
        <v>2</v>
      </c>
      <c r="X226" s="418">
        <v>2</v>
      </c>
      <c r="Y226" s="411"/>
      <c r="Z226" s="411"/>
      <c r="AA226" s="433"/>
      <c r="AB226" s="419"/>
      <c r="AC226" s="401"/>
      <c r="AD226" s="409"/>
      <c r="AE226" s="420">
        <v>1</v>
      </c>
      <c r="AF226" s="926" t="s">
        <v>1242</v>
      </c>
      <c r="AG226" s="913" t="s">
        <v>537</v>
      </c>
      <c r="AH226" s="813" t="s">
        <v>1243</v>
      </c>
      <c r="AI226" s="813" t="s">
        <v>1244</v>
      </c>
      <c r="AJ226" s="914" t="s">
        <v>1217</v>
      </c>
      <c r="AK226" s="813" t="s">
        <v>457</v>
      </c>
      <c r="AL226" s="813" t="s">
        <v>178</v>
      </c>
      <c r="AM226" s="813" t="s">
        <v>1136</v>
      </c>
      <c r="AN226" s="909">
        <v>138605</v>
      </c>
      <c r="AO226" s="910">
        <v>65263</v>
      </c>
      <c r="AP226" s="910">
        <v>73342</v>
      </c>
      <c r="AQ226" s="911" t="s">
        <v>459</v>
      </c>
      <c r="AR226" s="911" t="s">
        <v>459</v>
      </c>
      <c r="AS226" s="911" t="s">
        <v>459</v>
      </c>
      <c r="AT226" s="911" t="s">
        <v>459</v>
      </c>
      <c r="AU226" s="915" t="s">
        <v>459</v>
      </c>
      <c r="AV226" s="915" t="s">
        <v>459</v>
      </c>
      <c r="AW226" s="915" t="s">
        <v>459</v>
      </c>
      <c r="AX226" s="910">
        <v>138605</v>
      </c>
      <c r="AY226" s="427"/>
    </row>
    <row r="227" spans="1:51" ht="18.75" customHeight="1" x14ac:dyDescent="0.25">
      <c r="A227" s="829"/>
      <c r="B227" s="710"/>
      <c r="C227" s="710"/>
      <c r="D227" s="404" t="s">
        <v>343</v>
      </c>
      <c r="E227" s="179"/>
      <c r="F227" s="180"/>
      <c r="G227" s="174">
        <f>+G226*$G$155/$G$154</f>
        <v>2573116.8831168832</v>
      </c>
      <c r="H227" s="174">
        <f>+H226*$H$155/$H$154</f>
        <v>2573116.8831168832</v>
      </c>
      <c r="I227" s="174" t="e">
        <f>+I226*$I$155/$I$154</f>
        <v>#REF!</v>
      </c>
      <c r="J227" s="410" t="e">
        <f>+J226*$J$155/$J$154</f>
        <v>#REF!</v>
      </c>
      <c r="K227" s="409"/>
      <c r="L227" s="410"/>
      <c r="M227" s="410"/>
      <c r="N227" s="410"/>
      <c r="O227" s="410"/>
      <c r="P227" s="410"/>
      <c r="Q227" s="410"/>
      <c r="R227" s="410" t="e">
        <f>+R226*$R$155/$R$154</f>
        <v>#VALUE!</v>
      </c>
      <c r="S227" s="710"/>
      <c r="T227" s="174">
        <f>+T226*$T$155/$T$154</f>
        <v>0</v>
      </c>
      <c r="U227" s="174">
        <f>+U226*$U$155/$U$154</f>
        <v>11790000</v>
      </c>
      <c r="V227" s="174" t="e">
        <f>+V226*$V$155/$V$154</f>
        <v>#REF!</v>
      </c>
      <c r="W227" s="410" t="e">
        <f>+W226*$W$155/$W$154</f>
        <v>#REF!</v>
      </c>
      <c r="X227" s="411"/>
      <c r="Y227" s="411"/>
      <c r="Z227" s="411"/>
      <c r="AA227" s="433"/>
      <c r="AB227" s="419"/>
      <c r="AC227" s="401"/>
      <c r="AD227" s="409"/>
      <c r="AE227" s="409" t="e">
        <f>+AE226*$AE$155/$AE$154</f>
        <v>#VALUE!</v>
      </c>
      <c r="AF227" s="710"/>
      <c r="AG227" s="829"/>
      <c r="AH227" s="710"/>
      <c r="AI227" s="710"/>
      <c r="AJ227" s="710"/>
      <c r="AK227" s="710"/>
      <c r="AL227" s="710"/>
      <c r="AM227" s="710"/>
      <c r="AN227" s="710"/>
      <c r="AO227" s="710"/>
      <c r="AP227" s="710"/>
      <c r="AQ227" s="710"/>
      <c r="AR227" s="710"/>
      <c r="AS227" s="710"/>
      <c r="AT227" s="710"/>
      <c r="AU227" s="710"/>
      <c r="AV227" s="710"/>
      <c r="AW227" s="710"/>
      <c r="AX227" s="710"/>
      <c r="AY227" s="427"/>
    </row>
    <row r="228" spans="1:51" ht="27.75" customHeight="1" x14ac:dyDescent="0.25">
      <c r="A228" s="829"/>
      <c r="B228" s="710"/>
      <c r="C228" s="710"/>
      <c r="D228" s="408" t="s">
        <v>345</v>
      </c>
      <c r="E228" s="179"/>
      <c r="F228" s="180"/>
      <c r="G228" s="174"/>
      <c r="H228" s="174"/>
      <c r="I228" s="174"/>
      <c r="J228" s="410"/>
      <c r="K228" s="409"/>
      <c r="L228" s="410"/>
      <c r="M228" s="410"/>
      <c r="N228" s="410"/>
      <c r="O228" s="410"/>
      <c r="P228" s="410"/>
      <c r="Q228" s="410"/>
      <c r="R228" s="416"/>
      <c r="S228" s="710"/>
      <c r="T228" s="167"/>
      <c r="U228" s="167"/>
      <c r="V228" s="167"/>
      <c r="W228" s="415"/>
      <c r="X228" s="411"/>
      <c r="Y228" s="411"/>
      <c r="Z228" s="411"/>
      <c r="AA228" s="433"/>
      <c r="AB228" s="419"/>
      <c r="AC228" s="401"/>
      <c r="AD228" s="409"/>
      <c r="AE228" s="420"/>
      <c r="AF228" s="710"/>
      <c r="AG228" s="829"/>
      <c r="AH228" s="710"/>
      <c r="AI228" s="710"/>
      <c r="AJ228" s="710"/>
      <c r="AK228" s="710"/>
      <c r="AL228" s="710"/>
      <c r="AM228" s="710"/>
      <c r="AN228" s="710"/>
      <c r="AO228" s="710"/>
      <c r="AP228" s="710"/>
      <c r="AQ228" s="710"/>
      <c r="AR228" s="710"/>
      <c r="AS228" s="710"/>
      <c r="AT228" s="710"/>
      <c r="AU228" s="710"/>
      <c r="AV228" s="710"/>
      <c r="AW228" s="710"/>
      <c r="AX228" s="710"/>
      <c r="AY228" s="427"/>
    </row>
    <row r="229" spans="1:51" ht="27.75" customHeight="1" x14ac:dyDescent="0.25">
      <c r="A229" s="829"/>
      <c r="B229" s="710"/>
      <c r="C229" s="710"/>
      <c r="D229" s="404" t="s">
        <v>346</v>
      </c>
      <c r="E229" s="179"/>
      <c r="F229" s="180"/>
      <c r="G229" s="174"/>
      <c r="H229" s="174"/>
      <c r="I229" s="174"/>
      <c r="J229" s="410"/>
      <c r="K229" s="409"/>
      <c r="L229" s="410"/>
      <c r="M229" s="410"/>
      <c r="N229" s="410"/>
      <c r="O229" s="410"/>
      <c r="P229" s="410"/>
      <c r="Q229" s="410"/>
      <c r="R229" s="416"/>
      <c r="S229" s="710"/>
      <c r="T229" s="167"/>
      <c r="U229" s="453">
        <f>+$U$157/8</f>
        <v>2428417.875</v>
      </c>
      <c r="V229" s="167"/>
      <c r="W229" s="415"/>
      <c r="X229" s="411"/>
      <c r="Y229" s="411"/>
      <c r="Z229" s="411"/>
      <c r="AA229" s="433"/>
      <c r="AB229" s="419"/>
      <c r="AC229" s="401"/>
      <c r="AD229" s="409"/>
      <c r="AE229" s="420"/>
      <c r="AF229" s="710"/>
      <c r="AG229" s="829"/>
      <c r="AH229" s="710"/>
      <c r="AI229" s="710"/>
      <c r="AJ229" s="710"/>
      <c r="AK229" s="710"/>
      <c r="AL229" s="710"/>
      <c r="AM229" s="710"/>
      <c r="AN229" s="710"/>
      <c r="AO229" s="710"/>
      <c r="AP229" s="710"/>
      <c r="AQ229" s="710"/>
      <c r="AR229" s="710"/>
      <c r="AS229" s="710"/>
      <c r="AT229" s="710"/>
      <c r="AU229" s="710"/>
      <c r="AV229" s="710"/>
      <c r="AW229" s="710"/>
      <c r="AX229" s="710"/>
      <c r="AY229" s="427"/>
    </row>
    <row r="230" spans="1:51" ht="27.75" customHeight="1" x14ac:dyDescent="0.25">
      <c r="A230" s="829"/>
      <c r="B230" s="710"/>
      <c r="C230" s="710"/>
      <c r="D230" s="408" t="s">
        <v>347</v>
      </c>
      <c r="E230" s="179"/>
      <c r="F230" s="180"/>
      <c r="G230" s="174">
        <v>1</v>
      </c>
      <c r="H230" s="174">
        <v>1</v>
      </c>
      <c r="I230" s="174">
        <v>1</v>
      </c>
      <c r="J230" s="410">
        <v>2</v>
      </c>
      <c r="K230" s="409"/>
      <c r="L230" s="410"/>
      <c r="M230" s="410"/>
      <c r="N230" s="410"/>
      <c r="O230" s="410"/>
      <c r="P230" s="410"/>
      <c r="Q230" s="410"/>
      <c r="R230" s="416">
        <v>1</v>
      </c>
      <c r="S230" s="710"/>
      <c r="T230" s="167">
        <v>1</v>
      </c>
      <c r="U230" s="167">
        <v>1</v>
      </c>
      <c r="V230" s="167">
        <v>1</v>
      </c>
      <c r="W230" s="415">
        <v>2</v>
      </c>
      <c r="X230" s="411"/>
      <c r="Y230" s="411"/>
      <c r="Z230" s="411"/>
      <c r="AA230" s="433"/>
      <c r="AB230" s="419"/>
      <c r="AC230" s="401"/>
      <c r="AD230" s="409"/>
      <c r="AE230" s="420">
        <v>1</v>
      </c>
      <c r="AF230" s="710"/>
      <c r="AG230" s="829"/>
      <c r="AH230" s="710"/>
      <c r="AI230" s="710"/>
      <c r="AJ230" s="710"/>
      <c r="AK230" s="710"/>
      <c r="AL230" s="710"/>
      <c r="AM230" s="710"/>
      <c r="AN230" s="710"/>
      <c r="AO230" s="710"/>
      <c r="AP230" s="710"/>
      <c r="AQ230" s="710"/>
      <c r="AR230" s="710"/>
      <c r="AS230" s="710"/>
      <c r="AT230" s="710"/>
      <c r="AU230" s="710"/>
      <c r="AV230" s="710"/>
      <c r="AW230" s="710"/>
      <c r="AX230" s="710"/>
      <c r="AY230" s="427"/>
    </row>
    <row r="231" spans="1:51" ht="27.75" customHeight="1" x14ac:dyDescent="0.25">
      <c r="A231" s="829"/>
      <c r="B231" s="710"/>
      <c r="C231" s="731"/>
      <c r="D231" s="412" t="s">
        <v>348</v>
      </c>
      <c r="E231" s="179"/>
      <c r="F231" s="180"/>
      <c r="G231" s="174">
        <f>+G230*$G$155/$G$154</f>
        <v>2573116.8831168832</v>
      </c>
      <c r="H231" s="174">
        <f>+H230*$H$155/$H$154</f>
        <v>2573116.8831168832</v>
      </c>
      <c r="I231" s="174" t="e">
        <f>+I230*$I$155/$I$154</f>
        <v>#REF!</v>
      </c>
      <c r="J231" s="410" t="e">
        <f>+J230*$J$155/$J$154</f>
        <v>#REF!</v>
      </c>
      <c r="K231" s="409"/>
      <c r="L231" s="410"/>
      <c r="M231" s="410"/>
      <c r="N231" s="410"/>
      <c r="O231" s="410"/>
      <c r="P231" s="410"/>
      <c r="Q231" s="410"/>
      <c r="R231" s="410" t="e">
        <f>+R230*$R$155/$R$154</f>
        <v>#VALUE!</v>
      </c>
      <c r="S231" s="710"/>
      <c r="T231" s="174">
        <f>+T230*$T$155/$T$154</f>
        <v>0</v>
      </c>
      <c r="U231" s="174">
        <f>+U230*$U$155/$U$154</f>
        <v>11790000</v>
      </c>
      <c r="V231" s="174" t="e">
        <f>+V230*$V$155/$V$154</f>
        <v>#REF!</v>
      </c>
      <c r="W231" s="410" t="e">
        <f>+W230*$W$155/$W$154</f>
        <v>#REF!</v>
      </c>
      <c r="X231" s="411"/>
      <c r="Y231" s="411"/>
      <c r="Z231" s="411"/>
      <c r="AA231" s="433"/>
      <c r="AB231" s="419"/>
      <c r="AC231" s="401"/>
      <c r="AD231" s="409"/>
      <c r="AE231" s="409" t="e">
        <f>+AE230*$AE$155/$AE$154</f>
        <v>#VALUE!</v>
      </c>
      <c r="AF231" s="731"/>
      <c r="AG231" s="823"/>
      <c r="AH231" s="731"/>
      <c r="AI231" s="731"/>
      <c r="AJ231" s="731"/>
      <c r="AK231" s="731"/>
      <c r="AL231" s="731"/>
      <c r="AM231" s="731"/>
      <c r="AN231" s="731"/>
      <c r="AO231" s="731"/>
      <c r="AP231" s="731"/>
      <c r="AQ231" s="731"/>
      <c r="AR231" s="731"/>
      <c r="AS231" s="731"/>
      <c r="AT231" s="731"/>
      <c r="AU231" s="731"/>
      <c r="AV231" s="731"/>
      <c r="AW231" s="731"/>
      <c r="AX231" s="731"/>
      <c r="AY231" s="427"/>
    </row>
    <row r="232" spans="1:51" ht="18" customHeight="1" x14ac:dyDescent="0.25">
      <c r="A232" s="829"/>
      <c r="B232" s="710"/>
      <c r="C232" s="958" t="s">
        <v>1192</v>
      </c>
      <c r="D232" s="413" t="s">
        <v>340</v>
      </c>
      <c r="E232" s="179"/>
      <c r="F232" s="180"/>
      <c r="G232" s="174"/>
      <c r="H232" s="174">
        <v>2</v>
      </c>
      <c r="I232" s="174">
        <v>2</v>
      </c>
      <c r="J232" s="410">
        <v>2</v>
      </c>
      <c r="K232" s="414">
        <v>4</v>
      </c>
      <c r="L232" s="410"/>
      <c r="M232" s="410"/>
      <c r="N232" s="410"/>
      <c r="O232" s="410"/>
      <c r="P232" s="410"/>
      <c r="Q232" s="410"/>
      <c r="R232" s="416"/>
      <c r="S232" s="710"/>
      <c r="T232" s="167"/>
      <c r="U232" s="167">
        <v>2</v>
      </c>
      <c r="V232" s="167">
        <v>2</v>
      </c>
      <c r="W232" s="415">
        <v>2</v>
      </c>
      <c r="X232" s="418">
        <v>4</v>
      </c>
      <c r="Y232" s="411"/>
      <c r="Z232" s="411"/>
      <c r="AA232" s="433"/>
      <c r="AB232" s="419"/>
      <c r="AC232" s="401"/>
      <c r="AD232" s="409"/>
      <c r="AE232" s="420"/>
      <c r="AF232" s="923" t="s">
        <v>1245</v>
      </c>
      <c r="AG232" s="913" t="s">
        <v>1192</v>
      </c>
      <c r="AH232" s="813" t="s">
        <v>1246</v>
      </c>
      <c r="AI232" s="813" t="s">
        <v>1247</v>
      </c>
      <c r="AJ232" s="914" t="s">
        <v>1217</v>
      </c>
      <c r="AK232" s="813" t="s">
        <v>457</v>
      </c>
      <c r="AL232" s="813" t="s">
        <v>178</v>
      </c>
      <c r="AM232" s="813" t="s">
        <v>1136</v>
      </c>
      <c r="AN232" s="909">
        <v>153162</v>
      </c>
      <c r="AO232" s="910">
        <v>71661</v>
      </c>
      <c r="AP232" s="910">
        <v>81501</v>
      </c>
      <c r="AQ232" s="911" t="s">
        <v>459</v>
      </c>
      <c r="AR232" s="911" t="s">
        <v>459</v>
      </c>
      <c r="AS232" s="911" t="s">
        <v>459</v>
      </c>
      <c r="AT232" s="911" t="s">
        <v>459</v>
      </c>
      <c r="AU232" s="915" t="s">
        <v>459</v>
      </c>
      <c r="AV232" s="915" t="s">
        <v>459</v>
      </c>
      <c r="AW232" s="915" t="s">
        <v>459</v>
      </c>
      <c r="AX232" s="910">
        <v>153162</v>
      </c>
      <c r="AY232" s="427"/>
    </row>
    <row r="233" spans="1:51" ht="18.75" customHeight="1" x14ac:dyDescent="0.25">
      <c r="A233" s="829"/>
      <c r="B233" s="710"/>
      <c r="C233" s="710"/>
      <c r="D233" s="404" t="s">
        <v>343</v>
      </c>
      <c r="E233" s="179"/>
      <c r="F233" s="180"/>
      <c r="G233" s="174"/>
      <c r="H233" s="174">
        <f>+H232*$H$155/$H$154</f>
        <v>5146233.7662337665</v>
      </c>
      <c r="I233" s="174" t="e">
        <f>+I232*$I$155/$I$154</f>
        <v>#REF!</v>
      </c>
      <c r="J233" s="410" t="e">
        <f>+J232*$J$155/$J$154</f>
        <v>#REF!</v>
      </c>
      <c r="K233" s="409"/>
      <c r="L233" s="410"/>
      <c r="M233" s="410"/>
      <c r="N233" s="410"/>
      <c r="O233" s="410"/>
      <c r="P233" s="410"/>
      <c r="Q233" s="410"/>
      <c r="R233" s="416"/>
      <c r="S233" s="710"/>
      <c r="T233" s="167"/>
      <c r="U233" s="174">
        <f>+U232*$U$155/$U$154</f>
        <v>23580000</v>
      </c>
      <c r="V233" s="174" t="e">
        <f>+V232*$V$155/$V$154</f>
        <v>#REF!</v>
      </c>
      <c r="W233" s="410" t="e">
        <f>+W232*$W$155/$W$154</f>
        <v>#REF!</v>
      </c>
      <c r="X233" s="411"/>
      <c r="Y233" s="411"/>
      <c r="Z233" s="411"/>
      <c r="AA233" s="433"/>
      <c r="AB233" s="419"/>
      <c r="AC233" s="401"/>
      <c r="AD233" s="409"/>
      <c r="AE233" s="420"/>
      <c r="AF233" s="710"/>
      <c r="AG233" s="829"/>
      <c r="AH233" s="710"/>
      <c r="AI233" s="710"/>
      <c r="AJ233" s="710"/>
      <c r="AK233" s="710"/>
      <c r="AL233" s="710"/>
      <c r="AM233" s="710"/>
      <c r="AN233" s="710"/>
      <c r="AO233" s="710"/>
      <c r="AP233" s="710"/>
      <c r="AQ233" s="710"/>
      <c r="AR233" s="710"/>
      <c r="AS233" s="710"/>
      <c r="AT233" s="710"/>
      <c r="AU233" s="710"/>
      <c r="AV233" s="710"/>
      <c r="AW233" s="710"/>
      <c r="AX233" s="710"/>
      <c r="AY233" s="427"/>
    </row>
    <row r="234" spans="1:51" ht="27.75" customHeight="1" x14ac:dyDescent="0.25">
      <c r="A234" s="829"/>
      <c r="B234" s="710"/>
      <c r="C234" s="710"/>
      <c r="D234" s="408" t="s">
        <v>345</v>
      </c>
      <c r="E234" s="179"/>
      <c r="F234" s="180"/>
      <c r="G234" s="174"/>
      <c r="H234" s="174"/>
      <c r="I234" s="174"/>
      <c r="J234" s="410"/>
      <c r="K234" s="409"/>
      <c r="L234" s="410"/>
      <c r="M234" s="410"/>
      <c r="N234" s="410"/>
      <c r="O234" s="410"/>
      <c r="P234" s="410"/>
      <c r="Q234" s="410"/>
      <c r="R234" s="416"/>
      <c r="S234" s="710"/>
      <c r="T234" s="167"/>
      <c r="U234" s="167"/>
      <c r="V234" s="167"/>
      <c r="W234" s="415"/>
      <c r="X234" s="411"/>
      <c r="Y234" s="411"/>
      <c r="Z234" s="411"/>
      <c r="AA234" s="433"/>
      <c r="AB234" s="419"/>
      <c r="AC234" s="401"/>
      <c r="AD234" s="409"/>
      <c r="AE234" s="420"/>
      <c r="AF234" s="710"/>
      <c r="AG234" s="829"/>
      <c r="AH234" s="710"/>
      <c r="AI234" s="710"/>
      <c r="AJ234" s="710"/>
      <c r="AK234" s="710"/>
      <c r="AL234" s="710"/>
      <c r="AM234" s="710"/>
      <c r="AN234" s="710"/>
      <c r="AO234" s="710"/>
      <c r="AP234" s="710"/>
      <c r="AQ234" s="710"/>
      <c r="AR234" s="710"/>
      <c r="AS234" s="710"/>
      <c r="AT234" s="710"/>
      <c r="AU234" s="710"/>
      <c r="AV234" s="710"/>
      <c r="AW234" s="710"/>
      <c r="AX234" s="710"/>
      <c r="AY234" s="427"/>
    </row>
    <row r="235" spans="1:51" ht="27.75" customHeight="1" x14ac:dyDescent="0.25">
      <c r="A235" s="829"/>
      <c r="B235" s="710"/>
      <c r="C235" s="710"/>
      <c r="D235" s="404" t="s">
        <v>346</v>
      </c>
      <c r="E235" s="179"/>
      <c r="F235" s="180"/>
      <c r="G235" s="174"/>
      <c r="H235" s="174"/>
      <c r="I235" s="174"/>
      <c r="J235" s="410"/>
      <c r="K235" s="409"/>
      <c r="L235" s="410"/>
      <c r="M235" s="410"/>
      <c r="N235" s="410"/>
      <c r="O235" s="410"/>
      <c r="P235" s="410"/>
      <c r="Q235" s="410"/>
      <c r="R235" s="416"/>
      <c r="S235" s="710"/>
      <c r="T235" s="167"/>
      <c r="U235" s="453">
        <f>+$U$157/8</f>
        <v>2428417.875</v>
      </c>
      <c r="V235" s="167"/>
      <c r="W235" s="415"/>
      <c r="X235" s="411"/>
      <c r="Y235" s="411"/>
      <c r="Z235" s="411"/>
      <c r="AA235" s="433"/>
      <c r="AB235" s="419"/>
      <c r="AC235" s="401"/>
      <c r="AD235" s="409"/>
      <c r="AE235" s="420"/>
      <c r="AF235" s="710"/>
      <c r="AG235" s="829"/>
      <c r="AH235" s="710"/>
      <c r="AI235" s="710"/>
      <c r="AJ235" s="710"/>
      <c r="AK235" s="710"/>
      <c r="AL235" s="710"/>
      <c r="AM235" s="710"/>
      <c r="AN235" s="710"/>
      <c r="AO235" s="710"/>
      <c r="AP235" s="710"/>
      <c r="AQ235" s="710"/>
      <c r="AR235" s="710"/>
      <c r="AS235" s="710"/>
      <c r="AT235" s="710"/>
      <c r="AU235" s="710"/>
      <c r="AV235" s="710"/>
      <c r="AW235" s="710"/>
      <c r="AX235" s="710"/>
      <c r="AY235" s="427"/>
    </row>
    <row r="236" spans="1:51" ht="27.75" customHeight="1" x14ac:dyDescent="0.25">
      <c r="A236" s="829"/>
      <c r="B236" s="710"/>
      <c r="C236" s="710"/>
      <c r="D236" s="408" t="s">
        <v>347</v>
      </c>
      <c r="E236" s="179"/>
      <c r="F236" s="180"/>
      <c r="G236" s="174"/>
      <c r="H236" s="174">
        <v>2</v>
      </c>
      <c r="I236" s="174">
        <v>2</v>
      </c>
      <c r="J236" s="410">
        <v>2</v>
      </c>
      <c r="K236" s="409"/>
      <c r="L236" s="410"/>
      <c r="M236" s="410"/>
      <c r="N236" s="410"/>
      <c r="O236" s="410"/>
      <c r="P236" s="410"/>
      <c r="Q236" s="410"/>
      <c r="R236" s="416"/>
      <c r="S236" s="710"/>
      <c r="T236" s="167"/>
      <c r="U236" s="167">
        <v>2</v>
      </c>
      <c r="V236" s="167">
        <v>2</v>
      </c>
      <c r="W236" s="415">
        <v>2</v>
      </c>
      <c r="X236" s="411"/>
      <c r="Y236" s="411"/>
      <c r="Z236" s="411"/>
      <c r="AA236" s="433"/>
      <c r="AB236" s="419"/>
      <c r="AC236" s="401"/>
      <c r="AD236" s="409"/>
      <c r="AE236" s="420"/>
      <c r="AF236" s="710"/>
      <c r="AG236" s="829"/>
      <c r="AH236" s="710"/>
      <c r="AI236" s="710"/>
      <c r="AJ236" s="710"/>
      <c r="AK236" s="710"/>
      <c r="AL236" s="710"/>
      <c r="AM236" s="710"/>
      <c r="AN236" s="710"/>
      <c r="AO236" s="710"/>
      <c r="AP236" s="710"/>
      <c r="AQ236" s="710"/>
      <c r="AR236" s="710"/>
      <c r="AS236" s="710"/>
      <c r="AT236" s="710"/>
      <c r="AU236" s="710"/>
      <c r="AV236" s="710"/>
      <c r="AW236" s="710"/>
      <c r="AX236" s="710"/>
      <c r="AY236" s="427"/>
    </row>
    <row r="237" spans="1:51" ht="27.75" customHeight="1" x14ac:dyDescent="0.25">
      <c r="A237" s="829"/>
      <c r="B237" s="710"/>
      <c r="C237" s="731"/>
      <c r="D237" s="412" t="s">
        <v>348</v>
      </c>
      <c r="E237" s="179"/>
      <c r="F237" s="180"/>
      <c r="G237" s="174"/>
      <c r="H237" s="174">
        <f>+H236*$H$155/$H$154</f>
        <v>5146233.7662337665</v>
      </c>
      <c r="I237" s="174" t="e">
        <f>+I236*$I$155/$I$154</f>
        <v>#REF!</v>
      </c>
      <c r="J237" s="410" t="e">
        <f>+J236*$J$155/$J$154</f>
        <v>#REF!</v>
      </c>
      <c r="K237" s="409"/>
      <c r="L237" s="410"/>
      <c r="M237" s="410"/>
      <c r="N237" s="410"/>
      <c r="O237" s="410"/>
      <c r="P237" s="410"/>
      <c r="Q237" s="410"/>
      <c r="R237" s="416"/>
      <c r="S237" s="710"/>
      <c r="T237" s="167"/>
      <c r="U237" s="174">
        <f>+U236*$U$155/$U$154</f>
        <v>23580000</v>
      </c>
      <c r="V237" s="174" t="e">
        <f>+V236*$V$155/$V$154</f>
        <v>#REF!</v>
      </c>
      <c r="W237" s="410" t="e">
        <f>+W236*$W$155/$W$154</f>
        <v>#REF!</v>
      </c>
      <c r="X237" s="411"/>
      <c r="Y237" s="411"/>
      <c r="Z237" s="411"/>
      <c r="AA237" s="433"/>
      <c r="AB237" s="419"/>
      <c r="AC237" s="401"/>
      <c r="AD237" s="409"/>
      <c r="AE237" s="420"/>
      <c r="AF237" s="731"/>
      <c r="AG237" s="823"/>
      <c r="AH237" s="731"/>
      <c r="AI237" s="731"/>
      <c r="AJ237" s="731"/>
      <c r="AK237" s="731"/>
      <c r="AL237" s="731"/>
      <c r="AM237" s="731"/>
      <c r="AN237" s="731"/>
      <c r="AO237" s="731"/>
      <c r="AP237" s="731"/>
      <c r="AQ237" s="731"/>
      <c r="AR237" s="731"/>
      <c r="AS237" s="731"/>
      <c r="AT237" s="731"/>
      <c r="AU237" s="731"/>
      <c r="AV237" s="731"/>
      <c r="AW237" s="731"/>
      <c r="AX237" s="731"/>
      <c r="AY237" s="427"/>
    </row>
    <row r="238" spans="1:51" ht="18" hidden="1" customHeight="1" x14ac:dyDescent="0.25">
      <c r="A238" s="829"/>
      <c r="B238" s="710"/>
      <c r="C238" s="818" t="s">
        <v>662</v>
      </c>
      <c r="D238" s="413" t="s">
        <v>340</v>
      </c>
      <c r="E238" s="179"/>
      <c r="F238" s="180"/>
      <c r="G238" s="174"/>
      <c r="H238" s="174"/>
      <c r="I238" s="174"/>
      <c r="J238" s="410"/>
      <c r="K238" s="409"/>
      <c r="L238" s="410"/>
      <c r="M238" s="410"/>
      <c r="N238" s="410"/>
      <c r="O238" s="410"/>
      <c r="P238" s="410"/>
      <c r="Q238" s="410"/>
      <c r="R238" s="416"/>
      <c r="S238" s="710"/>
      <c r="T238" s="167"/>
      <c r="U238" s="167"/>
      <c r="V238" s="167"/>
      <c r="W238" s="415"/>
      <c r="X238" s="411"/>
      <c r="Y238" s="411"/>
      <c r="Z238" s="411"/>
      <c r="AA238" s="433"/>
      <c r="AB238" s="419"/>
      <c r="AC238" s="401"/>
      <c r="AD238" s="409"/>
      <c r="AE238" s="420"/>
      <c r="AF238" s="455"/>
      <c r="AG238" s="913" t="s">
        <v>662</v>
      </c>
      <c r="AH238" s="813" t="s">
        <v>633</v>
      </c>
      <c r="AI238" s="813" t="s">
        <v>633</v>
      </c>
      <c r="AJ238" s="914" t="s">
        <v>1217</v>
      </c>
      <c r="AK238" s="813" t="s">
        <v>457</v>
      </c>
      <c r="AL238" s="813" t="s">
        <v>178</v>
      </c>
      <c r="AM238" s="813" t="s">
        <v>1136</v>
      </c>
      <c r="AN238" s="909">
        <v>93248</v>
      </c>
      <c r="AO238" s="910">
        <v>37102</v>
      </c>
      <c r="AP238" s="910">
        <v>38674</v>
      </c>
      <c r="AQ238" s="911" t="s">
        <v>459</v>
      </c>
      <c r="AR238" s="911" t="s">
        <v>459</v>
      </c>
      <c r="AS238" s="911" t="s">
        <v>459</v>
      </c>
      <c r="AT238" s="911" t="s">
        <v>459</v>
      </c>
      <c r="AU238" s="915" t="s">
        <v>459</v>
      </c>
      <c r="AV238" s="915" t="s">
        <v>459</v>
      </c>
      <c r="AW238" s="915" t="s">
        <v>459</v>
      </c>
      <c r="AX238" s="910">
        <v>93248</v>
      </c>
      <c r="AY238" s="427"/>
    </row>
    <row r="239" spans="1:51" ht="18.75" hidden="1" customHeight="1" x14ac:dyDescent="0.25">
      <c r="A239" s="829"/>
      <c r="B239" s="710"/>
      <c r="C239" s="710"/>
      <c r="D239" s="404" t="s">
        <v>343</v>
      </c>
      <c r="E239" s="179"/>
      <c r="F239" s="180"/>
      <c r="G239" s="174"/>
      <c r="H239" s="174"/>
      <c r="I239" s="174"/>
      <c r="J239" s="410"/>
      <c r="K239" s="409"/>
      <c r="L239" s="410"/>
      <c r="M239" s="410"/>
      <c r="N239" s="410"/>
      <c r="O239" s="410"/>
      <c r="P239" s="410"/>
      <c r="Q239" s="410"/>
      <c r="R239" s="416"/>
      <c r="S239" s="710"/>
      <c r="T239" s="167"/>
      <c r="U239" s="167"/>
      <c r="V239" s="167"/>
      <c r="W239" s="415"/>
      <c r="X239" s="411"/>
      <c r="Y239" s="411"/>
      <c r="Z239" s="411"/>
      <c r="AA239" s="433"/>
      <c r="AB239" s="419"/>
      <c r="AC239" s="401"/>
      <c r="AD239" s="409"/>
      <c r="AE239" s="420"/>
      <c r="AF239" s="455"/>
      <c r="AG239" s="829"/>
      <c r="AH239" s="710"/>
      <c r="AI239" s="710"/>
      <c r="AJ239" s="710"/>
      <c r="AK239" s="710"/>
      <c r="AL239" s="710"/>
      <c r="AM239" s="710"/>
      <c r="AN239" s="710"/>
      <c r="AO239" s="710"/>
      <c r="AP239" s="710"/>
      <c r="AQ239" s="710"/>
      <c r="AR239" s="710"/>
      <c r="AS239" s="710"/>
      <c r="AT239" s="710"/>
      <c r="AU239" s="710"/>
      <c r="AV239" s="710"/>
      <c r="AW239" s="710"/>
      <c r="AX239" s="710"/>
      <c r="AY239" s="427"/>
    </row>
    <row r="240" spans="1:51" ht="27.75" hidden="1" customHeight="1" x14ac:dyDescent="0.25">
      <c r="A240" s="829"/>
      <c r="B240" s="710"/>
      <c r="C240" s="710"/>
      <c r="D240" s="408" t="s">
        <v>345</v>
      </c>
      <c r="E240" s="179"/>
      <c r="F240" s="180"/>
      <c r="G240" s="174"/>
      <c r="H240" s="174"/>
      <c r="I240" s="174"/>
      <c r="J240" s="410"/>
      <c r="K240" s="409"/>
      <c r="L240" s="410"/>
      <c r="M240" s="410"/>
      <c r="N240" s="410"/>
      <c r="O240" s="410"/>
      <c r="P240" s="410"/>
      <c r="Q240" s="410"/>
      <c r="R240" s="416"/>
      <c r="S240" s="710"/>
      <c r="T240" s="167"/>
      <c r="U240" s="167"/>
      <c r="V240" s="167"/>
      <c r="W240" s="415"/>
      <c r="X240" s="411"/>
      <c r="Y240" s="411"/>
      <c r="Z240" s="411"/>
      <c r="AA240" s="433"/>
      <c r="AB240" s="419"/>
      <c r="AC240" s="401"/>
      <c r="AD240" s="409"/>
      <c r="AE240" s="420"/>
      <c r="AF240" s="455"/>
      <c r="AG240" s="829"/>
      <c r="AH240" s="710"/>
      <c r="AI240" s="710"/>
      <c r="AJ240" s="710"/>
      <c r="AK240" s="710"/>
      <c r="AL240" s="710"/>
      <c r="AM240" s="710"/>
      <c r="AN240" s="710"/>
      <c r="AO240" s="710"/>
      <c r="AP240" s="710"/>
      <c r="AQ240" s="710"/>
      <c r="AR240" s="710"/>
      <c r="AS240" s="710"/>
      <c r="AT240" s="710"/>
      <c r="AU240" s="710"/>
      <c r="AV240" s="710"/>
      <c r="AW240" s="710"/>
      <c r="AX240" s="710"/>
      <c r="AY240" s="427"/>
    </row>
    <row r="241" spans="1:51" ht="27.75" hidden="1" customHeight="1" x14ac:dyDescent="0.25">
      <c r="A241" s="829"/>
      <c r="B241" s="710"/>
      <c r="C241" s="710"/>
      <c r="D241" s="404" t="s">
        <v>346</v>
      </c>
      <c r="E241" s="179"/>
      <c r="F241" s="180"/>
      <c r="G241" s="174"/>
      <c r="H241" s="174"/>
      <c r="I241" s="174"/>
      <c r="J241" s="410"/>
      <c r="K241" s="409"/>
      <c r="L241" s="410"/>
      <c r="M241" s="410"/>
      <c r="N241" s="410"/>
      <c r="O241" s="410"/>
      <c r="P241" s="410"/>
      <c r="Q241" s="410"/>
      <c r="R241" s="416"/>
      <c r="S241" s="710"/>
      <c r="T241" s="167"/>
      <c r="U241" s="167"/>
      <c r="V241" s="167"/>
      <c r="W241" s="415"/>
      <c r="X241" s="411"/>
      <c r="Y241" s="411"/>
      <c r="Z241" s="411"/>
      <c r="AA241" s="433"/>
      <c r="AB241" s="419"/>
      <c r="AC241" s="401"/>
      <c r="AD241" s="409"/>
      <c r="AE241" s="420"/>
      <c r="AF241" s="455"/>
      <c r="AG241" s="829"/>
      <c r="AH241" s="710"/>
      <c r="AI241" s="710"/>
      <c r="AJ241" s="710"/>
      <c r="AK241" s="710"/>
      <c r="AL241" s="710"/>
      <c r="AM241" s="710"/>
      <c r="AN241" s="710"/>
      <c r="AO241" s="710"/>
      <c r="AP241" s="710"/>
      <c r="AQ241" s="710"/>
      <c r="AR241" s="710"/>
      <c r="AS241" s="710"/>
      <c r="AT241" s="710"/>
      <c r="AU241" s="710"/>
      <c r="AV241" s="710"/>
      <c r="AW241" s="710"/>
      <c r="AX241" s="710"/>
      <c r="AY241" s="427"/>
    </row>
    <row r="242" spans="1:51" ht="27.75" hidden="1" customHeight="1" x14ac:dyDescent="0.25">
      <c r="A242" s="829"/>
      <c r="B242" s="710"/>
      <c r="C242" s="710"/>
      <c r="D242" s="408" t="s">
        <v>347</v>
      </c>
      <c r="E242" s="179"/>
      <c r="F242" s="180"/>
      <c r="G242" s="174"/>
      <c r="H242" s="174"/>
      <c r="I242" s="174"/>
      <c r="J242" s="410"/>
      <c r="K242" s="409"/>
      <c r="L242" s="410"/>
      <c r="M242" s="410"/>
      <c r="N242" s="410"/>
      <c r="O242" s="410"/>
      <c r="P242" s="410"/>
      <c r="Q242" s="410"/>
      <c r="R242" s="416"/>
      <c r="S242" s="710"/>
      <c r="T242" s="167"/>
      <c r="U242" s="167"/>
      <c r="V242" s="167"/>
      <c r="W242" s="415"/>
      <c r="X242" s="411"/>
      <c r="Y242" s="411"/>
      <c r="Z242" s="411"/>
      <c r="AA242" s="433"/>
      <c r="AB242" s="419"/>
      <c r="AC242" s="401"/>
      <c r="AD242" s="409"/>
      <c r="AE242" s="420"/>
      <c r="AF242" s="455"/>
      <c r="AG242" s="829"/>
      <c r="AH242" s="710"/>
      <c r="AI242" s="710"/>
      <c r="AJ242" s="710"/>
      <c r="AK242" s="710"/>
      <c r="AL242" s="710"/>
      <c r="AM242" s="710"/>
      <c r="AN242" s="710"/>
      <c r="AO242" s="710"/>
      <c r="AP242" s="710"/>
      <c r="AQ242" s="710"/>
      <c r="AR242" s="710"/>
      <c r="AS242" s="710"/>
      <c r="AT242" s="710"/>
      <c r="AU242" s="710"/>
      <c r="AV242" s="710"/>
      <c r="AW242" s="710"/>
      <c r="AX242" s="710"/>
      <c r="AY242" s="427"/>
    </row>
    <row r="243" spans="1:51" ht="27.75" hidden="1" customHeight="1" x14ac:dyDescent="0.25">
      <c r="A243" s="829"/>
      <c r="B243" s="710"/>
      <c r="C243" s="731"/>
      <c r="D243" s="412" t="s">
        <v>348</v>
      </c>
      <c r="E243" s="179"/>
      <c r="F243" s="180"/>
      <c r="G243" s="174"/>
      <c r="H243" s="174"/>
      <c r="I243" s="174"/>
      <c r="J243" s="410"/>
      <c r="K243" s="409"/>
      <c r="L243" s="410"/>
      <c r="M243" s="410"/>
      <c r="N243" s="410"/>
      <c r="O243" s="410"/>
      <c r="P243" s="410"/>
      <c r="Q243" s="410"/>
      <c r="R243" s="416"/>
      <c r="S243" s="710"/>
      <c r="T243" s="167"/>
      <c r="U243" s="167"/>
      <c r="V243" s="167"/>
      <c r="W243" s="415"/>
      <c r="X243" s="411"/>
      <c r="Y243" s="411"/>
      <c r="Z243" s="411"/>
      <c r="AA243" s="433"/>
      <c r="AB243" s="419"/>
      <c r="AC243" s="401"/>
      <c r="AD243" s="409"/>
      <c r="AE243" s="420"/>
      <c r="AF243" s="455"/>
      <c r="AG243" s="823"/>
      <c r="AH243" s="731"/>
      <c r="AI243" s="731"/>
      <c r="AJ243" s="731"/>
      <c r="AK243" s="731"/>
      <c r="AL243" s="731"/>
      <c r="AM243" s="731"/>
      <c r="AN243" s="731"/>
      <c r="AO243" s="731"/>
      <c r="AP243" s="731"/>
      <c r="AQ243" s="731"/>
      <c r="AR243" s="731"/>
      <c r="AS243" s="731"/>
      <c r="AT243" s="731"/>
      <c r="AU243" s="731"/>
      <c r="AV243" s="731"/>
      <c r="AW243" s="731"/>
      <c r="AX243" s="731"/>
      <c r="AY243" s="427"/>
    </row>
    <row r="244" spans="1:51" ht="18" hidden="1" customHeight="1" x14ac:dyDescent="0.25">
      <c r="A244" s="829"/>
      <c r="B244" s="710"/>
      <c r="C244" s="818" t="s">
        <v>666</v>
      </c>
      <c r="D244" s="413" t="s">
        <v>340</v>
      </c>
      <c r="E244" s="179"/>
      <c r="F244" s="180"/>
      <c r="G244" s="174"/>
      <c r="H244" s="174"/>
      <c r="I244" s="174"/>
      <c r="J244" s="410"/>
      <c r="K244" s="409"/>
      <c r="L244" s="410"/>
      <c r="M244" s="410"/>
      <c r="N244" s="410"/>
      <c r="O244" s="410"/>
      <c r="P244" s="410"/>
      <c r="Q244" s="410"/>
      <c r="R244" s="416">
        <v>1</v>
      </c>
      <c r="S244" s="710"/>
      <c r="T244" s="167"/>
      <c r="U244" s="167"/>
      <c r="V244" s="167"/>
      <c r="W244" s="415"/>
      <c r="X244" s="411"/>
      <c r="Y244" s="411"/>
      <c r="Z244" s="411"/>
      <c r="AA244" s="433"/>
      <c r="AB244" s="419"/>
      <c r="AC244" s="401"/>
      <c r="AD244" s="409"/>
      <c r="AE244" s="420">
        <v>1</v>
      </c>
      <c r="AF244" s="455"/>
      <c r="AG244" s="913" t="s">
        <v>666</v>
      </c>
      <c r="AH244" s="813" t="s">
        <v>1196</v>
      </c>
      <c r="AI244" s="813" t="s">
        <v>1248</v>
      </c>
      <c r="AJ244" s="914" t="s">
        <v>1217</v>
      </c>
      <c r="AK244" s="813" t="s">
        <v>457</v>
      </c>
      <c r="AL244" s="813" t="s">
        <v>178</v>
      </c>
      <c r="AM244" s="813" t="s">
        <v>1136</v>
      </c>
      <c r="AN244" s="909">
        <v>109254</v>
      </c>
      <c r="AO244" s="910">
        <v>39611</v>
      </c>
      <c r="AP244" s="910">
        <v>43209</v>
      </c>
      <c r="AQ244" s="911" t="s">
        <v>459</v>
      </c>
      <c r="AR244" s="911" t="s">
        <v>459</v>
      </c>
      <c r="AS244" s="911" t="s">
        <v>459</v>
      </c>
      <c r="AT244" s="911" t="s">
        <v>459</v>
      </c>
      <c r="AU244" s="915" t="s">
        <v>459</v>
      </c>
      <c r="AV244" s="915" t="s">
        <v>459</v>
      </c>
      <c r="AW244" s="915" t="s">
        <v>459</v>
      </c>
      <c r="AX244" s="910">
        <v>109254</v>
      </c>
      <c r="AY244" s="427"/>
    </row>
    <row r="245" spans="1:51" ht="18.75" hidden="1" customHeight="1" x14ac:dyDescent="0.25">
      <c r="A245" s="829"/>
      <c r="B245" s="710"/>
      <c r="C245" s="710"/>
      <c r="D245" s="404" t="s">
        <v>343</v>
      </c>
      <c r="E245" s="179"/>
      <c r="F245" s="180"/>
      <c r="G245" s="174"/>
      <c r="H245" s="174"/>
      <c r="I245" s="174"/>
      <c r="J245" s="410"/>
      <c r="K245" s="409"/>
      <c r="L245" s="410"/>
      <c r="M245" s="410"/>
      <c r="N245" s="410"/>
      <c r="O245" s="410"/>
      <c r="P245" s="410"/>
      <c r="Q245" s="410"/>
      <c r="R245" s="410" t="e">
        <f>+R244*$R$155/$R$154</f>
        <v>#VALUE!</v>
      </c>
      <c r="S245" s="710"/>
      <c r="T245" s="167"/>
      <c r="U245" s="167"/>
      <c r="V245" s="167"/>
      <c r="W245" s="415"/>
      <c r="X245" s="411"/>
      <c r="Y245" s="411"/>
      <c r="Z245" s="411"/>
      <c r="AA245" s="433"/>
      <c r="AB245" s="419"/>
      <c r="AC245" s="401"/>
      <c r="AD245" s="409"/>
      <c r="AE245" s="409" t="e">
        <f>+AE244*$AE$155/$AE$154</f>
        <v>#VALUE!</v>
      </c>
      <c r="AF245" s="455"/>
      <c r="AG245" s="829"/>
      <c r="AH245" s="710"/>
      <c r="AI245" s="710"/>
      <c r="AJ245" s="710"/>
      <c r="AK245" s="710"/>
      <c r="AL245" s="710"/>
      <c r="AM245" s="710"/>
      <c r="AN245" s="710"/>
      <c r="AO245" s="710"/>
      <c r="AP245" s="710"/>
      <c r="AQ245" s="710"/>
      <c r="AR245" s="710"/>
      <c r="AS245" s="710"/>
      <c r="AT245" s="710"/>
      <c r="AU245" s="710"/>
      <c r="AV245" s="710"/>
      <c r="AW245" s="710"/>
      <c r="AX245" s="710"/>
      <c r="AY245" s="427"/>
    </row>
    <row r="246" spans="1:51" ht="27.75" hidden="1" customHeight="1" x14ac:dyDescent="0.25">
      <c r="A246" s="829"/>
      <c r="B246" s="710"/>
      <c r="C246" s="710"/>
      <c r="D246" s="408" t="s">
        <v>345</v>
      </c>
      <c r="E246" s="179"/>
      <c r="F246" s="180"/>
      <c r="G246" s="174"/>
      <c r="H246" s="174"/>
      <c r="I246" s="174"/>
      <c r="J246" s="410"/>
      <c r="K246" s="409"/>
      <c r="L246" s="410"/>
      <c r="M246" s="410"/>
      <c r="N246" s="410"/>
      <c r="O246" s="410"/>
      <c r="P246" s="410"/>
      <c r="Q246" s="410"/>
      <c r="R246" s="416"/>
      <c r="S246" s="710"/>
      <c r="T246" s="167"/>
      <c r="U246" s="167"/>
      <c r="V246" s="167"/>
      <c r="W246" s="415"/>
      <c r="X246" s="411"/>
      <c r="Y246" s="411"/>
      <c r="Z246" s="411"/>
      <c r="AA246" s="433"/>
      <c r="AB246" s="419"/>
      <c r="AC246" s="401"/>
      <c r="AD246" s="409"/>
      <c r="AE246" s="420"/>
      <c r="AF246" s="455"/>
      <c r="AG246" s="829"/>
      <c r="AH246" s="710"/>
      <c r="AI246" s="710"/>
      <c r="AJ246" s="710"/>
      <c r="AK246" s="710"/>
      <c r="AL246" s="710"/>
      <c r="AM246" s="710"/>
      <c r="AN246" s="710"/>
      <c r="AO246" s="710"/>
      <c r="AP246" s="710"/>
      <c r="AQ246" s="710"/>
      <c r="AR246" s="710"/>
      <c r="AS246" s="710"/>
      <c r="AT246" s="710"/>
      <c r="AU246" s="710"/>
      <c r="AV246" s="710"/>
      <c r="AW246" s="710"/>
      <c r="AX246" s="710"/>
      <c r="AY246" s="427"/>
    </row>
    <row r="247" spans="1:51" ht="27.75" hidden="1" customHeight="1" x14ac:dyDescent="0.25">
      <c r="A247" s="829"/>
      <c r="B247" s="710"/>
      <c r="C247" s="710"/>
      <c r="D247" s="404" t="s">
        <v>346</v>
      </c>
      <c r="E247" s="179"/>
      <c r="F247" s="180"/>
      <c r="G247" s="174"/>
      <c r="H247" s="174"/>
      <c r="I247" s="174"/>
      <c r="J247" s="410"/>
      <c r="K247" s="409"/>
      <c r="L247" s="410"/>
      <c r="M247" s="410"/>
      <c r="N247" s="410"/>
      <c r="O247" s="410"/>
      <c r="P247" s="410"/>
      <c r="Q247" s="410"/>
      <c r="R247" s="416"/>
      <c r="S247" s="710"/>
      <c r="T247" s="167"/>
      <c r="U247" s="167"/>
      <c r="V247" s="167"/>
      <c r="W247" s="415"/>
      <c r="X247" s="411"/>
      <c r="Y247" s="411"/>
      <c r="Z247" s="411"/>
      <c r="AA247" s="433"/>
      <c r="AB247" s="419"/>
      <c r="AC247" s="401"/>
      <c r="AD247" s="409"/>
      <c r="AE247" s="420"/>
      <c r="AF247" s="455"/>
      <c r="AG247" s="829"/>
      <c r="AH247" s="710"/>
      <c r="AI247" s="710"/>
      <c r="AJ247" s="710"/>
      <c r="AK247" s="710"/>
      <c r="AL247" s="710"/>
      <c r="AM247" s="710"/>
      <c r="AN247" s="710"/>
      <c r="AO247" s="710"/>
      <c r="AP247" s="710"/>
      <c r="AQ247" s="710"/>
      <c r="AR247" s="710"/>
      <c r="AS247" s="710"/>
      <c r="AT247" s="710"/>
      <c r="AU247" s="710"/>
      <c r="AV247" s="710"/>
      <c r="AW247" s="710"/>
      <c r="AX247" s="710"/>
      <c r="AY247" s="427"/>
    </row>
    <row r="248" spans="1:51" ht="27.75" hidden="1" customHeight="1" x14ac:dyDescent="0.25">
      <c r="A248" s="829"/>
      <c r="B248" s="710"/>
      <c r="C248" s="710"/>
      <c r="D248" s="408" t="s">
        <v>347</v>
      </c>
      <c r="E248" s="179"/>
      <c r="F248" s="180"/>
      <c r="G248" s="174"/>
      <c r="H248" s="174"/>
      <c r="I248" s="174"/>
      <c r="J248" s="410"/>
      <c r="K248" s="409"/>
      <c r="L248" s="410"/>
      <c r="M248" s="410"/>
      <c r="N248" s="410"/>
      <c r="O248" s="410"/>
      <c r="P248" s="410"/>
      <c r="Q248" s="410"/>
      <c r="R248" s="416">
        <v>1</v>
      </c>
      <c r="S248" s="710"/>
      <c r="T248" s="167"/>
      <c r="U248" s="167"/>
      <c r="V248" s="167"/>
      <c r="W248" s="415"/>
      <c r="X248" s="411"/>
      <c r="Y248" s="411"/>
      <c r="Z248" s="411"/>
      <c r="AA248" s="433"/>
      <c r="AB248" s="419"/>
      <c r="AC248" s="401"/>
      <c r="AD248" s="409"/>
      <c r="AE248" s="420">
        <v>1</v>
      </c>
      <c r="AF248" s="455"/>
      <c r="AG248" s="829"/>
      <c r="AH248" s="710"/>
      <c r="AI248" s="710"/>
      <c r="AJ248" s="710"/>
      <c r="AK248" s="710"/>
      <c r="AL248" s="710"/>
      <c r="AM248" s="710"/>
      <c r="AN248" s="710"/>
      <c r="AO248" s="710"/>
      <c r="AP248" s="710"/>
      <c r="AQ248" s="710"/>
      <c r="AR248" s="710"/>
      <c r="AS248" s="710"/>
      <c r="AT248" s="710"/>
      <c r="AU248" s="710"/>
      <c r="AV248" s="710"/>
      <c r="AW248" s="710"/>
      <c r="AX248" s="710"/>
      <c r="AY248" s="427"/>
    </row>
    <row r="249" spans="1:51" ht="27.75" hidden="1" customHeight="1" x14ac:dyDescent="0.25">
      <c r="A249" s="829"/>
      <c r="B249" s="710"/>
      <c r="C249" s="731"/>
      <c r="D249" s="412" t="s">
        <v>348</v>
      </c>
      <c r="E249" s="179"/>
      <c r="F249" s="180"/>
      <c r="G249" s="174"/>
      <c r="H249" s="174"/>
      <c r="I249" s="174"/>
      <c r="J249" s="410"/>
      <c r="K249" s="409"/>
      <c r="L249" s="410"/>
      <c r="M249" s="410"/>
      <c r="N249" s="410"/>
      <c r="O249" s="410"/>
      <c r="P249" s="410"/>
      <c r="Q249" s="410"/>
      <c r="R249" s="410" t="e">
        <f>+R248*$R$155/$R$154</f>
        <v>#VALUE!</v>
      </c>
      <c r="S249" s="710"/>
      <c r="T249" s="167"/>
      <c r="U249" s="167"/>
      <c r="V249" s="167"/>
      <c r="W249" s="415"/>
      <c r="X249" s="411"/>
      <c r="Y249" s="411"/>
      <c r="Z249" s="411"/>
      <c r="AA249" s="433"/>
      <c r="AB249" s="419"/>
      <c r="AC249" s="401"/>
      <c r="AD249" s="409"/>
      <c r="AE249" s="409" t="e">
        <f>+AE248*$AE$155/$AE$154</f>
        <v>#VALUE!</v>
      </c>
      <c r="AF249" s="455"/>
      <c r="AG249" s="823"/>
      <c r="AH249" s="731"/>
      <c r="AI249" s="731"/>
      <c r="AJ249" s="731"/>
      <c r="AK249" s="731"/>
      <c r="AL249" s="731"/>
      <c r="AM249" s="731"/>
      <c r="AN249" s="731"/>
      <c r="AO249" s="731"/>
      <c r="AP249" s="731"/>
      <c r="AQ249" s="731"/>
      <c r="AR249" s="731"/>
      <c r="AS249" s="731"/>
      <c r="AT249" s="731"/>
      <c r="AU249" s="731"/>
      <c r="AV249" s="731"/>
      <c r="AW249" s="731"/>
      <c r="AX249" s="731"/>
      <c r="AY249" s="427"/>
    </row>
    <row r="250" spans="1:51" ht="18" customHeight="1" x14ac:dyDescent="0.25">
      <c r="A250" s="829"/>
      <c r="B250" s="710"/>
      <c r="C250" s="818" t="s">
        <v>670</v>
      </c>
      <c r="D250" s="413" t="s">
        <v>340</v>
      </c>
      <c r="E250" s="179"/>
      <c r="F250" s="180"/>
      <c r="G250" s="174"/>
      <c r="H250" s="174"/>
      <c r="I250" s="174"/>
      <c r="J250" s="410">
        <v>1</v>
      </c>
      <c r="K250" s="414">
        <v>1</v>
      </c>
      <c r="L250" s="410"/>
      <c r="M250" s="410"/>
      <c r="N250" s="410"/>
      <c r="O250" s="410"/>
      <c r="P250" s="410"/>
      <c r="Q250" s="410"/>
      <c r="R250" s="416"/>
      <c r="S250" s="710"/>
      <c r="T250" s="167"/>
      <c r="U250" s="167"/>
      <c r="V250" s="167"/>
      <c r="W250" s="415">
        <v>1</v>
      </c>
      <c r="X250" s="418">
        <v>1</v>
      </c>
      <c r="Y250" s="411"/>
      <c r="Z250" s="411"/>
      <c r="AA250" s="433"/>
      <c r="AB250" s="419"/>
      <c r="AC250" s="401"/>
      <c r="AD250" s="409"/>
      <c r="AE250" s="420"/>
      <c r="AF250" s="926" t="s">
        <v>1249</v>
      </c>
      <c r="AG250" s="913" t="s">
        <v>1250</v>
      </c>
      <c r="AH250" s="813" t="s">
        <v>1251</v>
      </c>
      <c r="AI250" s="813" t="s">
        <v>1252</v>
      </c>
      <c r="AJ250" s="914" t="s">
        <v>1217</v>
      </c>
      <c r="AK250" s="813" t="s">
        <v>457</v>
      </c>
      <c r="AL250" s="813" t="s">
        <v>178</v>
      </c>
      <c r="AM250" s="813" t="s">
        <v>1136</v>
      </c>
      <c r="AN250" s="909">
        <v>22438</v>
      </c>
      <c r="AO250" s="910">
        <v>118748</v>
      </c>
      <c r="AP250" s="910">
        <v>132822</v>
      </c>
      <c r="AQ250" s="911" t="s">
        <v>459</v>
      </c>
      <c r="AR250" s="911" t="s">
        <v>459</v>
      </c>
      <c r="AS250" s="911" t="s">
        <v>459</v>
      </c>
      <c r="AT250" s="911" t="s">
        <v>459</v>
      </c>
      <c r="AU250" s="915" t="s">
        <v>459</v>
      </c>
      <c r="AV250" s="915" t="s">
        <v>459</v>
      </c>
      <c r="AW250" s="915" t="s">
        <v>459</v>
      </c>
      <c r="AX250" s="910">
        <v>22438</v>
      </c>
      <c r="AY250" s="427"/>
    </row>
    <row r="251" spans="1:51" ht="18.75" customHeight="1" x14ac:dyDescent="0.25">
      <c r="A251" s="829"/>
      <c r="B251" s="710"/>
      <c r="C251" s="710"/>
      <c r="D251" s="404" t="s">
        <v>343</v>
      </c>
      <c r="E251" s="179"/>
      <c r="F251" s="180"/>
      <c r="G251" s="174"/>
      <c r="H251" s="174"/>
      <c r="I251" s="174"/>
      <c r="J251" s="410" t="e">
        <f>+J250*$J$155/$J$154</f>
        <v>#REF!</v>
      </c>
      <c r="K251" s="409"/>
      <c r="L251" s="410"/>
      <c r="M251" s="410"/>
      <c r="N251" s="410"/>
      <c r="O251" s="410"/>
      <c r="P251" s="410"/>
      <c r="Q251" s="410"/>
      <c r="R251" s="416"/>
      <c r="S251" s="710"/>
      <c r="T251" s="167"/>
      <c r="U251" s="167"/>
      <c r="V251" s="167"/>
      <c r="W251" s="410" t="e">
        <f>+W250*$W$155/$W$154</f>
        <v>#REF!</v>
      </c>
      <c r="X251" s="411"/>
      <c r="Y251" s="411"/>
      <c r="Z251" s="411"/>
      <c r="AA251" s="433"/>
      <c r="AB251" s="419"/>
      <c r="AC251" s="401"/>
      <c r="AD251" s="409"/>
      <c r="AE251" s="420"/>
      <c r="AF251" s="710"/>
      <c r="AG251" s="829"/>
      <c r="AH251" s="710"/>
      <c r="AI251" s="710"/>
      <c r="AJ251" s="710"/>
      <c r="AK251" s="710"/>
      <c r="AL251" s="710"/>
      <c r="AM251" s="710"/>
      <c r="AN251" s="710"/>
      <c r="AO251" s="710"/>
      <c r="AP251" s="710"/>
      <c r="AQ251" s="710"/>
      <c r="AR251" s="710"/>
      <c r="AS251" s="710"/>
      <c r="AT251" s="710"/>
      <c r="AU251" s="710"/>
      <c r="AV251" s="710"/>
      <c r="AW251" s="710"/>
      <c r="AX251" s="710"/>
      <c r="AY251" s="427"/>
    </row>
    <row r="252" spans="1:51" ht="27.75" customHeight="1" x14ac:dyDescent="0.25">
      <c r="A252" s="829"/>
      <c r="B252" s="710"/>
      <c r="C252" s="710"/>
      <c r="D252" s="408" t="s">
        <v>345</v>
      </c>
      <c r="E252" s="179"/>
      <c r="F252" s="180"/>
      <c r="G252" s="174"/>
      <c r="H252" s="174"/>
      <c r="I252" s="174"/>
      <c r="J252" s="410"/>
      <c r="K252" s="409"/>
      <c r="L252" s="410"/>
      <c r="M252" s="410"/>
      <c r="N252" s="410"/>
      <c r="O252" s="410"/>
      <c r="P252" s="410"/>
      <c r="Q252" s="410"/>
      <c r="R252" s="416"/>
      <c r="S252" s="710"/>
      <c r="T252" s="167"/>
      <c r="U252" s="167"/>
      <c r="V252" s="167"/>
      <c r="W252" s="415"/>
      <c r="X252" s="411"/>
      <c r="Y252" s="411"/>
      <c r="Z252" s="411"/>
      <c r="AA252" s="433"/>
      <c r="AB252" s="419"/>
      <c r="AC252" s="401"/>
      <c r="AD252" s="409"/>
      <c r="AE252" s="420"/>
      <c r="AF252" s="710"/>
      <c r="AG252" s="829"/>
      <c r="AH252" s="710"/>
      <c r="AI252" s="710"/>
      <c r="AJ252" s="710"/>
      <c r="AK252" s="710"/>
      <c r="AL252" s="710"/>
      <c r="AM252" s="710"/>
      <c r="AN252" s="710"/>
      <c r="AO252" s="710"/>
      <c r="AP252" s="710"/>
      <c r="AQ252" s="710"/>
      <c r="AR252" s="710"/>
      <c r="AS252" s="710"/>
      <c r="AT252" s="710"/>
      <c r="AU252" s="710"/>
      <c r="AV252" s="710"/>
      <c r="AW252" s="710"/>
      <c r="AX252" s="710"/>
      <c r="AY252" s="427"/>
    </row>
    <row r="253" spans="1:51" ht="27.75" customHeight="1" x14ac:dyDescent="0.25">
      <c r="A253" s="829"/>
      <c r="B253" s="710"/>
      <c r="C253" s="710"/>
      <c r="D253" s="404" t="s">
        <v>346</v>
      </c>
      <c r="E253" s="179"/>
      <c r="F253" s="180"/>
      <c r="G253" s="174"/>
      <c r="H253" s="174"/>
      <c r="I253" s="174"/>
      <c r="J253" s="410"/>
      <c r="K253" s="409"/>
      <c r="L253" s="410"/>
      <c r="M253" s="410"/>
      <c r="N253" s="410"/>
      <c r="O253" s="410"/>
      <c r="P253" s="410"/>
      <c r="Q253" s="410"/>
      <c r="R253" s="416"/>
      <c r="S253" s="710"/>
      <c r="T253" s="167"/>
      <c r="U253" s="167"/>
      <c r="V253" s="167"/>
      <c r="W253" s="415"/>
      <c r="X253" s="411"/>
      <c r="Y253" s="411"/>
      <c r="Z253" s="411"/>
      <c r="AA253" s="433"/>
      <c r="AB253" s="419"/>
      <c r="AC253" s="401"/>
      <c r="AD253" s="409"/>
      <c r="AE253" s="420"/>
      <c r="AF253" s="710"/>
      <c r="AG253" s="829"/>
      <c r="AH253" s="710"/>
      <c r="AI253" s="710"/>
      <c r="AJ253" s="710"/>
      <c r="AK253" s="710"/>
      <c r="AL253" s="710"/>
      <c r="AM253" s="710"/>
      <c r="AN253" s="710"/>
      <c r="AO253" s="710"/>
      <c r="AP253" s="710"/>
      <c r="AQ253" s="710"/>
      <c r="AR253" s="710"/>
      <c r="AS253" s="710"/>
      <c r="AT253" s="710"/>
      <c r="AU253" s="710"/>
      <c r="AV253" s="710"/>
      <c r="AW253" s="710"/>
      <c r="AX253" s="710"/>
      <c r="AY253" s="427"/>
    </row>
    <row r="254" spans="1:51" ht="27.75" customHeight="1" x14ac:dyDescent="0.25">
      <c r="A254" s="829"/>
      <c r="B254" s="710"/>
      <c r="C254" s="710"/>
      <c r="D254" s="408" t="s">
        <v>347</v>
      </c>
      <c r="E254" s="179"/>
      <c r="F254" s="180"/>
      <c r="G254" s="174"/>
      <c r="H254" s="174"/>
      <c r="I254" s="174"/>
      <c r="J254" s="410">
        <v>1</v>
      </c>
      <c r="K254" s="409"/>
      <c r="L254" s="410"/>
      <c r="M254" s="410"/>
      <c r="N254" s="410"/>
      <c r="O254" s="410"/>
      <c r="P254" s="410"/>
      <c r="Q254" s="410"/>
      <c r="R254" s="416"/>
      <c r="S254" s="710"/>
      <c r="T254" s="167"/>
      <c r="U254" s="167"/>
      <c r="V254" s="167"/>
      <c r="W254" s="415">
        <v>1</v>
      </c>
      <c r="X254" s="411"/>
      <c r="Y254" s="411"/>
      <c r="Z254" s="411"/>
      <c r="AA254" s="433"/>
      <c r="AB254" s="419"/>
      <c r="AC254" s="401"/>
      <c r="AD254" s="409"/>
      <c r="AE254" s="420"/>
      <c r="AF254" s="710"/>
      <c r="AG254" s="829"/>
      <c r="AH254" s="710"/>
      <c r="AI254" s="710"/>
      <c r="AJ254" s="710"/>
      <c r="AK254" s="710"/>
      <c r="AL254" s="710"/>
      <c r="AM254" s="710"/>
      <c r="AN254" s="710"/>
      <c r="AO254" s="710"/>
      <c r="AP254" s="710"/>
      <c r="AQ254" s="710"/>
      <c r="AR254" s="710"/>
      <c r="AS254" s="710"/>
      <c r="AT254" s="710"/>
      <c r="AU254" s="710"/>
      <c r="AV254" s="710"/>
      <c r="AW254" s="710"/>
      <c r="AX254" s="710"/>
      <c r="AY254" s="427"/>
    </row>
    <row r="255" spans="1:51" ht="27" customHeight="1" x14ac:dyDescent="0.25">
      <c r="A255" s="829"/>
      <c r="B255" s="710"/>
      <c r="C255" s="731"/>
      <c r="D255" s="412" t="s">
        <v>348</v>
      </c>
      <c r="E255" s="179"/>
      <c r="F255" s="180"/>
      <c r="G255" s="174"/>
      <c r="H255" s="174"/>
      <c r="I255" s="174"/>
      <c r="J255" s="410" t="e">
        <f>+J254*$J$155/$J$154</f>
        <v>#REF!</v>
      </c>
      <c r="K255" s="409"/>
      <c r="L255" s="410"/>
      <c r="M255" s="410"/>
      <c r="N255" s="410"/>
      <c r="O255" s="410"/>
      <c r="P255" s="410"/>
      <c r="Q255" s="410"/>
      <c r="R255" s="416"/>
      <c r="S255" s="710"/>
      <c r="T255" s="167"/>
      <c r="U255" s="167"/>
      <c r="V255" s="167"/>
      <c r="W255" s="410" t="e">
        <f>+W254*$W$155/$W$154</f>
        <v>#REF!</v>
      </c>
      <c r="X255" s="411"/>
      <c r="Y255" s="411"/>
      <c r="Z255" s="411"/>
      <c r="AA255" s="433"/>
      <c r="AB255" s="419"/>
      <c r="AC255" s="401"/>
      <c r="AD255" s="409"/>
      <c r="AE255" s="420"/>
      <c r="AF255" s="731"/>
      <c r="AG255" s="823"/>
      <c r="AH255" s="731"/>
      <c r="AI255" s="731"/>
      <c r="AJ255" s="731"/>
      <c r="AK255" s="731"/>
      <c r="AL255" s="731"/>
      <c r="AM255" s="731"/>
      <c r="AN255" s="731"/>
      <c r="AO255" s="731"/>
      <c r="AP255" s="731"/>
      <c r="AQ255" s="731"/>
      <c r="AR255" s="731"/>
      <c r="AS255" s="731"/>
      <c r="AT255" s="731"/>
      <c r="AU255" s="731"/>
      <c r="AV255" s="731"/>
      <c r="AW255" s="731"/>
      <c r="AX255" s="731"/>
      <c r="AY255" s="427"/>
    </row>
    <row r="256" spans="1:51" ht="18" hidden="1" customHeight="1" x14ac:dyDescent="0.25">
      <c r="A256" s="829"/>
      <c r="B256" s="710"/>
      <c r="C256" s="818" t="s">
        <v>1146</v>
      </c>
      <c r="D256" s="413" t="s">
        <v>340</v>
      </c>
      <c r="E256" s="179"/>
      <c r="F256" s="180"/>
      <c r="G256" s="174"/>
      <c r="H256" s="174"/>
      <c r="I256" s="174"/>
      <c r="J256" s="410"/>
      <c r="K256" s="409"/>
      <c r="L256" s="410"/>
      <c r="M256" s="410"/>
      <c r="N256" s="410"/>
      <c r="O256" s="410"/>
      <c r="P256" s="410"/>
      <c r="Q256" s="410"/>
      <c r="R256" s="416"/>
      <c r="S256" s="710"/>
      <c r="T256" s="167"/>
      <c r="U256" s="167"/>
      <c r="V256" s="167"/>
      <c r="W256" s="415"/>
      <c r="X256" s="411"/>
      <c r="Y256" s="411"/>
      <c r="Z256" s="411"/>
      <c r="AA256" s="433"/>
      <c r="AB256" s="419"/>
      <c r="AC256" s="401"/>
      <c r="AD256" s="409"/>
      <c r="AE256" s="420"/>
      <c r="AF256" s="455"/>
      <c r="AG256" s="913" t="s">
        <v>1146</v>
      </c>
      <c r="AH256" s="813" t="s">
        <v>633</v>
      </c>
      <c r="AI256" s="813" t="s">
        <v>633</v>
      </c>
      <c r="AJ256" s="813" t="s">
        <v>633</v>
      </c>
      <c r="AK256" s="813" t="s">
        <v>457</v>
      </c>
      <c r="AL256" s="813" t="s">
        <v>178</v>
      </c>
      <c r="AM256" s="813" t="s">
        <v>1136</v>
      </c>
      <c r="AN256" s="909">
        <v>22438</v>
      </c>
      <c r="AO256" s="910">
        <v>9562</v>
      </c>
      <c r="AP256" s="910">
        <v>9141</v>
      </c>
      <c r="AQ256" s="911" t="s">
        <v>459</v>
      </c>
      <c r="AR256" s="911" t="s">
        <v>459</v>
      </c>
      <c r="AS256" s="911" t="s">
        <v>459</v>
      </c>
      <c r="AT256" s="911" t="s">
        <v>459</v>
      </c>
      <c r="AU256" s="915" t="s">
        <v>459</v>
      </c>
      <c r="AV256" s="915" t="s">
        <v>459</v>
      </c>
      <c r="AW256" s="915" t="s">
        <v>459</v>
      </c>
      <c r="AX256" s="910">
        <v>22438</v>
      </c>
      <c r="AY256" s="427"/>
    </row>
    <row r="257" spans="1:51" ht="18.75" hidden="1" customHeight="1" x14ac:dyDescent="0.25">
      <c r="A257" s="829"/>
      <c r="B257" s="710"/>
      <c r="C257" s="710"/>
      <c r="D257" s="404" t="s">
        <v>343</v>
      </c>
      <c r="E257" s="179"/>
      <c r="F257" s="180"/>
      <c r="G257" s="174"/>
      <c r="H257" s="174"/>
      <c r="I257" s="174"/>
      <c r="J257" s="410"/>
      <c r="K257" s="409"/>
      <c r="L257" s="410"/>
      <c r="M257" s="410"/>
      <c r="N257" s="410"/>
      <c r="O257" s="410"/>
      <c r="P257" s="410"/>
      <c r="Q257" s="410"/>
      <c r="R257" s="416"/>
      <c r="S257" s="710"/>
      <c r="T257" s="167"/>
      <c r="U257" s="167"/>
      <c r="V257" s="167"/>
      <c r="W257" s="415"/>
      <c r="X257" s="411"/>
      <c r="Y257" s="411"/>
      <c r="Z257" s="411"/>
      <c r="AA257" s="433"/>
      <c r="AB257" s="419"/>
      <c r="AC257" s="401"/>
      <c r="AD257" s="409"/>
      <c r="AE257" s="420"/>
      <c r="AF257" s="455"/>
      <c r="AG257" s="829"/>
      <c r="AH257" s="710"/>
      <c r="AI257" s="710"/>
      <c r="AJ257" s="710"/>
      <c r="AK257" s="710"/>
      <c r="AL257" s="710"/>
      <c r="AM257" s="710"/>
      <c r="AN257" s="710"/>
      <c r="AO257" s="710"/>
      <c r="AP257" s="710"/>
      <c r="AQ257" s="710"/>
      <c r="AR257" s="710"/>
      <c r="AS257" s="710"/>
      <c r="AT257" s="710"/>
      <c r="AU257" s="710"/>
      <c r="AV257" s="710"/>
      <c r="AW257" s="710"/>
      <c r="AX257" s="710"/>
      <c r="AY257" s="427"/>
    </row>
    <row r="258" spans="1:51" ht="27.75" hidden="1" customHeight="1" x14ac:dyDescent="0.25">
      <c r="A258" s="829"/>
      <c r="B258" s="710"/>
      <c r="C258" s="710"/>
      <c r="D258" s="408" t="s">
        <v>345</v>
      </c>
      <c r="E258" s="179"/>
      <c r="F258" s="180"/>
      <c r="G258" s="174"/>
      <c r="H258" s="174"/>
      <c r="I258" s="174"/>
      <c r="J258" s="410"/>
      <c r="K258" s="409"/>
      <c r="L258" s="410"/>
      <c r="M258" s="410"/>
      <c r="N258" s="410"/>
      <c r="O258" s="410"/>
      <c r="P258" s="410"/>
      <c r="Q258" s="410"/>
      <c r="R258" s="416"/>
      <c r="S258" s="710"/>
      <c r="T258" s="167"/>
      <c r="U258" s="167"/>
      <c r="V258" s="167"/>
      <c r="W258" s="415"/>
      <c r="X258" s="411"/>
      <c r="Y258" s="411"/>
      <c r="Z258" s="411"/>
      <c r="AA258" s="433"/>
      <c r="AB258" s="419"/>
      <c r="AC258" s="401"/>
      <c r="AD258" s="409"/>
      <c r="AE258" s="420"/>
      <c r="AF258" s="455"/>
      <c r="AG258" s="829"/>
      <c r="AH258" s="710"/>
      <c r="AI258" s="710"/>
      <c r="AJ258" s="710"/>
      <c r="AK258" s="710"/>
      <c r="AL258" s="710"/>
      <c r="AM258" s="710"/>
      <c r="AN258" s="710"/>
      <c r="AO258" s="710"/>
      <c r="AP258" s="710"/>
      <c r="AQ258" s="710"/>
      <c r="AR258" s="710"/>
      <c r="AS258" s="710"/>
      <c r="AT258" s="710"/>
      <c r="AU258" s="710"/>
      <c r="AV258" s="710"/>
      <c r="AW258" s="710"/>
      <c r="AX258" s="710"/>
      <c r="AY258" s="427"/>
    </row>
    <row r="259" spans="1:51" ht="27.75" hidden="1" customHeight="1" x14ac:dyDescent="0.25">
      <c r="A259" s="829"/>
      <c r="B259" s="710"/>
      <c r="C259" s="710"/>
      <c r="D259" s="404" t="s">
        <v>346</v>
      </c>
      <c r="E259" s="179"/>
      <c r="F259" s="180"/>
      <c r="G259" s="174"/>
      <c r="H259" s="174"/>
      <c r="I259" s="174"/>
      <c r="J259" s="410"/>
      <c r="K259" s="409"/>
      <c r="L259" s="410"/>
      <c r="M259" s="410"/>
      <c r="N259" s="410"/>
      <c r="O259" s="410"/>
      <c r="P259" s="410"/>
      <c r="Q259" s="410"/>
      <c r="R259" s="416"/>
      <c r="S259" s="710"/>
      <c r="T259" s="167"/>
      <c r="U259" s="167"/>
      <c r="V259" s="167"/>
      <c r="W259" s="415"/>
      <c r="X259" s="411"/>
      <c r="Y259" s="411"/>
      <c r="Z259" s="411"/>
      <c r="AA259" s="433"/>
      <c r="AB259" s="419"/>
      <c r="AC259" s="401"/>
      <c r="AD259" s="409"/>
      <c r="AE259" s="420"/>
      <c r="AF259" s="455"/>
      <c r="AG259" s="829"/>
      <c r="AH259" s="710"/>
      <c r="AI259" s="710"/>
      <c r="AJ259" s="710"/>
      <c r="AK259" s="710"/>
      <c r="AL259" s="710"/>
      <c r="AM259" s="710"/>
      <c r="AN259" s="710"/>
      <c r="AO259" s="710"/>
      <c r="AP259" s="710"/>
      <c r="AQ259" s="710"/>
      <c r="AR259" s="710"/>
      <c r="AS259" s="710"/>
      <c r="AT259" s="710"/>
      <c r="AU259" s="710"/>
      <c r="AV259" s="710"/>
      <c r="AW259" s="710"/>
      <c r="AX259" s="710"/>
      <c r="AY259" s="427"/>
    </row>
    <row r="260" spans="1:51" ht="27.75" hidden="1" customHeight="1" x14ac:dyDescent="0.25">
      <c r="A260" s="829"/>
      <c r="B260" s="710"/>
      <c r="C260" s="710"/>
      <c r="D260" s="408" t="s">
        <v>347</v>
      </c>
      <c r="E260" s="179"/>
      <c r="F260" s="180"/>
      <c r="G260" s="174"/>
      <c r="H260" s="174"/>
      <c r="I260" s="174"/>
      <c r="J260" s="410"/>
      <c r="K260" s="409"/>
      <c r="L260" s="410"/>
      <c r="M260" s="410"/>
      <c r="N260" s="410"/>
      <c r="O260" s="410"/>
      <c r="P260" s="410"/>
      <c r="Q260" s="410"/>
      <c r="R260" s="416"/>
      <c r="S260" s="710"/>
      <c r="T260" s="167"/>
      <c r="U260" s="167"/>
      <c r="V260" s="167"/>
      <c r="W260" s="415"/>
      <c r="X260" s="411"/>
      <c r="Y260" s="411"/>
      <c r="Z260" s="411"/>
      <c r="AA260" s="433"/>
      <c r="AB260" s="419"/>
      <c r="AC260" s="401"/>
      <c r="AD260" s="409"/>
      <c r="AE260" s="420"/>
      <c r="AF260" s="455"/>
      <c r="AG260" s="829"/>
      <c r="AH260" s="710"/>
      <c r="AI260" s="710"/>
      <c r="AJ260" s="710"/>
      <c r="AK260" s="710"/>
      <c r="AL260" s="710"/>
      <c r="AM260" s="710"/>
      <c r="AN260" s="710"/>
      <c r="AO260" s="710"/>
      <c r="AP260" s="710"/>
      <c r="AQ260" s="710"/>
      <c r="AR260" s="710"/>
      <c r="AS260" s="710"/>
      <c r="AT260" s="710"/>
      <c r="AU260" s="710"/>
      <c r="AV260" s="710"/>
      <c r="AW260" s="710"/>
      <c r="AX260" s="710"/>
      <c r="AY260" s="427"/>
    </row>
    <row r="261" spans="1:51" ht="27.75" hidden="1" customHeight="1" x14ac:dyDescent="0.25">
      <c r="A261" s="829"/>
      <c r="B261" s="710"/>
      <c r="C261" s="731"/>
      <c r="D261" s="412" t="s">
        <v>348</v>
      </c>
      <c r="E261" s="179"/>
      <c r="F261" s="180"/>
      <c r="G261" s="174"/>
      <c r="H261" s="174"/>
      <c r="I261" s="174"/>
      <c r="J261" s="410"/>
      <c r="K261" s="409"/>
      <c r="L261" s="410"/>
      <c r="M261" s="410"/>
      <c r="N261" s="410"/>
      <c r="O261" s="410"/>
      <c r="P261" s="410"/>
      <c r="Q261" s="410"/>
      <c r="R261" s="416"/>
      <c r="S261" s="710"/>
      <c r="T261" s="167"/>
      <c r="U261" s="167"/>
      <c r="V261" s="167"/>
      <c r="W261" s="415"/>
      <c r="X261" s="411"/>
      <c r="Y261" s="411"/>
      <c r="Z261" s="411"/>
      <c r="AA261" s="433"/>
      <c r="AB261" s="419"/>
      <c r="AC261" s="401"/>
      <c r="AD261" s="409"/>
      <c r="AE261" s="420"/>
      <c r="AF261" s="455"/>
      <c r="AG261" s="823"/>
      <c r="AH261" s="731"/>
      <c r="AI261" s="731"/>
      <c r="AJ261" s="731"/>
      <c r="AK261" s="731"/>
      <c r="AL261" s="731"/>
      <c r="AM261" s="731"/>
      <c r="AN261" s="731"/>
      <c r="AO261" s="731"/>
      <c r="AP261" s="731"/>
      <c r="AQ261" s="731"/>
      <c r="AR261" s="731"/>
      <c r="AS261" s="731"/>
      <c r="AT261" s="731"/>
      <c r="AU261" s="731"/>
      <c r="AV261" s="731"/>
      <c r="AW261" s="731"/>
      <c r="AX261" s="731"/>
      <c r="AY261" s="427"/>
    </row>
    <row r="262" spans="1:51" ht="18" customHeight="1" x14ac:dyDescent="0.25">
      <c r="A262" s="829"/>
      <c r="B262" s="710"/>
      <c r="C262" s="818" t="s">
        <v>1201</v>
      </c>
      <c r="D262" s="413" t="s">
        <v>340</v>
      </c>
      <c r="E262" s="179"/>
      <c r="F262" s="180"/>
      <c r="G262" s="174"/>
      <c r="H262" s="174"/>
      <c r="I262" s="174"/>
      <c r="J262" s="410">
        <v>1</v>
      </c>
      <c r="K262" s="414">
        <v>1</v>
      </c>
      <c r="L262" s="410"/>
      <c r="M262" s="410"/>
      <c r="N262" s="410"/>
      <c r="O262" s="410"/>
      <c r="P262" s="410"/>
      <c r="Q262" s="410">
        <v>1</v>
      </c>
      <c r="R262" s="416">
        <v>1</v>
      </c>
      <c r="S262" s="710"/>
      <c r="T262" s="167"/>
      <c r="U262" s="167"/>
      <c r="V262" s="167"/>
      <c r="W262" s="415">
        <v>1</v>
      </c>
      <c r="X262" s="418">
        <v>1</v>
      </c>
      <c r="Y262" s="411"/>
      <c r="Z262" s="411"/>
      <c r="AA262" s="433"/>
      <c r="AB262" s="419"/>
      <c r="AC262" s="401"/>
      <c r="AD262" s="409">
        <v>1</v>
      </c>
      <c r="AE262" s="420">
        <v>1</v>
      </c>
      <c r="AF262" s="925" t="s">
        <v>1253</v>
      </c>
      <c r="AG262" s="913" t="s">
        <v>1201</v>
      </c>
      <c r="AH262" s="813" t="s">
        <v>1254</v>
      </c>
      <c r="AI262" s="813" t="s">
        <v>1255</v>
      </c>
      <c r="AJ262" s="813" t="s">
        <v>1217</v>
      </c>
      <c r="AK262" s="813" t="s">
        <v>457</v>
      </c>
      <c r="AL262" s="813" t="s">
        <v>1256</v>
      </c>
      <c r="AM262" s="813" t="s">
        <v>1136</v>
      </c>
      <c r="AN262" s="909">
        <v>348023</v>
      </c>
      <c r="AO262" s="910">
        <v>179866</v>
      </c>
      <c r="AP262" s="910">
        <v>192751</v>
      </c>
      <c r="AQ262" s="911" t="s">
        <v>459</v>
      </c>
      <c r="AR262" s="911" t="s">
        <v>459</v>
      </c>
      <c r="AS262" s="911" t="s">
        <v>459</v>
      </c>
      <c r="AT262" s="911" t="s">
        <v>459</v>
      </c>
      <c r="AU262" s="915" t="s">
        <v>459</v>
      </c>
      <c r="AV262" s="915" t="s">
        <v>459</v>
      </c>
      <c r="AW262" s="915" t="s">
        <v>459</v>
      </c>
      <c r="AX262" s="910">
        <v>348023</v>
      </c>
      <c r="AY262" s="427"/>
    </row>
    <row r="263" spans="1:51" ht="18.75" customHeight="1" x14ac:dyDescent="0.25">
      <c r="A263" s="829"/>
      <c r="B263" s="710"/>
      <c r="C263" s="710"/>
      <c r="D263" s="404" t="s">
        <v>343</v>
      </c>
      <c r="E263" s="179"/>
      <c r="F263" s="180"/>
      <c r="G263" s="174"/>
      <c r="H263" s="174"/>
      <c r="I263" s="174"/>
      <c r="J263" s="410" t="e">
        <f>+J262*$J$155/$J$154</f>
        <v>#REF!</v>
      </c>
      <c r="K263" s="409"/>
      <c r="L263" s="410"/>
      <c r="M263" s="410"/>
      <c r="N263" s="410"/>
      <c r="O263" s="410"/>
      <c r="P263" s="410"/>
      <c r="Q263" s="410" t="e">
        <f>+Q262*$Q$155/$Q$154</f>
        <v>#VALUE!</v>
      </c>
      <c r="R263" s="410" t="e">
        <f>+R262*$R$155/$R$154</f>
        <v>#VALUE!</v>
      </c>
      <c r="S263" s="710"/>
      <c r="T263" s="167"/>
      <c r="U263" s="167"/>
      <c r="V263" s="167"/>
      <c r="W263" s="410" t="e">
        <f>+W262*$W$155/$W$154</f>
        <v>#REF!</v>
      </c>
      <c r="X263" s="411"/>
      <c r="Y263" s="411"/>
      <c r="Z263" s="411"/>
      <c r="AA263" s="433"/>
      <c r="AB263" s="419"/>
      <c r="AC263" s="401"/>
      <c r="AD263" s="409" t="e">
        <f>+AD262*$AD$155/$AD$154</f>
        <v>#VALUE!</v>
      </c>
      <c r="AE263" s="409" t="e">
        <f>+AE262*$AE$155/$AE$154</f>
        <v>#VALUE!</v>
      </c>
      <c r="AF263" s="713"/>
      <c r="AG263" s="829"/>
      <c r="AH263" s="710"/>
      <c r="AI263" s="710"/>
      <c r="AJ263" s="710"/>
      <c r="AK263" s="710"/>
      <c r="AL263" s="710"/>
      <c r="AM263" s="710"/>
      <c r="AN263" s="710"/>
      <c r="AO263" s="710"/>
      <c r="AP263" s="710"/>
      <c r="AQ263" s="710"/>
      <c r="AR263" s="710"/>
      <c r="AS263" s="710"/>
      <c r="AT263" s="710"/>
      <c r="AU263" s="710"/>
      <c r="AV263" s="710"/>
      <c r="AW263" s="710"/>
      <c r="AX263" s="710"/>
      <c r="AY263" s="427"/>
    </row>
    <row r="264" spans="1:51" ht="27.75" customHeight="1" x14ac:dyDescent="0.25">
      <c r="A264" s="829"/>
      <c r="B264" s="710"/>
      <c r="C264" s="710"/>
      <c r="D264" s="408" t="s">
        <v>345</v>
      </c>
      <c r="E264" s="179"/>
      <c r="F264" s="180"/>
      <c r="G264" s="174"/>
      <c r="H264" s="174"/>
      <c r="I264" s="174"/>
      <c r="J264" s="410"/>
      <c r="K264" s="409"/>
      <c r="L264" s="410"/>
      <c r="M264" s="410"/>
      <c r="N264" s="410"/>
      <c r="O264" s="410"/>
      <c r="P264" s="410"/>
      <c r="Q264" s="410"/>
      <c r="R264" s="416"/>
      <c r="S264" s="710"/>
      <c r="T264" s="167"/>
      <c r="U264" s="167"/>
      <c r="V264" s="167"/>
      <c r="W264" s="415"/>
      <c r="X264" s="411"/>
      <c r="Y264" s="411"/>
      <c r="Z264" s="411"/>
      <c r="AA264" s="433"/>
      <c r="AB264" s="419"/>
      <c r="AC264" s="401"/>
      <c r="AD264" s="409"/>
      <c r="AE264" s="420"/>
      <c r="AF264" s="713"/>
      <c r="AG264" s="829"/>
      <c r="AH264" s="710"/>
      <c r="AI264" s="710"/>
      <c r="AJ264" s="710"/>
      <c r="AK264" s="710"/>
      <c r="AL264" s="710"/>
      <c r="AM264" s="710"/>
      <c r="AN264" s="710"/>
      <c r="AO264" s="710"/>
      <c r="AP264" s="710"/>
      <c r="AQ264" s="710"/>
      <c r="AR264" s="710"/>
      <c r="AS264" s="710"/>
      <c r="AT264" s="710"/>
      <c r="AU264" s="710"/>
      <c r="AV264" s="710"/>
      <c r="AW264" s="710"/>
      <c r="AX264" s="710"/>
      <c r="AY264" s="427"/>
    </row>
    <row r="265" spans="1:51" ht="27.75" customHeight="1" x14ac:dyDescent="0.25">
      <c r="A265" s="829"/>
      <c r="B265" s="710"/>
      <c r="C265" s="710"/>
      <c r="D265" s="404" t="s">
        <v>346</v>
      </c>
      <c r="E265" s="179"/>
      <c r="F265" s="180"/>
      <c r="G265" s="174"/>
      <c r="H265" s="174"/>
      <c r="I265" s="174"/>
      <c r="J265" s="410"/>
      <c r="K265" s="409"/>
      <c r="L265" s="410"/>
      <c r="M265" s="410"/>
      <c r="N265" s="410"/>
      <c r="O265" s="410"/>
      <c r="P265" s="410"/>
      <c r="Q265" s="410"/>
      <c r="R265" s="416"/>
      <c r="S265" s="710"/>
      <c r="T265" s="167"/>
      <c r="U265" s="167"/>
      <c r="V265" s="167"/>
      <c r="W265" s="415"/>
      <c r="X265" s="411"/>
      <c r="Y265" s="411"/>
      <c r="Z265" s="411"/>
      <c r="AA265" s="433"/>
      <c r="AB265" s="419"/>
      <c r="AC265" s="401"/>
      <c r="AD265" s="409"/>
      <c r="AE265" s="420"/>
      <c r="AF265" s="713"/>
      <c r="AG265" s="829"/>
      <c r="AH265" s="710"/>
      <c r="AI265" s="710"/>
      <c r="AJ265" s="710"/>
      <c r="AK265" s="710"/>
      <c r="AL265" s="710"/>
      <c r="AM265" s="710"/>
      <c r="AN265" s="710"/>
      <c r="AO265" s="710"/>
      <c r="AP265" s="710"/>
      <c r="AQ265" s="710"/>
      <c r="AR265" s="710"/>
      <c r="AS265" s="710"/>
      <c r="AT265" s="710"/>
      <c r="AU265" s="710"/>
      <c r="AV265" s="710"/>
      <c r="AW265" s="710"/>
      <c r="AX265" s="710"/>
      <c r="AY265" s="427"/>
    </row>
    <row r="266" spans="1:51" ht="27.75" customHeight="1" x14ac:dyDescent="0.25">
      <c r="A266" s="829"/>
      <c r="B266" s="710"/>
      <c r="C266" s="710"/>
      <c r="D266" s="408" t="s">
        <v>347</v>
      </c>
      <c r="E266" s="179"/>
      <c r="F266" s="180"/>
      <c r="G266" s="174"/>
      <c r="H266" s="174"/>
      <c r="I266" s="174"/>
      <c r="J266" s="410">
        <v>1</v>
      </c>
      <c r="K266" s="409"/>
      <c r="L266" s="410"/>
      <c r="M266" s="410"/>
      <c r="N266" s="410"/>
      <c r="O266" s="410"/>
      <c r="P266" s="410"/>
      <c r="Q266" s="410">
        <v>1</v>
      </c>
      <c r="R266" s="416">
        <v>1</v>
      </c>
      <c r="S266" s="710"/>
      <c r="T266" s="167"/>
      <c r="U266" s="167"/>
      <c r="V266" s="167"/>
      <c r="W266" s="415">
        <v>1</v>
      </c>
      <c r="X266" s="411"/>
      <c r="Y266" s="411"/>
      <c r="Z266" s="411"/>
      <c r="AA266" s="433"/>
      <c r="AB266" s="419"/>
      <c r="AC266" s="401"/>
      <c r="AD266" s="409">
        <v>1</v>
      </c>
      <c r="AE266" s="420">
        <v>1</v>
      </c>
      <c r="AF266" s="713"/>
      <c r="AG266" s="829"/>
      <c r="AH266" s="710"/>
      <c r="AI266" s="710"/>
      <c r="AJ266" s="710"/>
      <c r="AK266" s="710"/>
      <c r="AL266" s="710"/>
      <c r="AM266" s="710"/>
      <c r="AN266" s="710"/>
      <c r="AO266" s="710"/>
      <c r="AP266" s="710"/>
      <c r="AQ266" s="710"/>
      <c r="AR266" s="710"/>
      <c r="AS266" s="710"/>
      <c r="AT266" s="710"/>
      <c r="AU266" s="710"/>
      <c r="AV266" s="710"/>
      <c r="AW266" s="710"/>
      <c r="AX266" s="710"/>
      <c r="AY266" s="427"/>
    </row>
    <row r="267" spans="1:51" ht="27.75" customHeight="1" x14ac:dyDescent="0.25">
      <c r="A267" s="829"/>
      <c r="B267" s="710"/>
      <c r="C267" s="731"/>
      <c r="D267" s="412" t="s">
        <v>348</v>
      </c>
      <c r="E267" s="179"/>
      <c r="F267" s="180"/>
      <c r="G267" s="174"/>
      <c r="H267" s="174"/>
      <c r="I267" s="174"/>
      <c r="J267" s="410" t="e">
        <f>+J266*$J$155/$J$154</f>
        <v>#REF!</v>
      </c>
      <c r="K267" s="409"/>
      <c r="L267" s="410"/>
      <c r="M267" s="410"/>
      <c r="N267" s="410"/>
      <c r="O267" s="410"/>
      <c r="P267" s="410"/>
      <c r="Q267" s="410" t="e">
        <f>+Q266*$Q$155/$Q$154</f>
        <v>#VALUE!</v>
      </c>
      <c r="R267" s="410" t="e">
        <f>+R266*$R$155/$R$154</f>
        <v>#VALUE!</v>
      </c>
      <c r="S267" s="710"/>
      <c r="T267" s="167"/>
      <c r="U267" s="167"/>
      <c r="V267" s="167"/>
      <c r="W267" s="410" t="e">
        <f>+W266*$W$155/$W$154</f>
        <v>#REF!</v>
      </c>
      <c r="X267" s="411"/>
      <c r="Y267" s="411"/>
      <c r="Z267" s="411"/>
      <c r="AA267" s="433"/>
      <c r="AB267" s="419"/>
      <c r="AC267" s="401"/>
      <c r="AD267" s="409" t="e">
        <f>+AD266*$AD$155/$AD$154</f>
        <v>#VALUE!</v>
      </c>
      <c r="AE267" s="409" t="e">
        <f>+AE266*$AE$155/$AE$154</f>
        <v>#VALUE!</v>
      </c>
      <c r="AF267" s="830"/>
      <c r="AG267" s="823"/>
      <c r="AH267" s="731"/>
      <c r="AI267" s="731"/>
      <c r="AJ267" s="731"/>
      <c r="AK267" s="731"/>
      <c r="AL267" s="731"/>
      <c r="AM267" s="731"/>
      <c r="AN267" s="731"/>
      <c r="AO267" s="731"/>
      <c r="AP267" s="731"/>
      <c r="AQ267" s="731"/>
      <c r="AR267" s="731"/>
      <c r="AS267" s="731"/>
      <c r="AT267" s="731"/>
      <c r="AU267" s="731"/>
      <c r="AV267" s="731"/>
      <c r="AW267" s="731"/>
      <c r="AX267" s="731"/>
      <c r="AY267" s="427"/>
    </row>
    <row r="268" spans="1:51" ht="18" customHeight="1" x14ac:dyDescent="0.25">
      <c r="A268" s="829"/>
      <c r="B268" s="710"/>
      <c r="C268" s="818" t="s">
        <v>1207</v>
      </c>
      <c r="D268" s="413" t="s">
        <v>340</v>
      </c>
      <c r="E268" s="179"/>
      <c r="F268" s="180"/>
      <c r="G268" s="174">
        <v>1</v>
      </c>
      <c r="H268" s="174">
        <v>1</v>
      </c>
      <c r="I268" s="174">
        <v>1</v>
      </c>
      <c r="J268" s="410">
        <v>2</v>
      </c>
      <c r="K268" s="414">
        <v>2</v>
      </c>
      <c r="L268" s="410"/>
      <c r="M268" s="410"/>
      <c r="N268" s="410"/>
      <c r="O268" s="410"/>
      <c r="P268" s="410"/>
      <c r="Q268" s="410">
        <v>2</v>
      </c>
      <c r="R268" s="416">
        <v>2</v>
      </c>
      <c r="S268" s="710"/>
      <c r="T268" s="167">
        <v>1</v>
      </c>
      <c r="U268" s="167">
        <v>1</v>
      </c>
      <c r="V268" s="167">
        <v>1</v>
      </c>
      <c r="W268" s="415">
        <v>2</v>
      </c>
      <c r="X268" s="418">
        <v>2</v>
      </c>
      <c r="Y268" s="411"/>
      <c r="Z268" s="411"/>
      <c r="AA268" s="433"/>
      <c r="AB268" s="419"/>
      <c r="AC268" s="401"/>
      <c r="AD268" s="409">
        <v>2</v>
      </c>
      <c r="AE268" s="420">
        <v>2</v>
      </c>
      <c r="AF268" s="926" t="s">
        <v>1257</v>
      </c>
      <c r="AG268" s="913" t="s">
        <v>1258</v>
      </c>
      <c r="AH268" s="813" t="s">
        <v>1259</v>
      </c>
      <c r="AI268" s="813" t="s">
        <v>1260</v>
      </c>
      <c r="AJ268" s="914" t="s">
        <v>1217</v>
      </c>
      <c r="AK268" s="813" t="s">
        <v>457</v>
      </c>
      <c r="AL268" s="813" t="s">
        <v>1261</v>
      </c>
      <c r="AM268" s="813" t="s">
        <v>1136</v>
      </c>
      <c r="AN268" s="909">
        <v>628526</v>
      </c>
      <c r="AO268" s="910">
        <v>306776</v>
      </c>
      <c r="AP268" s="910">
        <v>321750</v>
      </c>
      <c r="AQ268" s="911" t="s">
        <v>459</v>
      </c>
      <c r="AR268" s="911" t="s">
        <v>459</v>
      </c>
      <c r="AS268" s="911" t="s">
        <v>459</v>
      </c>
      <c r="AT268" s="911" t="s">
        <v>459</v>
      </c>
      <c r="AU268" s="915" t="s">
        <v>459</v>
      </c>
      <c r="AV268" s="915" t="s">
        <v>459</v>
      </c>
      <c r="AW268" s="915" t="s">
        <v>459</v>
      </c>
      <c r="AX268" s="910">
        <v>628526</v>
      </c>
      <c r="AY268" s="427"/>
    </row>
    <row r="269" spans="1:51" ht="18.75" customHeight="1" x14ac:dyDescent="0.25">
      <c r="A269" s="829"/>
      <c r="B269" s="710"/>
      <c r="C269" s="710"/>
      <c r="D269" s="404" t="s">
        <v>343</v>
      </c>
      <c r="E269" s="179"/>
      <c r="F269" s="180"/>
      <c r="G269" s="174">
        <f>+G268*$G$155/$G$154</f>
        <v>2573116.8831168832</v>
      </c>
      <c r="H269" s="174">
        <f>+H268*$H$155/$H$154</f>
        <v>2573116.8831168832</v>
      </c>
      <c r="I269" s="174" t="e">
        <f>+I268*$I$155/$I$154</f>
        <v>#REF!</v>
      </c>
      <c r="J269" s="410" t="e">
        <f>+J268*$J$155/$J$154</f>
        <v>#REF!</v>
      </c>
      <c r="K269" s="409"/>
      <c r="L269" s="410"/>
      <c r="M269" s="410"/>
      <c r="N269" s="410"/>
      <c r="O269" s="410"/>
      <c r="P269" s="410"/>
      <c r="Q269" s="410" t="e">
        <f>+Q268*$Q$155/$Q$154</f>
        <v>#VALUE!</v>
      </c>
      <c r="R269" s="410" t="e">
        <f>+R268*$R$155/$R$154</f>
        <v>#VALUE!</v>
      </c>
      <c r="S269" s="710"/>
      <c r="T269" s="174">
        <f>+T268*$T$155/$T$154</f>
        <v>0</v>
      </c>
      <c r="U269" s="174">
        <f>+U268*$U$155/$U$154</f>
        <v>11790000</v>
      </c>
      <c r="V269" s="174" t="e">
        <f>+V268*$V$155/$V$154</f>
        <v>#REF!</v>
      </c>
      <c r="W269" s="410" t="e">
        <f>+W268*$W$155/$W$154</f>
        <v>#REF!</v>
      </c>
      <c r="X269" s="411"/>
      <c r="Y269" s="411"/>
      <c r="Z269" s="411"/>
      <c r="AA269" s="433"/>
      <c r="AB269" s="419"/>
      <c r="AC269" s="401"/>
      <c r="AD269" s="409" t="e">
        <f>+AD268*$AD$155/$AD$154</f>
        <v>#VALUE!</v>
      </c>
      <c r="AE269" s="409" t="e">
        <f>+AE268*$AE$155/$AE$154</f>
        <v>#VALUE!</v>
      </c>
      <c r="AF269" s="710"/>
      <c r="AG269" s="829"/>
      <c r="AH269" s="710"/>
      <c r="AI269" s="710"/>
      <c r="AJ269" s="710"/>
      <c r="AK269" s="710"/>
      <c r="AL269" s="710"/>
      <c r="AM269" s="710"/>
      <c r="AN269" s="710"/>
      <c r="AO269" s="710"/>
      <c r="AP269" s="710"/>
      <c r="AQ269" s="710"/>
      <c r="AR269" s="710"/>
      <c r="AS269" s="710"/>
      <c r="AT269" s="710"/>
      <c r="AU269" s="710"/>
      <c r="AV269" s="710"/>
      <c r="AW269" s="710"/>
      <c r="AX269" s="710"/>
      <c r="AY269" s="427"/>
    </row>
    <row r="270" spans="1:51" ht="27.75" customHeight="1" x14ac:dyDescent="0.25">
      <c r="A270" s="829"/>
      <c r="B270" s="710"/>
      <c r="C270" s="710"/>
      <c r="D270" s="408" t="s">
        <v>345</v>
      </c>
      <c r="E270" s="179"/>
      <c r="F270" s="180"/>
      <c r="G270" s="174"/>
      <c r="H270" s="174"/>
      <c r="I270" s="174"/>
      <c r="J270" s="410"/>
      <c r="K270" s="409"/>
      <c r="L270" s="410"/>
      <c r="M270" s="410"/>
      <c r="N270" s="410"/>
      <c r="O270" s="410"/>
      <c r="P270" s="410"/>
      <c r="Q270" s="410"/>
      <c r="R270" s="416"/>
      <c r="S270" s="710"/>
      <c r="T270" s="167"/>
      <c r="U270" s="167"/>
      <c r="V270" s="167"/>
      <c r="W270" s="415"/>
      <c r="X270" s="411"/>
      <c r="Y270" s="411"/>
      <c r="Z270" s="411"/>
      <c r="AA270" s="433"/>
      <c r="AB270" s="419"/>
      <c r="AC270" s="401"/>
      <c r="AD270" s="409"/>
      <c r="AE270" s="420"/>
      <c r="AF270" s="710"/>
      <c r="AG270" s="829"/>
      <c r="AH270" s="710"/>
      <c r="AI270" s="710"/>
      <c r="AJ270" s="710"/>
      <c r="AK270" s="710"/>
      <c r="AL270" s="710"/>
      <c r="AM270" s="710"/>
      <c r="AN270" s="710"/>
      <c r="AO270" s="710"/>
      <c r="AP270" s="710"/>
      <c r="AQ270" s="710"/>
      <c r="AR270" s="710"/>
      <c r="AS270" s="710"/>
      <c r="AT270" s="710"/>
      <c r="AU270" s="710"/>
      <c r="AV270" s="710"/>
      <c r="AW270" s="710"/>
      <c r="AX270" s="710"/>
      <c r="AY270" s="427"/>
    </row>
    <row r="271" spans="1:51" ht="27.75" customHeight="1" x14ac:dyDescent="0.25">
      <c r="A271" s="829"/>
      <c r="B271" s="710"/>
      <c r="C271" s="710"/>
      <c r="D271" s="404" t="s">
        <v>346</v>
      </c>
      <c r="E271" s="179"/>
      <c r="F271" s="180"/>
      <c r="G271" s="174"/>
      <c r="H271" s="174"/>
      <c r="I271" s="174"/>
      <c r="J271" s="410"/>
      <c r="K271" s="409"/>
      <c r="L271" s="410"/>
      <c r="M271" s="410"/>
      <c r="N271" s="410"/>
      <c r="O271" s="410"/>
      <c r="P271" s="410"/>
      <c r="Q271" s="410"/>
      <c r="R271" s="416"/>
      <c r="S271" s="710"/>
      <c r="T271" s="167"/>
      <c r="U271" s="453">
        <f>+$U$157/8</f>
        <v>2428417.875</v>
      </c>
      <c r="V271" s="167"/>
      <c r="W271" s="415"/>
      <c r="X271" s="411"/>
      <c r="Y271" s="411"/>
      <c r="Z271" s="411"/>
      <c r="AA271" s="433"/>
      <c r="AB271" s="419"/>
      <c r="AC271" s="401"/>
      <c r="AD271" s="409"/>
      <c r="AE271" s="420"/>
      <c r="AF271" s="710"/>
      <c r="AG271" s="829"/>
      <c r="AH271" s="710"/>
      <c r="AI271" s="710"/>
      <c r="AJ271" s="710"/>
      <c r="AK271" s="710"/>
      <c r="AL271" s="710"/>
      <c r="AM271" s="710"/>
      <c r="AN271" s="710"/>
      <c r="AO271" s="710"/>
      <c r="AP271" s="710"/>
      <c r="AQ271" s="710"/>
      <c r="AR271" s="710"/>
      <c r="AS271" s="710"/>
      <c r="AT271" s="710"/>
      <c r="AU271" s="710"/>
      <c r="AV271" s="710"/>
      <c r="AW271" s="710"/>
      <c r="AX271" s="710"/>
      <c r="AY271" s="427"/>
    </row>
    <row r="272" spans="1:51" ht="27.75" customHeight="1" x14ac:dyDescent="0.25">
      <c r="A272" s="829"/>
      <c r="B272" s="710"/>
      <c r="C272" s="710"/>
      <c r="D272" s="408" t="s">
        <v>347</v>
      </c>
      <c r="E272" s="179"/>
      <c r="F272" s="180"/>
      <c r="G272" s="174">
        <v>1</v>
      </c>
      <c r="H272" s="174">
        <v>1</v>
      </c>
      <c r="I272" s="174">
        <v>1</v>
      </c>
      <c r="J272" s="410">
        <v>2</v>
      </c>
      <c r="K272" s="409"/>
      <c r="L272" s="410"/>
      <c r="M272" s="410"/>
      <c r="N272" s="410"/>
      <c r="O272" s="410"/>
      <c r="P272" s="410"/>
      <c r="Q272" s="410">
        <v>2</v>
      </c>
      <c r="R272" s="416">
        <v>2</v>
      </c>
      <c r="S272" s="710"/>
      <c r="T272" s="167">
        <v>1</v>
      </c>
      <c r="U272" s="167">
        <v>1</v>
      </c>
      <c r="V272" s="167">
        <v>1</v>
      </c>
      <c r="W272" s="415">
        <v>2</v>
      </c>
      <c r="X272" s="411"/>
      <c r="Y272" s="411"/>
      <c r="Z272" s="411"/>
      <c r="AA272" s="433"/>
      <c r="AB272" s="419"/>
      <c r="AC272" s="401"/>
      <c r="AD272" s="409">
        <v>2</v>
      </c>
      <c r="AE272" s="420">
        <v>2</v>
      </c>
      <c r="AF272" s="710"/>
      <c r="AG272" s="829"/>
      <c r="AH272" s="710"/>
      <c r="AI272" s="710"/>
      <c r="AJ272" s="710"/>
      <c r="AK272" s="710"/>
      <c r="AL272" s="710"/>
      <c r="AM272" s="710"/>
      <c r="AN272" s="710"/>
      <c r="AO272" s="710"/>
      <c r="AP272" s="710"/>
      <c r="AQ272" s="710"/>
      <c r="AR272" s="710"/>
      <c r="AS272" s="710"/>
      <c r="AT272" s="710"/>
      <c r="AU272" s="710"/>
      <c r="AV272" s="710"/>
      <c r="AW272" s="710"/>
      <c r="AX272" s="710"/>
      <c r="AY272" s="427"/>
    </row>
    <row r="273" spans="1:51" ht="27.75" customHeight="1" x14ac:dyDescent="0.25">
      <c r="A273" s="829"/>
      <c r="B273" s="710"/>
      <c r="C273" s="731"/>
      <c r="D273" s="412" t="s">
        <v>348</v>
      </c>
      <c r="E273" s="179"/>
      <c r="F273" s="180"/>
      <c r="G273" s="174">
        <f>+G272*$G$155/$G$154</f>
        <v>2573116.8831168832</v>
      </c>
      <c r="H273" s="174">
        <f>+H272*$H$155/$H$154</f>
        <v>2573116.8831168832</v>
      </c>
      <c r="I273" s="174" t="e">
        <f>+I272*$I$155/$I$154</f>
        <v>#REF!</v>
      </c>
      <c r="J273" s="410" t="e">
        <f>+J272*$J$155/$J$154</f>
        <v>#REF!</v>
      </c>
      <c r="K273" s="409"/>
      <c r="L273" s="410"/>
      <c r="M273" s="410"/>
      <c r="N273" s="410"/>
      <c r="O273" s="410"/>
      <c r="P273" s="410"/>
      <c r="Q273" s="410" t="e">
        <f>+Q272*$Q$155/$Q$154</f>
        <v>#VALUE!</v>
      </c>
      <c r="R273" s="410" t="e">
        <f>+R272*$R$155/$R$154</f>
        <v>#VALUE!</v>
      </c>
      <c r="S273" s="710"/>
      <c r="T273" s="174">
        <f>+T272*$T$155/$T$154</f>
        <v>0</v>
      </c>
      <c r="U273" s="174">
        <f>+U272*$U$155/$U$154</f>
        <v>11790000</v>
      </c>
      <c r="V273" s="174" t="e">
        <f>+V272*$V$155/$V$154</f>
        <v>#REF!</v>
      </c>
      <c r="W273" s="410" t="e">
        <f>+W272*$W$155/$W$154</f>
        <v>#REF!</v>
      </c>
      <c r="X273" s="411"/>
      <c r="Y273" s="411"/>
      <c r="Z273" s="411"/>
      <c r="AA273" s="433"/>
      <c r="AB273" s="419"/>
      <c r="AC273" s="401"/>
      <c r="AD273" s="409" t="e">
        <f>+AD272*$AD$155/$AD$154</f>
        <v>#VALUE!</v>
      </c>
      <c r="AE273" s="409" t="e">
        <f>+AE272*$AE$155/$AE$154</f>
        <v>#VALUE!</v>
      </c>
      <c r="AF273" s="731"/>
      <c r="AG273" s="823"/>
      <c r="AH273" s="731"/>
      <c r="AI273" s="731"/>
      <c r="AJ273" s="731"/>
      <c r="AK273" s="731"/>
      <c r="AL273" s="731"/>
      <c r="AM273" s="731"/>
      <c r="AN273" s="731"/>
      <c r="AO273" s="731"/>
      <c r="AP273" s="731"/>
      <c r="AQ273" s="731"/>
      <c r="AR273" s="731"/>
      <c r="AS273" s="731"/>
      <c r="AT273" s="731"/>
      <c r="AU273" s="731"/>
      <c r="AV273" s="731"/>
      <c r="AW273" s="731"/>
      <c r="AX273" s="731"/>
      <c r="AY273" s="427"/>
    </row>
    <row r="274" spans="1:51" ht="18" customHeight="1" x14ac:dyDescent="0.25">
      <c r="A274" s="829"/>
      <c r="B274" s="710"/>
      <c r="C274" s="958" t="s">
        <v>604</v>
      </c>
      <c r="D274" s="413" t="s">
        <v>340</v>
      </c>
      <c r="E274" s="179"/>
      <c r="F274" s="180"/>
      <c r="G274" s="174"/>
      <c r="H274" s="174"/>
      <c r="I274" s="174"/>
      <c r="J274" s="410"/>
      <c r="K274" s="414">
        <v>1</v>
      </c>
      <c r="L274" s="410"/>
      <c r="M274" s="410"/>
      <c r="N274" s="410"/>
      <c r="O274" s="410"/>
      <c r="P274" s="410">
        <v>1</v>
      </c>
      <c r="Q274" s="410">
        <v>1</v>
      </c>
      <c r="R274" s="416">
        <v>1</v>
      </c>
      <c r="S274" s="710"/>
      <c r="T274" s="167"/>
      <c r="U274" s="167"/>
      <c r="V274" s="167"/>
      <c r="W274" s="415"/>
      <c r="X274" s="418">
        <v>1</v>
      </c>
      <c r="Y274" s="411"/>
      <c r="Z274" s="411"/>
      <c r="AA274" s="433"/>
      <c r="AB274" s="454"/>
      <c r="AC274" s="409">
        <v>1</v>
      </c>
      <c r="AD274" s="409">
        <v>1</v>
      </c>
      <c r="AE274" s="420">
        <v>1</v>
      </c>
      <c r="AF274" s="921" t="s">
        <v>1262</v>
      </c>
      <c r="AG274" s="913" t="s">
        <v>604</v>
      </c>
      <c r="AH274" s="813" t="s">
        <v>1263</v>
      </c>
      <c r="AI274" s="813" t="s">
        <v>1264</v>
      </c>
      <c r="AJ274" s="914" t="s">
        <v>1265</v>
      </c>
      <c r="AK274" s="813" t="s">
        <v>457</v>
      </c>
      <c r="AL274" s="813" t="s">
        <v>1266</v>
      </c>
      <c r="AM274" s="813" t="s">
        <v>1136</v>
      </c>
      <c r="AN274" s="909">
        <v>406574</v>
      </c>
      <c r="AO274" s="910">
        <v>196557</v>
      </c>
      <c r="AP274" s="910">
        <v>210017</v>
      </c>
      <c r="AQ274" s="911" t="s">
        <v>459</v>
      </c>
      <c r="AR274" s="911" t="s">
        <v>459</v>
      </c>
      <c r="AS274" s="911" t="s">
        <v>459</v>
      </c>
      <c r="AT274" s="911" t="s">
        <v>459</v>
      </c>
      <c r="AU274" s="915" t="s">
        <v>459</v>
      </c>
      <c r="AV274" s="915" t="s">
        <v>459</v>
      </c>
      <c r="AW274" s="915" t="s">
        <v>459</v>
      </c>
      <c r="AX274" s="910">
        <v>406574</v>
      </c>
      <c r="AY274" s="427"/>
    </row>
    <row r="275" spans="1:51" ht="18" customHeight="1" x14ac:dyDescent="0.25">
      <c r="A275" s="829"/>
      <c r="B275" s="710"/>
      <c r="C275" s="710"/>
      <c r="D275" s="404" t="s">
        <v>343</v>
      </c>
      <c r="E275" s="179"/>
      <c r="F275" s="180"/>
      <c r="G275" s="174"/>
      <c r="H275" s="174"/>
      <c r="I275" s="174"/>
      <c r="J275" s="410"/>
      <c r="K275" s="409"/>
      <c r="L275" s="410"/>
      <c r="M275" s="410"/>
      <c r="N275" s="410"/>
      <c r="O275" s="410"/>
      <c r="P275" s="410" t="e">
        <f>+P274*$P$155/$P$154</f>
        <v>#VALUE!</v>
      </c>
      <c r="Q275" s="410" t="e">
        <f>+Q274*$Q$155/$Q$154</f>
        <v>#VALUE!</v>
      </c>
      <c r="R275" s="410" t="e">
        <f>+R274*$R$155/$R$154</f>
        <v>#VALUE!</v>
      </c>
      <c r="S275" s="710"/>
      <c r="T275" s="167"/>
      <c r="U275" s="167"/>
      <c r="V275" s="167"/>
      <c r="W275" s="415"/>
      <c r="X275" s="411"/>
      <c r="Y275" s="411"/>
      <c r="Z275" s="411"/>
      <c r="AA275" s="433"/>
      <c r="AB275" s="409"/>
      <c r="AC275" s="409" t="e">
        <f>+AC274*$AC$155/$AC$154</f>
        <v>#VALUE!</v>
      </c>
      <c r="AD275" s="409" t="e">
        <f>+AD274*$AD$155/$AD$154</f>
        <v>#VALUE!</v>
      </c>
      <c r="AE275" s="409" t="e">
        <f>+AE274*$AE$155/$AE$154</f>
        <v>#VALUE!</v>
      </c>
      <c r="AF275" s="713"/>
      <c r="AG275" s="829"/>
      <c r="AH275" s="710"/>
      <c r="AI275" s="710"/>
      <c r="AJ275" s="710"/>
      <c r="AK275" s="710"/>
      <c r="AL275" s="710"/>
      <c r="AM275" s="710"/>
      <c r="AN275" s="710"/>
      <c r="AO275" s="710"/>
      <c r="AP275" s="710"/>
      <c r="AQ275" s="710"/>
      <c r="AR275" s="710"/>
      <c r="AS275" s="710"/>
      <c r="AT275" s="710"/>
      <c r="AU275" s="710"/>
      <c r="AV275" s="710"/>
      <c r="AW275" s="710"/>
      <c r="AX275" s="710"/>
      <c r="AY275" s="427"/>
    </row>
    <row r="276" spans="1:51" ht="27" customHeight="1" x14ac:dyDescent="0.25">
      <c r="A276" s="829"/>
      <c r="B276" s="710"/>
      <c r="C276" s="710"/>
      <c r="D276" s="408" t="s">
        <v>345</v>
      </c>
      <c r="E276" s="179"/>
      <c r="F276" s="180"/>
      <c r="G276" s="174"/>
      <c r="H276" s="174"/>
      <c r="I276" s="174"/>
      <c r="J276" s="410"/>
      <c r="K276" s="409"/>
      <c r="L276" s="410"/>
      <c r="M276" s="410"/>
      <c r="N276" s="410"/>
      <c r="O276" s="410"/>
      <c r="P276" s="410"/>
      <c r="Q276" s="410"/>
      <c r="R276" s="416"/>
      <c r="S276" s="710"/>
      <c r="T276" s="167"/>
      <c r="U276" s="167"/>
      <c r="V276" s="167"/>
      <c r="W276" s="415"/>
      <c r="X276" s="411"/>
      <c r="Y276" s="411"/>
      <c r="Z276" s="411"/>
      <c r="AA276" s="433"/>
      <c r="AB276" s="419"/>
      <c r="AC276" s="409"/>
      <c r="AD276" s="409"/>
      <c r="AE276" s="420"/>
      <c r="AF276" s="713"/>
      <c r="AG276" s="829"/>
      <c r="AH276" s="710"/>
      <c r="AI276" s="710"/>
      <c r="AJ276" s="710"/>
      <c r="AK276" s="710"/>
      <c r="AL276" s="710"/>
      <c r="AM276" s="710"/>
      <c r="AN276" s="710"/>
      <c r="AO276" s="710"/>
      <c r="AP276" s="710"/>
      <c r="AQ276" s="710"/>
      <c r="AR276" s="710"/>
      <c r="AS276" s="710"/>
      <c r="AT276" s="710"/>
      <c r="AU276" s="710"/>
      <c r="AV276" s="710"/>
      <c r="AW276" s="710"/>
      <c r="AX276" s="710"/>
      <c r="AY276" s="427"/>
    </row>
    <row r="277" spans="1:51" ht="27" customHeight="1" x14ac:dyDescent="0.25">
      <c r="A277" s="829"/>
      <c r="B277" s="710"/>
      <c r="C277" s="710"/>
      <c r="D277" s="404" t="s">
        <v>346</v>
      </c>
      <c r="E277" s="179"/>
      <c r="F277" s="180"/>
      <c r="G277" s="174"/>
      <c r="H277" s="174"/>
      <c r="I277" s="174"/>
      <c r="J277" s="410"/>
      <c r="K277" s="409"/>
      <c r="L277" s="410"/>
      <c r="M277" s="410"/>
      <c r="N277" s="410"/>
      <c r="O277" s="410"/>
      <c r="P277" s="410"/>
      <c r="Q277" s="410"/>
      <c r="R277" s="416"/>
      <c r="S277" s="710"/>
      <c r="T277" s="167"/>
      <c r="U277" s="167"/>
      <c r="V277" s="167"/>
      <c r="W277" s="415"/>
      <c r="X277" s="411"/>
      <c r="Y277" s="411"/>
      <c r="Z277" s="411"/>
      <c r="AA277" s="433"/>
      <c r="AB277" s="419"/>
      <c r="AC277" s="409"/>
      <c r="AD277" s="409"/>
      <c r="AE277" s="420"/>
      <c r="AF277" s="713"/>
      <c r="AG277" s="829"/>
      <c r="AH277" s="710"/>
      <c r="AI277" s="710"/>
      <c r="AJ277" s="710"/>
      <c r="AK277" s="710"/>
      <c r="AL277" s="710"/>
      <c r="AM277" s="710"/>
      <c r="AN277" s="710"/>
      <c r="AO277" s="710"/>
      <c r="AP277" s="710"/>
      <c r="AQ277" s="710"/>
      <c r="AR277" s="710"/>
      <c r="AS277" s="710"/>
      <c r="AT277" s="710"/>
      <c r="AU277" s="710"/>
      <c r="AV277" s="710"/>
      <c r="AW277" s="710"/>
      <c r="AX277" s="710"/>
      <c r="AY277" s="427"/>
    </row>
    <row r="278" spans="1:51" ht="27" customHeight="1" x14ac:dyDescent="0.25">
      <c r="A278" s="829"/>
      <c r="B278" s="710"/>
      <c r="C278" s="710"/>
      <c r="D278" s="408" t="s">
        <v>347</v>
      </c>
      <c r="E278" s="179"/>
      <c r="F278" s="180"/>
      <c r="G278" s="174"/>
      <c r="H278" s="174"/>
      <c r="I278" s="174"/>
      <c r="J278" s="410"/>
      <c r="K278" s="409"/>
      <c r="L278" s="410"/>
      <c r="M278" s="410"/>
      <c r="N278" s="410"/>
      <c r="O278" s="410"/>
      <c r="P278" s="410">
        <v>1</v>
      </c>
      <c r="Q278" s="410">
        <v>1</v>
      </c>
      <c r="R278" s="416">
        <v>1</v>
      </c>
      <c r="S278" s="710"/>
      <c r="T278" s="167"/>
      <c r="U278" s="167"/>
      <c r="V278" s="167"/>
      <c r="W278" s="415"/>
      <c r="X278" s="411"/>
      <c r="Y278" s="411"/>
      <c r="Z278" s="411"/>
      <c r="AA278" s="433"/>
      <c r="AB278" s="409"/>
      <c r="AC278" s="409">
        <v>1</v>
      </c>
      <c r="AD278" s="409">
        <v>1</v>
      </c>
      <c r="AE278" s="420">
        <v>1</v>
      </c>
      <c r="AF278" s="713"/>
      <c r="AG278" s="829"/>
      <c r="AH278" s="710"/>
      <c r="AI278" s="710"/>
      <c r="AJ278" s="710"/>
      <c r="AK278" s="710"/>
      <c r="AL278" s="710"/>
      <c r="AM278" s="710"/>
      <c r="AN278" s="710"/>
      <c r="AO278" s="710"/>
      <c r="AP278" s="710"/>
      <c r="AQ278" s="710"/>
      <c r="AR278" s="710"/>
      <c r="AS278" s="710"/>
      <c r="AT278" s="710"/>
      <c r="AU278" s="710"/>
      <c r="AV278" s="710"/>
      <c r="AW278" s="710"/>
      <c r="AX278" s="710"/>
      <c r="AY278" s="427"/>
    </row>
    <row r="279" spans="1:51" ht="27.75" customHeight="1" x14ac:dyDescent="0.25">
      <c r="A279" s="829"/>
      <c r="B279" s="710"/>
      <c r="C279" s="731"/>
      <c r="D279" s="412" t="s">
        <v>348</v>
      </c>
      <c r="E279" s="179"/>
      <c r="F279" s="180"/>
      <c r="G279" s="174"/>
      <c r="H279" s="174"/>
      <c r="I279" s="174"/>
      <c r="J279" s="410"/>
      <c r="K279" s="409"/>
      <c r="L279" s="410"/>
      <c r="M279" s="410"/>
      <c r="N279" s="410"/>
      <c r="O279" s="410"/>
      <c r="P279" s="410" t="e">
        <f>+P278*$P$155/$P$154</f>
        <v>#VALUE!</v>
      </c>
      <c r="Q279" s="410" t="e">
        <f>+Q278*$Q$155/$Q$154</f>
        <v>#VALUE!</v>
      </c>
      <c r="R279" s="410" t="e">
        <f>+R278*$R$155/$R$154</f>
        <v>#VALUE!</v>
      </c>
      <c r="S279" s="710"/>
      <c r="T279" s="167"/>
      <c r="U279" s="167"/>
      <c r="V279" s="167"/>
      <c r="W279" s="415"/>
      <c r="X279" s="411"/>
      <c r="Y279" s="411"/>
      <c r="Z279" s="411"/>
      <c r="AA279" s="433"/>
      <c r="AB279" s="409"/>
      <c r="AC279" s="409" t="e">
        <f>+AC278*$AC$155/$AC$154</f>
        <v>#VALUE!</v>
      </c>
      <c r="AD279" s="409" t="e">
        <f>+AD278*$AD$155/$AD$154</f>
        <v>#VALUE!</v>
      </c>
      <c r="AE279" s="409" t="e">
        <f>+AE278*$AE$155/$AE$154</f>
        <v>#VALUE!</v>
      </c>
      <c r="AF279" s="714"/>
      <c r="AG279" s="823"/>
      <c r="AH279" s="731"/>
      <c r="AI279" s="731"/>
      <c r="AJ279" s="731"/>
      <c r="AK279" s="731"/>
      <c r="AL279" s="731"/>
      <c r="AM279" s="731"/>
      <c r="AN279" s="731"/>
      <c r="AO279" s="731"/>
      <c r="AP279" s="731"/>
      <c r="AQ279" s="731"/>
      <c r="AR279" s="731"/>
      <c r="AS279" s="731"/>
      <c r="AT279" s="731"/>
      <c r="AU279" s="731"/>
      <c r="AV279" s="731"/>
      <c r="AW279" s="731"/>
      <c r="AX279" s="731"/>
      <c r="AY279" s="427"/>
    </row>
    <row r="280" spans="1:51" ht="18" hidden="1" customHeight="1" x14ac:dyDescent="0.25">
      <c r="A280" s="829"/>
      <c r="B280" s="710"/>
      <c r="C280" s="818" t="s">
        <v>638</v>
      </c>
      <c r="D280" s="413" t="s">
        <v>340</v>
      </c>
      <c r="E280" s="179"/>
      <c r="F280" s="180"/>
      <c r="G280" s="174"/>
      <c r="H280" s="174"/>
      <c r="I280" s="174"/>
      <c r="J280" s="410"/>
      <c r="K280" s="409"/>
      <c r="L280" s="410"/>
      <c r="M280" s="410"/>
      <c r="N280" s="410"/>
      <c r="O280" s="410"/>
      <c r="P280" s="410">
        <v>1</v>
      </c>
      <c r="Q280" s="410">
        <v>1</v>
      </c>
      <c r="R280" s="416">
        <v>2</v>
      </c>
      <c r="S280" s="710"/>
      <c r="T280" s="167"/>
      <c r="U280" s="167"/>
      <c r="V280" s="167"/>
      <c r="W280" s="415"/>
      <c r="X280" s="411"/>
      <c r="Y280" s="411"/>
      <c r="Z280" s="411"/>
      <c r="AA280" s="433"/>
      <c r="AB280" s="454"/>
      <c r="AC280" s="409">
        <v>1</v>
      </c>
      <c r="AD280" s="409">
        <v>1</v>
      </c>
      <c r="AE280" s="420">
        <v>2</v>
      </c>
      <c r="AF280" s="455"/>
      <c r="AG280" s="919" t="s">
        <v>638</v>
      </c>
      <c r="AH280" s="813" t="s">
        <v>1267</v>
      </c>
      <c r="AI280" s="813" t="s">
        <v>1268</v>
      </c>
      <c r="AJ280" s="914" t="s">
        <v>1269</v>
      </c>
      <c r="AK280" s="813" t="s">
        <v>457</v>
      </c>
      <c r="AL280" s="813" t="s">
        <v>178</v>
      </c>
      <c r="AM280" s="813" t="s">
        <v>1136</v>
      </c>
      <c r="AN280" s="909">
        <v>556759</v>
      </c>
      <c r="AO280" s="910">
        <v>255912</v>
      </c>
      <c r="AP280" s="910">
        <v>300846</v>
      </c>
      <c r="AQ280" s="911" t="s">
        <v>459</v>
      </c>
      <c r="AR280" s="911" t="s">
        <v>459</v>
      </c>
      <c r="AS280" s="911" t="s">
        <v>459</v>
      </c>
      <c r="AT280" s="911" t="s">
        <v>459</v>
      </c>
      <c r="AU280" s="915" t="s">
        <v>459</v>
      </c>
      <c r="AV280" s="915" t="s">
        <v>459</v>
      </c>
      <c r="AW280" s="915" t="s">
        <v>459</v>
      </c>
      <c r="AX280" s="910">
        <v>556759</v>
      </c>
      <c r="AY280" s="427"/>
    </row>
    <row r="281" spans="1:51" ht="18" hidden="1" customHeight="1" x14ac:dyDescent="0.25">
      <c r="A281" s="829"/>
      <c r="B281" s="710"/>
      <c r="C281" s="710"/>
      <c r="D281" s="404" t="s">
        <v>343</v>
      </c>
      <c r="E281" s="179"/>
      <c r="F281" s="180"/>
      <c r="G281" s="174"/>
      <c r="H281" s="174"/>
      <c r="I281" s="174"/>
      <c r="J281" s="410"/>
      <c r="K281" s="409"/>
      <c r="L281" s="410"/>
      <c r="M281" s="410"/>
      <c r="N281" s="410"/>
      <c r="O281" s="410"/>
      <c r="P281" s="410" t="e">
        <f>+P280*$P$155/$P$154</f>
        <v>#VALUE!</v>
      </c>
      <c r="Q281" s="410" t="e">
        <f>+Q280*$Q$155/$Q$154</f>
        <v>#VALUE!</v>
      </c>
      <c r="R281" s="410" t="e">
        <f>+R280*$R$155/$R$154</f>
        <v>#VALUE!</v>
      </c>
      <c r="S281" s="710"/>
      <c r="T281" s="167"/>
      <c r="U281" s="167"/>
      <c r="V281" s="167"/>
      <c r="W281" s="415"/>
      <c r="X281" s="411"/>
      <c r="Y281" s="411"/>
      <c r="Z281" s="411"/>
      <c r="AA281" s="433"/>
      <c r="AB281" s="409"/>
      <c r="AC281" s="409" t="e">
        <f>+AC280*$AC$155/$AC$154</f>
        <v>#VALUE!</v>
      </c>
      <c r="AD281" s="409" t="e">
        <f>+AD280*$AD$155/$AD$154</f>
        <v>#VALUE!</v>
      </c>
      <c r="AE281" s="409" t="e">
        <f>+AE280*$AE$155/$AE$154</f>
        <v>#VALUE!</v>
      </c>
      <c r="AF281" s="455"/>
      <c r="AG281" s="829"/>
      <c r="AH281" s="710"/>
      <c r="AI281" s="710"/>
      <c r="AJ281" s="710"/>
      <c r="AK281" s="710"/>
      <c r="AL281" s="710"/>
      <c r="AM281" s="710"/>
      <c r="AN281" s="710"/>
      <c r="AO281" s="710"/>
      <c r="AP281" s="710"/>
      <c r="AQ281" s="710"/>
      <c r="AR281" s="710"/>
      <c r="AS281" s="710"/>
      <c r="AT281" s="710"/>
      <c r="AU281" s="710"/>
      <c r="AV281" s="710"/>
      <c r="AW281" s="710"/>
      <c r="AX281" s="710"/>
      <c r="AY281" s="427"/>
    </row>
    <row r="282" spans="1:51" ht="27" hidden="1" customHeight="1" x14ac:dyDescent="0.25">
      <c r="A282" s="829"/>
      <c r="B282" s="710"/>
      <c r="C282" s="710"/>
      <c r="D282" s="408" t="s">
        <v>345</v>
      </c>
      <c r="E282" s="179"/>
      <c r="F282" s="180"/>
      <c r="G282" s="174"/>
      <c r="H282" s="174"/>
      <c r="I282" s="174"/>
      <c r="J282" s="410"/>
      <c r="K282" s="409"/>
      <c r="L282" s="410"/>
      <c r="M282" s="410"/>
      <c r="N282" s="410"/>
      <c r="O282" s="410"/>
      <c r="P282" s="410"/>
      <c r="Q282" s="410"/>
      <c r="R282" s="416"/>
      <c r="S282" s="710"/>
      <c r="T282" s="167"/>
      <c r="U282" s="167"/>
      <c r="V282" s="167"/>
      <c r="W282" s="415"/>
      <c r="X282" s="411"/>
      <c r="Y282" s="411"/>
      <c r="Z282" s="411"/>
      <c r="AA282" s="433"/>
      <c r="AB282" s="419"/>
      <c r="AC282" s="409"/>
      <c r="AD282" s="409"/>
      <c r="AE282" s="420"/>
      <c r="AF282" s="455"/>
      <c r="AG282" s="829"/>
      <c r="AH282" s="710"/>
      <c r="AI282" s="710"/>
      <c r="AJ282" s="710"/>
      <c r="AK282" s="710"/>
      <c r="AL282" s="710"/>
      <c r="AM282" s="710"/>
      <c r="AN282" s="710"/>
      <c r="AO282" s="710"/>
      <c r="AP282" s="710"/>
      <c r="AQ282" s="710"/>
      <c r="AR282" s="710"/>
      <c r="AS282" s="710"/>
      <c r="AT282" s="710"/>
      <c r="AU282" s="710"/>
      <c r="AV282" s="710"/>
      <c r="AW282" s="710"/>
      <c r="AX282" s="710"/>
      <c r="AY282" s="427"/>
    </row>
    <row r="283" spans="1:51" ht="27" hidden="1" customHeight="1" x14ac:dyDescent="0.25">
      <c r="A283" s="829"/>
      <c r="B283" s="710"/>
      <c r="C283" s="710"/>
      <c r="D283" s="404" t="s">
        <v>346</v>
      </c>
      <c r="E283" s="179"/>
      <c r="F283" s="180"/>
      <c r="G283" s="174"/>
      <c r="H283" s="174"/>
      <c r="I283" s="174"/>
      <c r="J283" s="410"/>
      <c r="K283" s="409"/>
      <c r="L283" s="410"/>
      <c r="M283" s="410"/>
      <c r="N283" s="410"/>
      <c r="O283" s="410"/>
      <c r="P283" s="410"/>
      <c r="Q283" s="410"/>
      <c r="R283" s="416"/>
      <c r="S283" s="710"/>
      <c r="T283" s="167"/>
      <c r="U283" s="167"/>
      <c r="V283" s="167"/>
      <c r="W283" s="415"/>
      <c r="X283" s="411"/>
      <c r="Y283" s="411"/>
      <c r="Z283" s="411"/>
      <c r="AA283" s="433"/>
      <c r="AB283" s="419"/>
      <c r="AC283" s="409"/>
      <c r="AD283" s="409"/>
      <c r="AE283" s="420"/>
      <c r="AF283" s="455"/>
      <c r="AG283" s="829"/>
      <c r="AH283" s="710"/>
      <c r="AI283" s="710"/>
      <c r="AJ283" s="710"/>
      <c r="AK283" s="710"/>
      <c r="AL283" s="710"/>
      <c r="AM283" s="710"/>
      <c r="AN283" s="710"/>
      <c r="AO283" s="710"/>
      <c r="AP283" s="710"/>
      <c r="AQ283" s="710"/>
      <c r="AR283" s="710"/>
      <c r="AS283" s="710"/>
      <c r="AT283" s="710"/>
      <c r="AU283" s="710"/>
      <c r="AV283" s="710"/>
      <c r="AW283" s="710"/>
      <c r="AX283" s="710"/>
      <c r="AY283" s="427"/>
    </row>
    <row r="284" spans="1:51" ht="27" hidden="1" customHeight="1" x14ac:dyDescent="0.25">
      <c r="A284" s="829"/>
      <c r="B284" s="710"/>
      <c r="C284" s="710"/>
      <c r="D284" s="408" t="s">
        <v>347</v>
      </c>
      <c r="E284" s="179"/>
      <c r="F284" s="180"/>
      <c r="G284" s="174"/>
      <c r="H284" s="174"/>
      <c r="I284" s="174"/>
      <c r="J284" s="410"/>
      <c r="K284" s="409"/>
      <c r="L284" s="410"/>
      <c r="M284" s="410"/>
      <c r="N284" s="410"/>
      <c r="O284" s="410"/>
      <c r="P284" s="410">
        <v>1</v>
      </c>
      <c r="Q284" s="410">
        <v>1</v>
      </c>
      <c r="R284" s="416">
        <v>2</v>
      </c>
      <c r="S284" s="710"/>
      <c r="T284" s="167"/>
      <c r="U284" s="167"/>
      <c r="V284" s="167"/>
      <c r="W284" s="415"/>
      <c r="X284" s="411"/>
      <c r="Y284" s="411"/>
      <c r="Z284" s="411"/>
      <c r="AA284" s="433"/>
      <c r="AB284" s="409"/>
      <c r="AC284" s="409">
        <v>1</v>
      </c>
      <c r="AD284" s="409">
        <v>1</v>
      </c>
      <c r="AE284" s="420">
        <v>2</v>
      </c>
      <c r="AF284" s="455"/>
      <c r="AG284" s="829"/>
      <c r="AH284" s="710"/>
      <c r="AI284" s="710"/>
      <c r="AJ284" s="710"/>
      <c r="AK284" s="710"/>
      <c r="AL284" s="710"/>
      <c r="AM284" s="710"/>
      <c r="AN284" s="710"/>
      <c r="AO284" s="710"/>
      <c r="AP284" s="710"/>
      <c r="AQ284" s="710"/>
      <c r="AR284" s="710"/>
      <c r="AS284" s="710"/>
      <c r="AT284" s="710"/>
      <c r="AU284" s="710"/>
      <c r="AV284" s="710"/>
      <c r="AW284" s="710"/>
      <c r="AX284" s="710"/>
      <c r="AY284" s="427"/>
    </row>
    <row r="285" spans="1:51" ht="27.75" hidden="1" customHeight="1" x14ac:dyDescent="0.25">
      <c r="A285" s="829"/>
      <c r="B285" s="710"/>
      <c r="C285" s="731"/>
      <c r="D285" s="412" t="s">
        <v>348</v>
      </c>
      <c r="E285" s="179"/>
      <c r="F285" s="180"/>
      <c r="G285" s="174"/>
      <c r="H285" s="174"/>
      <c r="I285" s="174"/>
      <c r="J285" s="410"/>
      <c r="K285" s="409"/>
      <c r="L285" s="410"/>
      <c r="M285" s="410"/>
      <c r="N285" s="410"/>
      <c r="O285" s="410"/>
      <c r="P285" s="410" t="e">
        <f>+P284*$P$155/$P$154</f>
        <v>#VALUE!</v>
      </c>
      <c r="Q285" s="410" t="e">
        <f>+Q284*$Q$155/$Q$154</f>
        <v>#VALUE!</v>
      </c>
      <c r="R285" s="410" t="e">
        <f>+R284*$R$155/$R$154</f>
        <v>#VALUE!</v>
      </c>
      <c r="S285" s="710"/>
      <c r="T285" s="167"/>
      <c r="U285" s="167"/>
      <c r="V285" s="167"/>
      <c r="W285" s="415"/>
      <c r="X285" s="411"/>
      <c r="Y285" s="411"/>
      <c r="Z285" s="411"/>
      <c r="AA285" s="433"/>
      <c r="AB285" s="409"/>
      <c r="AC285" s="409" t="e">
        <f>+AC284*$AC$155/$AC$154</f>
        <v>#VALUE!</v>
      </c>
      <c r="AD285" s="409" t="e">
        <f>+AD284*$AD$155/$AD$154</f>
        <v>#VALUE!</v>
      </c>
      <c r="AE285" s="409" t="e">
        <f>+AE284*$AE$155/$AE$154</f>
        <v>#VALUE!</v>
      </c>
      <c r="AF285" s="455"/>
      <c r="AG285" s="823"/>
      <c r="AH285" s="731"/>
      <c r="AI285" s="731"/>
      <c r="AJ285" s="731"/>
      <c r="AK285" s="731"/>
      <c r="AL285" s="731"/>
      <c r="AM285" s="731"/>
      <c r="AN285" s="731"/>
      <c r="AO285" s="731"/>
      <c r="AP285" s="731"/>
      <c r="AQ285" s="731"/>
      <c r="AR285" s="731"/>
      <c r="AS285" s="731"/>
      <c r="AT285" s="731"/>
      <c r="AU285" s="731"/>
      <c r="AV285" s="731"/>
      <c r="AW285" s="731"/>
      <c r="AX285" s="731"/>
      <c r="AY285" s="427"/>
    </row>
    <row r="286" spans="1:51" ht="18" customHeight="1" x14ac:dyDescent="0.25">
      <c r="A286" s="829"/>
      <c r="B286" s="710"/>
      <c r="C286" s="818" t="s">
        <v>511</v>
      </c>
      <c r="D286" s="413" t="s">
        <v>340</v>
      </c>
      <c r="E286" s="179"/>
      <c r="F286" s="180"/>
      <c r="G286" s="174">
        <v>72</v>
      </c>
      <c r="H286" s="174">
        <v>66</v>
      </c>
      <c r="I286" s="174">
        <v>59</v>
      </c>
      <c r="J286" s="410">
        <v>52</v>
      </c>
      <c r="K286" s="414">
        <v>45</v>
      </c>
      <c r="L286" s="410"/>
      <c r="M286" s="410"/>
      <c r="N286" s="410"/>
      <c r="O286" s="410">
        <v>18</v>
      </c>
      <c r="P286" s="410">
        <v>14</v>
      </c>
      <c r="Q286" s="410">
        <v>8</v>
      </c>
      <c r="R286" s="416">
        <v>0</v>
      </c>
      <c r="S286" s="710"/>
      <c r="T286" s="167"/>
      <c r="U286" s="167"/>
      <c r="V286" s="167"/>
      <c r="W286" s="415"/>
      <c r="X286" s="411"/>
      <c r="Y286" s="411"/>
      <c r="Z286" s="411"/>
      <c r="AA286" s="433"/>
      <c r="AB286" s="454"/>
      <c r="AC286" s="401"/>
      <c r="AD286" s="431"/>
      <c r="AE286" s="420"/>
      <c r="AF286" s="455"/>
      <c r="AG286" s="919"/>
      <c r="AH286" s="813"/>
      <c r="AI286" s="813"/>
      <c r="AJ286" s="914"/>
      <c r="AK286" s="919"/>
      <c r="AL286" s="813" t="s">
        <v>178</v>
      </c>
      <c r="AM286" s="813" t="s">
        <v>1136</v>
      </c>
      <c r="AN286" s="910">
        <v>7804660</v>
      </c>
      <c r="AO286" s="910">
        <v>3721767</v>
      </c>
      <c r="AP286" s="910">
        <v>4082893</v>
      </c>
      <c r="AQ286" s="911" t="s">
        <v>459</v>
      </c>
      <c r="AR286" s="911" t="s">
        <v>459</v>
      </c>
      <c r="AS286" s="911" t="s">
        <v>459</v>
      </c>
      <c r="AT286" s="911" t="s">
        <v>459</v>
      </c>
      <c r="AU286" s="915" t="s">
        <v>459</v>
      </c>
      <c r="AV286" s="915" t="s">
        <v>459</v>
      </c>
      <c r="AW286" s="915" t="s">
        <v>459</v>
      </c>
      <c r="AX286" s="910">
        <v>7804660</v>
      </c>
      <c r="AY286" s="427"/>
    </row>
    <row r="287" spans="1:51" ht="15.75" customHeight="1" x14ac:dyDescent="0.25">
      <c r="A287" s="829"/>
      <c r="B287" s="710"/>
      <c r="C287" s="710"/>
      <c r="D287" s="404" t="s">
        <v>343</v>
      </c>
      <c r="E287" s="179"/>
      <c r="F287" s="180"/>
      <c r="G287" s="174">
        <f>+G286*$G$155/$G$154</f>
        <v>185264415.58441558</v>
      </c>
      <c r="H287" s="174">
        <f>+H286*$H$155/$H$154</f>
        <v>169825714.2857143</v>
      </c>
      <c r="I287" s="174" t="e">
        <f>+I286*$I$155/$I$154</f>
        <v>#REF!</v>
      </c>
      <c r="J287" s="410" t="e">
        <f>+J286*$J$155/$J$154</f>
        <v>#REF!</v>
      </c>
      <c r="K287" s="409"/>
      <c r="L287" s="410"/>
      <c r="M287" s="410"/>
      <c r="N287" s="410"/>
      <c r="O287" s="410">
        <f>+O286*$O$155/$O$154</f>
        <v>128595600</v>
      </c>
      <c r="P287" s="410" t="e">
        <f>+P286*$P$155/$P$154</f>
        <v>#VALUE!</v>
      </c>
      <c r="Q287" s="410" t="e">
        <f>+Q286*$Q$155/$Q$154</f>
        <v>#VALUE!</v>
      </c>
      <c r="R287" s="410" t="e">
        <f>+R286*$R$155/$R$154</f>
        <v>#VALUE!</v>
      </c>
      <c r="S287" s="710"/>
      <c r="T287" s="167"/>
      <c r="U287" s="167"/>
      <c r="V287" s="167"/>
      <c r="W287" s="415"/>
      <c r="X287" s="411"/>
      <c r="Y287" s="411"/>
      <c r="Z287" s="411"/>
      <c r="AA287" s="433"/>
      <c r="AB287" s="419"/>
      <c r="AC287" s="401"/>
      <c r="AD287" s="431"/>
      <c r="AE287" s="420"/>
      <c r="AF287" s="455"/>
      <c r="AG287" s="829"/>
      <c r="AH287" s="710"/>
      <c r="AI287" s="710"/>
      <c r="AJ287" s="710"/>
      <c r="AK287" s="829"/>
      <c r="AL287" s="710"/>
      <c r="AM287" s="710"/>
      <c r="AN287" s="710"/>
      <c r="AO287" s="710"/>
      <c r="AP287" s="710"/>
      <c r="AQ287" s="710"/>
      <c r="AR287" s="710"/>
      <c r="AS287" s="710"/>
      <c r="AT287" s="710"/>
      <c r="AU287" s="710"/>
      <c r="AV287" s="710"/>
      <c r="AW287" s="710"/>
      <c r="AX287" s="710"/>
      <c r="AY287" s="427"/>
    </row>
    <row r="288" spans="1:51" ht="15.75" customHeight="1" x14ac:dyDescent="0.25">
      <c r="A288" s="829"/>
      <c r="B288" s="710"/>
      <c r="C288" s="710"/>
      <c r="D288" s="408" t="s">
        <v>345</v>
      </c>
      <c r="E288" s="179"/>
      <c r="F288" s="180"/>
      <c r="G288" s="174"/>
      <c r="H288" s="174"/>
      <c r="I288" s="174"/>
      <c r="J288" s="410"/>
      <c r="K288" s="409"/>
      <c r="L288" s="410"/>
      <c r="M288" s="410"/>
      <c r="N288" s="410"/>
      <c r="O288" s="410"/>
      <c r="P288" s="410"/>
      <c r="Q288" s="410"/>
      <c r="R288" s="416"/>
      <c r="S288" s="710"/>
      <c r="T288" s="167"/>
      <c r="U288" s="167"/>
      <c r="V288" s="167"/>
      <c r="W288" s="415"/>
      <c r="X288" s="411"/>
      <c r="Y288" s="411"/>
      <c r="Z288" s="411"/>
      <c r="AA288" s="433"/>
      <c r="AB288" s="419"/>
      <c r="AC288" s="401"/>
      <c r="AD288" s="431"/>
      <c r="AE288" s="420"/>
      <c r="AF288" s="455"/>
      <c r="AG288" s="829"/>
      <c r="AH288" s="710"/>
      <c r="AI288" s="710"/>
      <c r="AJ288" s="710"/>
      <c r="AK288" s="829"/>
      <c r="AL288" s="710"/>
      <c r="AM288" s="710"/>
      <c r="AN288" s="710"/>
      <c r="AO288" s="710"/>
      <c r="AP288" s="710"/>
      <c r="AQ288" s="710"/>
      <c r="AR288" s="710"/>
      <c r="AS288" s="710"/>
      <c r="AT288" s="710"/>
      <c r="AU288" s="710"/>
      <c r="AV288" s="710"/>
      <c r="AW288" s="710"/>
      <c r="AX288" s="710"/>
      <c r="AY288" s="427"/>
    </row>
    <row r="289" spans="1:51" ht="15.75" customHeight="1" x14ac:dyDescent="0.25">
      <c r="A289" s="829"/>
      <c r="B289" s="710"/>
      <c r="C289" s="710"/>
      <c r="D289" s="404" t="s">
        <v>346</v>
      </c>
      <c r="E289" s="179"/>
      <c r="F289" s="180"/>
      <c r="G289" s="174"/>
      <c r="H289" s="174"/>
      <c r="I289" s="174"/>
      <c r="J289" s="410"/>
      <c r="K289" s="409"/>
      <c r="L289" s="410"/>
      <c r="M289" s="410"/>
      <c r="N289" s="410"/>
      <c r="O289" s="410"/>
      <c r="P289" s="410"/>
      <c r="Q289" s="410"/>
      <c r="R289" s="416"/>
      <c r="S289" s="710"/>
      <c r="T289" s="167"/>
      <c r="U289" s="167"/>
      <c r="V289" s="167"/>
      <c r="W289" s="415"/>
      <c r="X289" s="411"/>
      <c r="Y289" s="411"/>
      <c r="Z289" s="411"/>
      <c r="AA289" s="433"/>
      <c r="AB289" s="419"/>
      <c r="AC289" s="401"/>
      <c r="AD289" s="431"/>
      <c r="AE289" s="420"/>
      <c r="AF289" s="455"/>
      <c r="AG289" s="829"/>
      <c r="AH289" s="710"/>
      <c r="AI289" s="710"/>
      <c r="AJ289" s="710"/>
      <c r="AK289" s="829"/>
      <c r="AL289" s="710"/>
      <c r="AM289" s="710"/>
      <c r="AN289" s="710"/>
      <c r="AO289" s="710"/>
      <c r="AP289" s="710"/>
      <c r="AQ289" s="710"/>
      <c r="AR289" s="710"/>
      <c r="AS289" s="710"/>
      <c r="AT289" s="710"/>
      <c r="AU289" s="710"/>
      <c r="AV289" s="710"/>
      <c r="AW289" s="710"/>
      <c r="AX289" s="710"/>
      <c r="AY289" s="427"/>
    </row>
    <row r="290" spans="1:51" ht="15.75" customHeight="1" x14ac:dyDescent="0.25">
      <c r="A290" s="829"/>
      <c r="B290" s="710"/>
      <c r="C290" s="710"/>
      <c r="D290" s="408" t="s">
        <v>347</v>
      </c>
      <c r="E290" s="179"/>
      <c r="F290" s="180"/>
      <c r="G290" s="174">
        <v>72</v>
      </c>
      <c r="H290" s="174">
        <v>66</v>
      </c>
      <c r="I290" s="174">
        <v>59</v>
      </c>
      <c r="J290" s="410">
        <v>52</v>
      </c>
      <c r="K290" s="409"/>
      <c r="L290" s="410"/>
      <c r="M290" s="410"/>
      <c r="N290" s="410"/>
      <c r="O290" s="410">
        <f>+O286</f>
        <v>18</v>
      </c>
      <c r="P290" s="410">
        <v>14</v>
      </c>
      <c r="Q290" s="410">
        <v>8</v>
      </c>
      <c r="R290" s="416">
        <v>0</v>
      </c>
      <c r="S290" s="710"/>
      <c r="T290" s="167"/>
      <c r="U290" s="167"/>
      <c r="V290" s="167"/>
      <c r="W290" s="415"/>
      <c r="X290" s="411"/>
      <c r="Y290" s="411"/>
      <c r="Z290" s="411"/>
      <c r="AA290" s="433"/>
      <c r="AB290" s="419"/>
      <c r="AC290" s="401"/>
      <c r="AD290" s="431"/>
      <c r="AE290" s="420"/>
      <c r="AF290" s="455"/>
      <c r="AG290" s="829"/>
      <c r="AH290" s="710"/>
      <c r="AI290" s="710"/>
      <c r="AJ290" s="710"/>
      <c r="AK290" s="829"/>
      <c r="AL290" s="710"/>
      <c r="AM290" s="710"/>
      <c r="AN290" s="710"/>
      <c r="AO290" s="710"/>
      <c r="AP290" s="710"/>
      <c r="AQ290" s="710"/>
      <c r="AR290" s="710"/>
      <c r="AS290" s="710"/>
      <c r="AT290" s="710"/>
      <c r="AU290" s="710"/>
      <c r="AV290" s="710"/>
      <c r="AW290" s="710"/>
      <c r="AX290" s="710"/>
      <c r="AY290" s="427"/>
    </row>
    <row r="291" spans="1:51" ht="15.75" customHeight="1" x14ac:dyDescent="0.25">
      <c r="A291" s="829"/>
      <c r="B291" s="710"/>
      <c r="C291" s="731"/>
      <c r="D291" s="412" t="s">
        <v>348</v>
      </c>
      <c r="E291" s="179"/>
      <c r="F291" s="180"/>
      <c r="G291" s="174">
        <f>+G290*$G$155/$G$154</f>
        <v>185264415.58441558</v>
      </c>
      <c r="H291" s="174">
        <f>+H290*$H$155/$H$154</f>
        <v>169825714.2857143</v>
      </c>
      <c r="I291" s="174" t="e">
        <f>+I290*$I$155/$I$154</f>
        <v>#REF!</v>
      </c>
      <c r="J291" s="410" t="e">
        <f>+J290*$J$155/$J$154</f>
        <v>#REF!</v>
      </c>
      <c r="K291" s="409"/>
      <c r="L291" s="410"/>
      <c r="M291" s="410"/>
      <c r="N291" s="410"/>
      <c r="O291" s="410">
        <f>+O287</f>
        <v>128595600</v>
      </c>
      <c r="P291" s="410" t="e">
        <f>+P290*$P$155/$P$154</f>
        <v>#VALUE!</v>
      </c>
      <c r="Q291" s="410" t="e">
        <f>+Q290*$Q$155/$Q$154</f>
        <v>#VALUE!</v>
      </c>
      <c r="R291" s="410" t="e">
        <f>+R290*$R$155/$R$154</f>
        <v>#VALUE!</v>
      </c>
      <c r="S291" s="710"/>
      <c r="T291" s="167"/>
      <c r="U291" s="167"/>
      <c r="V291" s="167"/>
      <c r="W291" s="415"/>
      <c r="X291" s="411"/>
      <c r="Y291" s="411"/>
      <c r="Z291" s="411"/>
      <c r="AA291" s="433"/>
      <c r="AB291" s="419"/>
      <c r="AC291" s="401"/>
      <c r="AD291" s="431"/>
      <c r="AE291" s="420"/>
      <c r="AF291" s="455"/>
      <c r="AG291" s="823"/>
      <c r="AH291" s="731"/>
      <c r="AI291" s="731"/>
      <c r="AJ291" s="731"/>
      <c r="AK291" s="823"/>
      <c r="AL291" s="731"/>
      <c r="AM291" s="731"/>
      <c r="AN291" s="731"/>
      <c r="AO291" s="731"/>
      <c r="AP291" s="731"/>
      <c r="AQ291" s="731"/>
      <c r="AR291" s="731"/>
      <c r="AS291" s="731"/>
      <c r="AT291" s="731"/>
      <c r="AU291" s="731"/>
      <c r="AV291" s="731"/>
      <c r="AW291" s="731"/>
      <c r="AX291" s="731"/>
      <c r="AY291" s="427"/>
    </row>
    <row r="292" spans="1:51" ht="18" customHeight="1" x14ac:dyDescent="0.25">
      <c r="A292" s="829"/>
      <c r="B292" s="710"/>
      <c r="C292" s="818" t="s">
        <v>512</v>
      </c>
      <c r="D292" s="413" t="s">
        <v>340</v>
      </c>
      <c r="E292" s="179"/>
      <c r="F292" s="180"/>
      <c r="G292" s="174">
        <f t="shared" ref="G292:G297" si="14">+G196+G214+G220+G226+G268+G286</f>
        <v>77</v>
      </c>
      <c r="H292" s="174">
        <f t="shared" ref="H292:H297" si="15">H166+H196+H208+H214+H220+H226+H232+H268+H286</f>
        <v>77</v>
      </c>
      <c r="I292" s="174">
        <f t="shared" ref="I292:I297" si="16">I160+I166+I172+I196+I202+I208+I214+I220+I226+I232+I268+I286</f>
        <v>77</v>
      </c>
      <c r="J292" s="410">
        <f t="shared" ref="J292:J297" si="17">J160+J166+J172+J196+J202+J208+J214+J220+J226+J232+J250+J262+J268+J286</f>
        <v>77</v>
      </c>
      <c r="K292" s="414">
        <v>77</v>
      </c>
      <c r="L292" s="410"/>
      <c r="M292" s="410"/>
      <c r="N292" s="410"/>
      <c r="O292" s="410">
        <v>20</v>
      </c>
      <c r="P292" s="410" t="e">
        <f>+P172+P208+#REF!+#REF!+P274+P280+P286</f>
        <v>#REF!</v>
      </c>
      <c r="Q292" s="410" t="e">
        <f t="shared" ref="Q292:Q297" si="18">+Q172+Q196+Q208+Q214+Q262+Q268+#REF!+#REF!+Q274+Q280+Q286</f>
        <v>#REF!</v>
      </c>
      <c r="R292" s="410" t="e">
        <f t="shared" ref="R292:R297" si="19">+R172+R196+R202+R208+R214+R220+R226+R244+R262+R268+#REF!+#REF!+R274+R280+R286</f>
        <v>#REF!</v>
      </c>
      <c r="S292" s="710"/>
      <c r="T292" s="174">
        <f t="shared" ref="T292:T297" si="20">+T196+T214+T220+T226+T268+T286</f>
        <v>5</v>
      </c>
      <c r="U292" s="174">
        <f t="shared" ref="U292:U297" si="21">U166+U196+U208+U214+U220+U226+U232+U268+U286</f>
        <v>11</v>
      </c>
      <c r="V292" s="174">
        <f t="shared" ref="V292:V297" si="22">V160+V166+V172+V196+V202+V208+V214+V220+V226+V232+V268+V286</f>
        <v>18</v>
      </c>
      <c r="W292" s="410">
        <f t="shared" ref="W292:W297" si="23">W160+W166+W172+W196+W202+W208+W214+W220+W226+W232+W250+W262+W268+W286</f>
        <v>25</v>
      </c>
      <c r="X292" s="456">
        <v>32</v>
      </c>
      <c r="Y292" s="411"/>
      <c r="Z292" s="411"/>
      <c r="AA292" s="433"/>
      <c r="AB292" s="454">
        <f>+AB172+AB208</f>
        <v>2</v>
      </c>
      <c r="AC292" s="409" t="e">
        <f>+AC172+AC208+#REF!+#REF!+AC274+AC280+AC286</f>
        <v>#REF!</v>
      </c>
      <c r="AD292" s="409" t="e">
        <f t="shared" ref="AD292:AD297" si="24">+AD172+AD196+AD208+AD214+AD262+AD268+#REF!+#REF!+AD274+AD280+AD286</f>
        <v>#REF!</v>
      </c>
      <c r="AE292" s="409" t="e">
        <f t="shared" ref="AE292:AE297" si="25">+AE172+AE196+AE202+AE208+AE214+AE220+AE226+AE244+AE262+AE268+#REF!+#REF!+AE274+AE280+AE286</f>
        <v>#REF!</v>
      </c>
      <c r="AF292" s="455"/>
      <c r="AG292" s="919"/>
      <c r="AH292" s="914"/>
      <c r="AI292" s="914"/>
      <c r="AJ292" s="914"/>
      <c r="AK292" s="919"/>
      <c r="AL292" s="813" t="s">
        <v>178</v>
      </c>
      <c r="AM292" s="813" t="s">
        <v>1136</v>
      </c>
      <c r="AN292" s="910">
        <v>7804660</v>
      </c>
      <c r="AO292" s="910">
        <v>3721767</v>
      </c>
      <c r="AP292" s="910">
        <v>4082893</v>
      </c>
      <c r="AQ292" s="915" t="s">
        <v>459</v>
      </c>
      <c r="AR292" s="915" t="s">
        <v>459</v>
      </c>
      <c r="AS292" s="915" t="s">
        <v>459</v>
      </c>
      <c r="AT292" s="915" t="s">
        <v>459</v>
      </c>
      <c r="AU292" s="915" t="s">
        <v>459</v>
      </c>
      <c r="AV292" s="915" t="s">
        <v>459</v>
      </c>
      <c r="AW292" s="915" t="s">
        <v>459</v>
      </c>
      <c r="AX292" s="910">
        <v>7804660</v>
      </c>
      <c r="AY292" s="427"/>
    </row>
    <row r="293" spans="1:51" ht="24" customHeight="1" x14ac:dyDescent="0.25">
      <c r="A293" s="829"/>
      <c r="B293" s="710"/>
      <c r="C293" s="710"/>
      <c r="D293" s="404" t="s">
        <v>343</v>
      </c>
      <c r="E293" s="179"/>
      <c r="F293" s="180"/>
      <c r="G293" s="174">
        <f t="shared" si="14"/>
        <v>198130000</v>
      </c>
      <c r="H293" s="174">
        <f t="shared" si="15"/>
        <v>198130000</v>
      </c>
      <c r="I293" s="174" t="e">
        <f t="shared" si="16"/>
        <v>#REF!</v>
      </c>
      <c r="J293" s="410" t="e">
        <f t="shared" si="17"/>
        <v>#REF!</v>
      </c>
      <c r="K293" s="409"/>
      <c r="L293" s="410"/>
      <c r="M293" s="410"/>
      <c r="N293" s="410"/>
      <c r="O293" s="410">
        <f>+O292*$O$155/$O$154</f>
        <v>142884000</v>
      </c>
      <c r="P293" s="410" t="e">
        <f>+P173+P209+#REF!+#REF!+P275+P281+P287</f>
        <v>#VALUE!</v>
      </c>
      <c r="Q293" s="410" t="e">
        <f t="shared" si="18"/>
        <v>#VALUE!</v>
      </c>
      <c r="R293" s="410" t="e">
        <f t="shared" si="19"/>
        <v>#VALUE!</v>
      </c>
      <c r="S293" s="710"/>
      <c r="T293" s="174">
        <f t="shared" si="20"/>
        <v>0</v>
      </c>
      <c r="U293" s="174">
        <f t="shared" si="21"/>
        <v>129690000</v>
      </c>
      <c r="V293" s="174" t="e">
        <f t="shared" si="22"/>
        <v>#REF!</v>
      </c>
      <c r="W293" s="410" t="e">
        <f t="shared" si="23"/>
        <v>#REF!</v>
      </c>
      <c r="X293" s="411"/>
      <c r="Y293" s="411"/>
      <c r="Z293" s="411"/>
      <c r="AA293" s="433"/>
      <c r="AB293" s="409">
        <f>+AB173+AB209</f>
        <v>71774000</v>
      </c>
      <c r="AC293" s="409" t="e">
        <f>+AC173+AC209+#REF!+#REF!+AC275+AC281+AC287</f>
        <v>#VALUE!</v>
      </c>
      <c r="AD293" s="409" t="e">
        <f t="shared" si="24"/>
        <v>#VALUE!</v>
      </c>
      <c r="AE293" s="409" t="e">
        <f t="shared" si="25"/>
        <v>#VALUE!</v>
      </c>
      <c r="AF293" s="455"/>
      <c r="AG293" s="829"/>
      <c r="AH293" s="710"/>
      <c r="AI293" s="710"/>
      <c r="AJ293" s="710"/>
      <c r="AK293" s="829"/>
      <c r="AL293" s="710"/>
      <c r="AM293" s="710"/>
      <c r="AN293" s="710"/>
      <c r="AO293" s="710"/>
      <c r="AP293" s="710"/>
      <c r="AQ293" s="710"/>
      <c r="AR293" s="710"/>
      <c r="AS293" s="710"/>
      <c r="AT293" s="710"/>
      <c r="AU293" s="710"/>
      <c r="AV293" s="710"/>
      <c r="AW293" s="710"/>
      <c r="AX293" s="710"/>
      <c r="AY293" s="427"/>
    </row>
    <row r="294" spans="1:51" ht="15.75" customHeight="1" x14ac:dyDescent="0.25">
      <c r="A294" s="829"/>
      <c r="B294" s="710"/>
      <c r="C294" s="710"/>
      <c r="D294" s="408" t="s">
        <v>345</v>
      </c>
      <c r="E294" s="179"/>
      <c r="F294" s="180"/>
      <c r="G294" s="174">
        <f t="shared" si="14"/>
        <v>0</v>
      </c>
      <c r="H294" s="174">
        <f t="shared" si="15"/>
        <v>0</v>
      </c>
      <c r="I294" s="174">
        <f t="shared" si="16"/>
        <v>0</v>
      </c>
      <c r="J294" s="410">
        <f t="shared" si="17"/>
        <v>0</v>
      </c>
      <c r="K294" s="409"/>
      <c r="L294" s="410"/>
      <c r="M294" s="410"/>
      <c r="N294" s="410"/>
      <c r="O294" s="410"/>
      <c r="P294" s="410"/>
      <c r="Q294" s="410" t="e">
        <f t="shared" si="18"/>
        <v>#REF!</v>
      </c>
      <c r="R294" s="410" t="e">
        <f t="shared" si="19"/>
        <v>#REF!</v>
      </c>
      <c r="S294" s="710"/>
      <c r="T294" s="174">
        <f t="shared" si="20"/>
        <v>0</v>
      </c>
      <c r="U294" s="174">
        <f t="shared" si="21"/>
        <v>0</v>
      </c>
      <c r="V294" s="174">
        <f t="shared" si="22"/>
        <v>0</v>
      </c>
      <c r="W294" s="410">
        <f t="shared" si="23"/>
        <v>0</v>
      </c>
      <c r="X294" s="411"/>
      <c r="Y294" s="411"/>
      <c r="Z294" s="411"/>
      <c r="AA294" s="433"/>
      <c r="AB294" s="419"/>
      <c r="AC294" s="401"/>
      <c r="AD294" s="409" t="e">
        <f t="shared" si="24"/>
        <v>#REF!</v>
      </c>
      <c r="AE294" s="409" t="e">
        <f t="shared" si="25"/>
        <v>#REF!</v>
      </c>
      <c r="AF294" s="455"/>
      <c r="AG294" s="829"/>
      <c r="AH294" s="710"/>
      <c r="AI294" s="710"/>
      <c r="AJ294" s="710"/>
      <c r="AK294" s="829"/>
      <c r="AL294" s="710"/>
      <c r="AM294" s="710"/>
      <c r="AN294" s="710"/>
      <c r="AO294" s="710"/>
      <c r="AP294" s="710"/>
      <c r="AQ294" s="710"/>
      <c r="AR294" s="710"/>
      <c r="AS294" s="710"/>
      <c r="AT294" s="710"/>
      <c r="AU294" s="710"/>
      <c r="AV294" s="710"/>
      <c r="AW294" s="710"/>
      <c r="AX294" s="710"/>
      <c r="AY294" s="427"/>
    </row>
    <row r="295" spans="1:51" ht="15.75" customHeight="1" x14ac:dyDescent="0.25">
      <c r="A295" s="829"/>
      <c r="B295" s="710"/>
      <c r="C295" s="710"/>
      <c r="D295" s="404" t="s">
        <v>346</v>
      </c>
      <c r="E295" s="179"/>
      <c r="F295" s="180"/>
      <c r="G295" s="174">
        <f t="shared" si="14"/>
        <v>0</v>
      </c>
      <c r="H295" s="174">
        <f t="shared" si="15"/>
        <v>0</v>
      </c>
      <c r="I295" s="174">
        <f t="shared" si="16"/>
        <v>0</v>
      </c>
      <c r="J295" s="410">
        <f t="shared" si="17"/>
        <v>0</v>
      </c>
      <c r="K295" s="409"/>
      <c r="L295" s="410"/>
      <c r="M295" s="410"/>
      <c r="N295" s="410"/>
      <c r="O295" s="410"/>
      <c r="P295" s="410"/>
      <c r="Q295" s="410" t="e">
        <f t="shared" si="18"/>
        <v>#REF!</v>
      </c>
      <c r="R295" s="410" t="e">
        <f t="shared" si="19"/>
        <v>#REF!</v>
      </c>
      <c r="S295" s="710"/>
      <c r="T295" s="174">
        <f t="shared" si="20"/>
        <v>0</v>
      </c>
      <c r="U295" s="174">
        <f t="shared" si="21"/>
        <v>19427343</v>
      </c>
      <c r="V295" s="174">
        <f t="shared" si="22"/>
        <v>0</v>
      </c>
      <c r="W295" s="410">
        <f t="shared" si="23"/>
        <v>0</v>
      </c>
      <c r="X295" s="411"/>
      <c r="Y295" s="411"/>
      <c r="Z295" s="411"/>
      <c r="AA295" s="433"/>
      <c r="AB295" s="419"/>
      <c r="AC295" s="401"/>
      <c r="AD295" s="409" t="e">
        <f t="shared" si="24"/>
        <v>#REF!</v>
      </c>
      <c r="AE295" s="409" t="e">
        <f t="shared" si="25"/>
        <v>#REF!</v>
      </c>
      <c r="AF295" s="455"/>
      <c r="AG295" s="829"/>
      <c r="AH295" s="710"/>
      <c r="AI295" s="710"/>
      <c r="AJ295" s="710"/>
      <c r="AK295" s="829"/>
      <c r="AL295" s="710"/>
      <c r="AM295" s="710"/>
      <c r="AN295" s="710"/>
      <c r="AO295" s="710"/>
      <c r="AP295" s="710"/>
      <c r="AQ295" s="710"/>
      <c r="AR295" s="710"/>
      <c r="AS295" s="710"/>
      <c r="AT295" s="710"/>
      <c r="AU295" s="710"/>
      <c r="AV295" s="710"/>
      <c r="AW295" s="710"/>
      <c r="AX295" s="710"/>
      <c r="AY295" s="427"/>
    </row>
    <row r="296" spans="1:51" ht="15.75" customHeight="1" x14ac:dyDescent="0.25">
      <c r="A296" s="829"/>
      <c r="B296" s="710"/>
      <c r="C296" s="710"/>
      <c r="D296" s="408" t="s">
        <v>347</v>
      </c>
      <c r="E296" s="179"/>
      <c r="F296" s="180"/>
      <c r="G296" s="174">
        <f t="shared" si="14"/>
        <v>77</v>
      </c>
      <c r="H296" s="174">
        <f t="shared" si="15"/>
        <v>77</v>
      </c>
      <c r="I296" s="174">
        <f t="shared" si="16"/>
        <v>77</v>
      </c>
      <c r="J296" s="410">
        <f t="shared" si="17"/>
        <v>77</v>
      </c>
      <c r="K296" s="409"/>
      <c r="L296" s="410"/>
      <c r="M296" s="410"/>
      <c r="N296" s="410"/>
      <c r="O296" s="410">
        <f>+O292</f>
        <v>20</v>
      </c>
      <c r="P296" s="410">
        <v>20</v>
      </c>
      <c r="Q296" s="410" t="e">
        <f t="shared" si="18"/>
        <v>#REF!</v>
      </c>
      <c r="R296" s="410" t="e">
        <f t="shared" si="19"/>
        <v>#REF!</v>
      </c>
      <c r="S296" s="710"/>
      <c r="T296" s="174">
        <f t="shared" si="20"/>
        <v>5</v>
      </c>
      <c r="U296" s="174">
        <f t="shared" si="21"/>
        <v>11</v>
      </c>
      <c r="V296" s="174">
        <f t="shared" si="22"/>
        <v>18</v>
      </c>
      <c r="W296" s="410">
        <f t="shared" si="23"/>
        <v>25</v>
      </c>
      <c r="X296" s="411"/>
      <c r="Y296" s="411"/>
      <c r="Z296" s="411"/>
      <c r="AA296" s="433"/>
      <c r="AB296" s="409">
        <f>+AB292</f>
        <v>2</v>
      </c>
      <c r="AC296" s="401">
        <v>6</v>
      </c>
      <c r="AD296" s="409" t="e">
        <f t="shared" si="24"/>
        <v>#REF!</v>
      </c>
      <c r="AE296" s="409" t="e">
        <f t="shared" si="25"/>
        <v>#REF!</v>
      </c>
      <c r="AF296" s="455"/>
      <c r="AG296" s="829"/>
      <c r="AH296" s="710"/>
      <c r="AI296" s="710"/>
      <c r="AJ296" s="710"/>
      <c r="AK296" s="829"/>
      <c r="AL296" s="710"/>
      <c r="AM296" s="710"/>
      <c r="AN296" s="710"/>
      <c r="AO296" s="710"/>
      <c r="AP296" s="710"/>
      <c r="AQ296" s="710"/>
      <c r="AR296" s="710"/>
      <c r="AS296" s="710"/>
      <c r="AT296" s="710"/>
      <c r="AU296" s="710"/>
      <c r="AV296" s="710"/>
      <c r="AW296" s="710"/>
      <c r="AX296" s="710"/>
      <c r="AY296" s="427"/>
    </row>
    <row r="297" spans="1:51" ht="15.75" customHeight="1" x14ac:dyDescent="0.25">
      <c r="A297" s="823"/>
      <c r="B297" s="828"/>
      <c r="C297" s="731"/>
      <c r="D297" s="412" t="s">
        <v>348</v>
      </c>
      <c r="E297" s="179"/>
      <c r="F297" s="180"/>
      <c r="G297" s="174">
        <f t="shared" si="14"/>
        <v>195556883.11688313</v>
      </c>
      <c r="H297" s="174">
        <f t="shared" si="15"/>
        <v>198130000</v>
      </c>
      <c r="I297" s="174" t="e">
        <f t="shared" si="16"/>
        <v>#REF!</v>
      </c>
      <c r="J297" s="410" t="e">
        <f t="shared" si="17"/>
        <v>#REF!</v>
      </c>
      <c r="K297" s="409"/>
      <c r="L297" s="410"/>
      <c r="M297" s="410"/>
      <c r="N297" s="410"/>
      <c r="O297" s="410">
        <f>+O293</f>
        <v>142884000</v>
      </c>
      <c r="P297" s="410">
        <v>140462163</v>
      </c>
      <c r="Q297" s="410" t="e">
        <f t="shared" si="18"/>
        <v>#VALUE!</v>
      </c>
      <c r="R297" s="410" t="e">
        <f t="shared" si="19"/>
        <v>#VALUE!</v>
      </c>
      <c r="S297" s="731"/>
      <c r="T297" s="174">
        <f t="shared" si="20"/>
        <v>0</v>
      </c>
      <c r="U297" s="174">
        <f t="shared" si="21"/>
        <v>129690000</v>
      </c>
      <c r="V297" s="174" t="e">
        <f t="shared" si="22"/>
        <v>#REF!</v>
      </c>
      <c r="W297" s="410" t="e">
        <f t="shared" si="23"/>
        <v>#REF!</v>
      </c>
      <c r="X297" s="411"/>
      <c r="Y297" s="411"/>
      <c r="Z297" s="411"/>
      <c r="AA297" s="433"/>
      <c r="AB297" s="409">
        <f>+AB293</f>
        <v>71774000</v>
      </c>
      <c r="AC297" s="401">
        <v>71774000</v>
      </c>
      <c r="AD297" s="409" t="e">
        <f t="shared" si="24"/>
        <v>#VALUE!</v>
      </c>
      <c r="AE297" s="409" t="e">
        <f t="shared" si="25"/>
        <v>#VALUE!</v>
      </c>
      <c r="AF297" s="457"/>
      <c r="AG297" s="823"/>
      <c r="AH297" s="731"/>
      <c r="AI297" s="731"/>
      <c r="AJ297" s="731"/>
      <c r="AK297" s="823"/>
      <c r="AL297" s="731"/>
      <c r="AM297" s="731"/>
      <c r="AN297" s="731"/>
      <c r="AO297" s="731"/>
      <c r="AP297" s="731"/>
      <c r="AQ297" s="731"/>
      <c r="AR297" s="731"/>
      <c r="AS297" s="731"/>
      <c r="AT297" s="731"/>
      <c r="AU297" s="731"/>
      <c r="AV297" s="731"/>
      <c r="AW297" s="731"/>
      <c r="AX297" s="731"/>
      <c r="AY297" s="427"/>
    </row>
    <row r="298" spans="1:51" ht="18" customHeight="1" x14ac:dyDescent="0.25">
      <c r="A298" s="820">
        <v>3</v>
      </c>
      <c r="B298" s="827" t="s">
        <v>351</v>
      </c>
      <c r="C298" s="818" t="s">
        <v>550</v>
      </c>
      <c r="D298" s="413" t="s">
        <v>340</v>
      </c>
      <c r="E298" s="458" t="s">
        <v>673</v>
      </c>
      <c r="F298" s="162" t="s">
        <v>673</v>
      </c>
      <c r="G298" s="391">
        <v>3500</v>
      </c>
      <c r="H298" s="391">
        <v>3500</v>
      </c>
      <c r="I298" s="391" t="e">
        <f>+#REF!</f>
        <v>#REF!</v>
      </c>
      <c r="J298" s="392" t="e">
        <f>+#REF!</f>
        <v>#REF!</v>
      </c>
      <c r="K298" s="393">
        <v>3500</v>
      </c>
      <c r="L298" s="394"/>
      <c r="M298" s="394" t="str">
        <f t="shared" ref="M298:M303" si="26">+F298</f>
        <v>#REF!</v>
      </c>
      <c r="N298" s="392">
        <v>2500</v>
      </c>
      <c r="O298" s="394">
        <v>2500</v>
      </c>
      <c r="P298" s="394" t="s">
        <v>673</v>
      </c>
      <c r="Q298" s="394" t="s">
        <v>673</v>
      </c>
      <c r="R298" s="459" t="s">
        <v>673</v>
      </c>
      <c r="S298" s="960" t="s">
        <v>1130</v>
      </c>
      <c r="T298" s="395">
        <v>246</v>
      </c>
      <c r="U298" s="395">
        <v>547</v>
      </c>
      <c r="V298" s="395" t="e">
        <f>+#REF!</f>
        <v>#REF!</v>
      </c>
      <c r="W298" s="396" t="e">
        <f>+#REF!</f>
        <v>#REF!</v>
      </c>
      <c r="X298" s="397">
        <v>1463</v>
      </c>
      <c r="Y298" s="398"/>
      <c r="Z298" s="398">
        <v>0</v>
      </c>
      <c r="AA298" s="398">
        <v>741</v>
      </c>
      <c r="AB298" s="460">
        <v>1257</v>
      </c>
      <c r="AC298" s="401" t="s">
        <v>673</v>
      </c>
      <c r="AD298" s="444" t="s">
        <v>673</v>
      </c>
      <c r="AE298" s="461" t="s">
        <v>673</v>
      </c>
      <c r="AF298" s="928" t="s">
        <v>1270</v>
      </c>
      <c r="AG298" s="919" t="s">
        <v>1271</v>
      </c>
      <c r="AH298" s="914" t="s">
        <v>1272</v>
      </c>
      <c r="AI298" s="914" t="s">
        <v>1273</v>
      </c>
      <c r="AJ298" s="914" t="s">
        <v>1274</v>
      </c>
      <c r="AK298" s="813" t="s">
        <v>457</v>
      </c>
      <c r="AL298" s="813" t="s">
        <v>178</v>
      </c>
      <c r="AM298" s="813" t="s">
        <v>1275</v>
      </c>
      <c r="AN298" s="910">
        <v>7804660</v>
      </c>
      <c r="AO298" s="910">
        <v>3721767</v>
      </c>
      <c r="AP298" s="910">
        <v>4082893</v>
      </c>
      <c r="AQ298" s="915" t="s">
        <v>459</v>
      </c>
      <c r="AR298" s="915" t="s">
        <v>459</v>
      </c>
      <c r="AS298" s="915" t="s">
        <v>459</v>
      </c>
      <c r="AT298" s="915" t="s">
        <v>459</v>
      </c>
      <c r="AU298" s="915" t="s">
        <v>459</v>
      </c>
      <c r="AV298" s="915" t="s">
        <v>459</v>
      </c>
      <c r="AW298" s="915" t="s">
        <v>459</v>
      </c>
      <c r="AX298" s="910">
        <v>7804660</v>
      </c>
      <c r="AY298" s="930" t="s">
        <v>1276</v>
      </c>
    </row>
    <row r="299" spans="1:51" ht="15.75" customHeight="1" x14ac:dyDescent="0.25">
      <c r="A299" s="829"/>
      <c r="B299" s="710"/>
      <c r="C299" s="710"/>
      <c r="D299" s="404" t="s">
        <v>343</v>
      </c>
      <c r="E299" s="458" t="s">
        <v>673</v>
      </c>
      <c r="F299" s="162" t="s">
        <v>673</v>
      </c>
      <c r="G299" s="391">
        <v>34285000</v>
      </c>
      <c r="H299" s="391">
        <v>34285000</v>
      </c>
      <c r="I299" s="391" t="e">
        <f>+#REF!</f>
        <v>#REF!</v>
      </c>
      <c r="J299" s="392" t="e">
        <f>+#REF!</f>
        <v>#REF!</v>
      </c>
      <c r="K299" s="405"/>
      <c r="L299" s="406"/>
      <c r="M299" s="394" t="str">
        <f t="shared" si="26"/>
        <v>#REF!</v>
      </c>
      <c r="N299" s="392">
        <v>24546000</v>
      </c>
      <c r="O299" s="394">
        <v>24546000</v>
      </c>
      <c r="P299" s="394" t="s">
        <v>673</v>
      </c>
      <c r="Q299" s="394" t="s">
        <v>673</v>
      </c>
      <c r="R299" s="459" t="s">
        <v>673</v>
      </c>
      <c r="S299" s="710"/>
      <c r="T299" s="395">
        <v>0</v>
      </c>
      <c r="U299" s="395">
        <v>27200000</v>
      </c>
      <c r="V299" s="395" t="e">
        <f>+#REF!</f>
        <v>#REF!</v>
      </c>
      <c r="W299" s="396" t="e">
        <f>+#REF!</f>
        <v>#REF!</v>
      </c>
      <c r="X299" s="407"/>
      <c r="Y299" s="407"/>
      <c r="Z299" s="398">
        <v>0</v>
      </c>
      <c r="AA299" s="398">
        <v>10624000</v>
      </c>
      <c r="AB299" s="460">
        <v>10624000</v>
      </c>
      <c r="AC299" s="401" t="s">
        <v>673</v>
      </c>
      <c r="AD299" s="444" t="s">
        <v>673</v>
      </c>
      <c r="AE299" s="461" t="s">
        <v>673</v>
      </c>
      <c r="AF299" s="713"/>
      <c r="AG299" s="829"/>
      <c r="AH299" s="710"/>
      <c r="AI299" s="710"/>
      <c r="AJ299" s="710"/>
      <c r="AK299" s="710"/>
      <c r="AL299" s="710"/>
      <c r="AM299" s="710"/>
      <c r="AN299" s="710"/>
      <c r="AO299" s="710"/>
      <c r="AP299" s="710"/>
      <c r="AQ299" s="710"/>
      <c r="AR299" s="710"/>
      <c r="AS299" s="710"/>
      <c r="AT299" s="710"/>
      <c r="AU299" s="710"/>
      <c r="AV299" s="710"/>
      <c r="AW299" s="710"/>
      <c r="AX299" s="710"/>
      <c r="AY299" s="710"/>
    </row>
    <row r="300" spans="1:51" ht="15.75" customHeight="1" x14ac:dyDescent="0.25">
      <c r="A300" s="829"/>
      <c r="B300" s="710"/>
      <c r="C300" s="710"/>
      <c r="D300" s="408" t="s">
        <v>345</v>
      </c>
      <c r="E300" s="458" t="s">
        <v>673</v>
      </c>
      <c r="F300" s="162" t="s">
        <v>673</v>
      </c>
      <c r="G300" s="391">
        <v>0</v>
      </c>
      <c r="H300" s="391">
        <v>0</v>
      </c>
      <c r="I300" s="391" t="e">
        <f>+#REF!</f>
        <v>#REF!</v>
      </c>
      <c r="J300" s="392" t="e">
        <f>+#REF!</f>
        <v>#REF!</v>
      </c>
      <c r="K300" s="409"/>
      <c r="L300" s="410"/>
      <c r="M300" s="394" t="str">
        <f t="shared" si="26"/>
        <v>#REF!</v>
      </c>
      <c r="N300" s="392">
        <v>0</v>
      </c>
      <c r="O300" s="394">
        <v>0</v>
      </c>
      <c r="P300" s="394" t="s">
        <v>673</v>
      </c>
      <c r="Q300" s="394" t="s">
        <v>673</v>
      </c>
      <c r="R300" s="459" t="s">
        <v>673</v>
      </c>
      <c r="S300" s="710"/>
      <c r="T300" s="395">
        <v>0</v>
      </c>
      <c r="U300" s="395">
        <v>0</v>
      </c>
      <c r="V300" s="395" t="e">
        <f>+#REF!</f>
        <v>#REF!</v>
      </c>
      <c r="W300" s="396" t="e">
        <f>+#REF!</f>
        <v>#REF!</v>
      </c>
      <c r="X300" s="411"/>
      <c r="Y300" s="411"/>
      <c r="Z300" s="398">
        <v>0</v>
      </c>
      <c r="AA300" s="398">
        <v>0</v>
      </c>
      <c r="AB300" s="460">
        <v>0</v>
      </c>
      <c r="AC300" s="401" t="s">
        <v>673</v>
      </c>
      <c r="AD300" s="444" t="s">
        <v>673</v>
      </c>
      <c r="AE300" s="461" t="s">
        <v>673</v>
      </c>
      <c r="AF300" s="713"/>
      <c r="AG300" s="829"/>
      <c r="AH300" s="710"/>
      <c r="AI300" s="710"/>
      <c r="AJ300" s="710"/>
      <c r="AK300" s="710"/>
      <c r="AL300" s="710"/>
      <c r="AM300" s="710"/>
      <c r="AN300" s="710"/>
      <c r="AO300" s="710"/>
      <c r="AP300" s="710"/>
      <c r="AQ300" s="710"/>
      <c r="AR300" s="710"/>
      <c r="AS300" s="710"/>
      <c r="AT300" s="710"/>
      <c r="AU300" s="710"/>
      <c r="AV300" s="710"/>
      <c r="AW300" s="710"/>
      <c r="AX300" s="710"/>
      <c r="AY300" s="710"/>
    </row>
    <row r="301" spans="1:51" ht="15.75" customHeight="1" x14ac:dyDescent="0.25">
      <c r="A301" s="829"/>
      <c r="B301" s="710"/>
      <c r="C301" s="710"/>
      <c r="D301" s="404" t="s">
        <v>346</v>
      </c>
      <c r="E301" s="458" t="s">
        <v>673</v>
      </c>
      <c r="F301" s="162" t="s">
        <v>673</v>
      </c>
      <c r="G301" s="391">
        <v>3718400</v>
      </c>
      <c r="H301" s="391">
        <v>3718400</v>
      </c>
      <c r="I301" s="391" t="e">
        <f>+#REF!</f>
        <v>#REF!</v>
      </c>
      <c r="J301" s="392" t="e">
        <f>+#REF!</f>
        <v>#REF!</v>
      </c>
      <c r="K301" s="409"/>
      <c r="L301" s="410"/>
      <c r="M301" s="394" t="str">
        <f t="shared" si="26"/>
        <v>#REF!</v>
      </c>
      <c r="N301" s="392">
        <v>0</v>
      </c>
      <c r="O301" s="394">
        <v>0</v>
      </c>
      <c r="P301" s="394" t="s">
        <v>673</v>
      </c>
      <c r="Q301" s="394" t="s">
        <v>673</v>
      </c>
      <c r="R301" s="459" t="s">
        <v>673</v>
      </c>
      <c r="S301" s="710"/>
      <c r="T301" s="395">
        <v>3718400</v>
      </c>
      <c r="U301" s="395">
        <v>3718400</v>
      </c>
      <c r="V301" s="395" t="e">
        <f>+#REF!</f>
        <v>#REF!</v>
      </c>
      <c r="W301" s="396" t="e">
        <f>+#REF!</f>
        <v>#REF!</v>
      </c>
      <c r="X301" s="411"/>
      <c r="Y301" s="411"/>
      <c r="Z301" s="398">
        <v>0</v>
      </c>
      <c r="AA301" s="398">
        <v>0</v>
      </c>
      <c r="AB301" s="460">
        <v>0</v>
      </c>
      <c r="AC301" s="401" t="s">
        <v>673</v>
      </c>
      <c r="AD301" s="444" t="s">
        <v>673</v>
      </c>
      <c r="AE301" s="461" t="s">
        <v>673</v>
      </c>
      <c r="AF301" s="713"/>
      <c r="AG301" s="829"/>
      <c r="AH301" s="710"/>
      <c r="AI301" s="710"/>
      <c r="AJ301" s="710"/>
      <c r="AK301" s="710"/>
      <c r="AL301" s="710"/>
      <c r="AM301" s="710"/>
      <c r="AN301" s="710"/>
      <c r="AO301" s="710"/>
      <c r="AP301" s="710"/>
      <c r="AQ301" s="710"/>
      <c r="AR301" s="710"/>
      <c r="AS301" s="710"/>
      <c r="AT301" s="710"/>
      <c r="AU301" s="710"/>
      <c r="AV301" s="710"/>
      <c r="AW301" s="710"/>
      <c r="AX301" s="710"/>
      <c r="AY301" s="710"/>
    </row>
    <row r="302" spans="1:51" ht="15.75" customHeight="1" x14ac:dyDescent="0.25">
      <c r="A302" s="829"/>
      <c r="B302" s="710"/>
      <c r="C302" s="710"/>
      <c r="D302" s="408" t="s">
        <v>347</v>
      </c>
      <c r="E302" s="458" t="s">
        <v>673</v>
      </c>
      <c r="F302" s="162" t="s">
        <v>673</v>
      </c>
      <c r="G302" s="391">
        <v>3500</v>
      </c>
      <c r="H302" s="391">
        <v>3500</v>
      </c>
      <c r="I302" s="391" t="e">
        <f>+#REF!</f>
        <v>#REF!</v>
      </c>
      <c r="J302" s="392" t="e">
        <f>+#REF!</f>
        <v>#REF!</v>
      </c>
      <c r="K302" s="409"/>
      <c r="L302" s="410"/>
      <c r="M302" s="394" t="str">
        <f t="shared" si="26"/>
        <v>#REF!</v>
      </c>
      <c r="N302" s="392">
        <v>2500</v>
      </c>
      <c r="O302" s="394">
        <v>2500</v>
      </c>
      <c r="P302" s="394" t="s">
        <v>673</v>
      </c>
      <c r="Q302" s="394" t="s">
        <v>673</v>
      </c>
      <c r="R302" s="459" t="s">
        <v>673</v>
      </c>
      <c r="S302" s="710"/>
      <c r="T302" s="395">
        <v>246</v>
      </c>
      <c r="U302" s="395">
        <v>547</v>
      </c>
      <c r="V302" s="395" t="e">
        <f>+#REF!</f>
        <v>#REF!</v>
      </c>
      <c r="W302" s="396" t="e">
        <f>+#REF!</f>
        <v>#REF!</v>
      </c>
      <c r="X302" s="411"/>
      <c r="Y302" s="411"/>
      <c r="Z302" s="398">
        <v>0</v>
      </c>
      <c r="AA302" s="398">
        <v>741</v>
      </c>
      <c r="AB302" s="460">
        <v>1257</v>
      </c>
      <c r="AC302" s="401" t="s">
        <v>673</v>
      </c>
      <c r="AD302" s="444" t="s">
        <v>673</v>
      </c>
      <c r="AE302" s="461" t="s">
        <v>673</v>
      </c>
      <c r="AF302" s="713"/>
      <c r="AG302" s="829"/>
      <c r="AH302" s="710"/>
      <c r="AI302" s="710"/>
      <c r="AJ302" s="710"/>
      <c r="AK302" s="710"/>
      <c r="AL302" s="710"/>
      <c r="AM302" s="710"/>
      <c r="AN302" s="710"/>
      <c r="AO302" s="710"/>
      <c r="AP302" s="710"/>
      <c r="AQ302" s="710"/>
      <c r="AR302" s="710"/>
      <c r="AS302" s="710"/>
      <c r="AT302" s="710"/>
      <c r="AU302" s="710"/>
      <c r="AV302" s="710"/>
      <c r="AW302" s="710"/>
      <c r="AX302" s="710"/>
      <c r="AY302" s="710"/>
    </row>
    <row r="303" spans="1:51" ht="15.75" customHeight="1" x14ac:dyDescent="0.25">
      <c r="A303" s="829"/>
      <c r="B303" s="710"/>
      <c r="C303" s="731"/>
      <c r="D303" s="412" t="s">
        <v>348</v>
      </c>
      <c r="E303" s="458" t="s">
        <v>673</v>
      </c>
      <c r="F303" s="162" t="s">
        <v>673</v>
      </c>
      <c r="G303" s="391">
        <v>38003400</v>
      </c>
      <c r="H303" s="391">
        <v>38003400</v>
      </c>
      <c r="I303" s="391" t="e">
        <f>+#REF!</f>
        <v>#REF!</v>
      </c>
      <c r="J303" s="392" t="e">
        <f>+#REF!</f>
        <v>#REF!</v>
      </c>
      <c r="K303" s="409"/>
      <c r="L303" s="410"/>
      <c r="M303" s="394" t="str">
        <f t="shared" si="26"/>
        <v>#REF!</v>
      </c>
      <c r="N303" s="392">
        <v>24546000</v>
      </c>
      <c r="O303" s="394">
        <v>24546000</v>
      </c>
      <c r="P303" s="394" t="s">
        <v>673</v>
      </c>
      <c r="Q303" s="394" t="s">
        <v>673</v>
      </c>
      <c r="R303" s="459" t="s">
        <v>673</v>
      </c>
      <c r="S303" s="731"/>
      <c r="T303" s="395">
        <v>3718400</v>
      </c>
      <c r="U303" s="395">
        <v>30918400</v>
      </c>
      <c r="V303" s="395" t="e">
        <f>+#REF!</f>
        <v>#REF!</v>
      </c>
      <c r="W303" s="396" t="e">
        <f>+#REF!</f>
        <v>#REF!</v>
      </c>
      <c r="X303" s="411"/>
      <c r="Y303" s="411"/>
      <c r="Z303" s="398">
        <v>0</v>
      </c>
      <c r="AA303" s="398">
        <v>10624000</v>
      </c>
      <c r="AB303" s="460">
        <v>10624000</v>
      </c>
      <c r="AC303" s="401" t="s">
        <v>673</v>
      </c>
      <c r="AD303" s="444" t="s">
        <v>673</v>
      </c>
      <c r="AE303" s="461" t="s">
        <v>673</v>
      </c>
      <c r="AF303" s="714"/>
      <c r="AG303" s="823"/>
      <c r="AH303" s="731"/>
      <c r="AI303" s="731"/>
      <c r="AJ303" s="731"/>
      <c r="AK303" s="731"/>
      <c r="AL303" s="731"/>
      <c r="AM303" s="731"/>
      <c r="AN303" s="731"/>
      <c r="AO303" s="731"/>
      <c r="AP303" s="731"/>
      <c r="AQ303" s="731"/>
      <c r="AR303" s="731"/>
      <c r="AS303" s="731"/>
      <c r="AT303" s="731"/>
      <c r="AU303" s="731"/>
      <c r="AV303" s="731"/>
      <c r="AW303" s="731"/>
      <c r="AX303" s="731"/>
      <c r="AY303" s="710"/>
    </row>
    <row r="304" spans="1:51" ht="18.75" hidden="1" customHeight="1" x14ac:dyDescent="0.25">
      <c r="A304" s="829"/>
      <c r="B304" s="710"/>
      <c r="C304" s="818" t="s">
        <v>638</v>
      </c>
      <c r="D304" s="413" t="s">
        <v>340</v>
      </c>
      <c r="E304" s="179"/>
      <c r="F304" s="180"/>
      <c r="G304" s="174"/>
      <c r="H304" s="174"/>
      <c r="I304" s="174"/>
      <c r="J304" s="410"/>
      <c r="K304" s="409"/>
      <c r="L304" s="410"/>
      <c r="M304" s="410"/>
      <c r="N304" s="410"/>
      <c r="O304" s="410"/>
      <c r="P304" s="410"/>
      <c r="Q304" s="410"/>
      <c r="R304" s="416"/>
      <c r="S304" s="411"/>
      <c r="T304" s="167"/>
      <c r="U304" s="167"/>
      <c r="V304" s="167"/>
      <c r="W304" s="415"/>
      <c r="X304" s="411"/>
      <c r="Y304" s="411"/>
      <c r="Z304" s="411"/>
      <c r="AA304" s="433"/>
      <c r="AB304" s="419"/>
      <c r="AC304" s="401"/>
      <c r="AD304" s="444">
        <v>0.04</v>
      </c>
      <c r="AE304" s="420"/>
      <c r="AF304" s="426"/>
      <c r="AG304" s="913" t="s">
        <v>638</v>
      </c>
      <c r="AH304" s="813" t="s">
        <v>633</v>
      </c>
      <c r="AI304" s="813" t="s">
        <v>633</v>
      </c>
      <c r="AJ304" s="813" t="s">
        <v>633</v>
      </c>
      <c r="AK304" s="813" t="s">
        <v>457</v>
      </c>
      <c r="AL304" s="813" t="s">
        <v>178</v>
      </c>
      <c r="AM304" s="813" t="s">
        <v>1275</v>
      </c>
      <c r="AN304" s="909">
        <v>475275</v>
      </c>
      <c r="AO304" s="910">
        <v>255912</v>
      </c>
      <c r="AP304" s="910">
        <v>300846</v>
      </c>
      <c r="AQ304" s="911" t="s">
        <v>459</v>
      </c>
      <c r="AR304" s="911" t="s">
        <v>459</v>
      </c>
      <c r="AS304" s="911" t="s">
        <v>459</v>
      </c>
      <c r="AT304" s="911" t="s">
        <v>459</v>
      </c>
      <c r="AU304" s="915" t="s">
        <v>459</v>
      </c>
      <c r="AV304" s="915" t="s">
        <v>459</v>
      </c>
      <c r="AW304" s="915" t="s">
        <v>459</v>
      </c>
      <c r="AX304" s="910">
        <v>475275</v>
      </c>
      <c r="AY304" s="710"/>
    </row>
    <row r="305" spans="1:51" ht="18.75" hidden="1" customHeight="1" x14ac:dyDescent="0.25">
      <c r="A305" s="829"/>
      <c r="B305" s="710"/>
      <c r="C305" s="710"/>
      <c r="D305" s="404" t="s">
        <v>343</v>
      </c>
      <c r="E305" s="179"/>
      <c r="F305" s="180"/>
      <c r="G305" s="174"/>
      <c r="H305" s="174"/>
      <c r="I305" s="174"/>
      <c r="J305" s="410"/>
      <c r="K305" s="409"/>
      <c r="L305" s="410"/>
      <c r="M305" s="410"/>
      <c r="N305" s="410"/>
      <c r="O305" s="410"/>
      <c r="P305" s="410"/>
      <c r="Q305" s="410"/>
      <c r="R305" s="416"/>
      <c r="S305" s="411"/>
      <c r="T305" s="167"/>
      <c r="U305" s="167"/>
      <c r="V305" s="167"/>
      <c r="W305" s="415"/>
      <c r="X305" s="411"/>
      <c r="Y305" s="411"/>
      <c r="Z305" s="411"/>
      <c r="AA305" s="433"/>
      <c r="AB305" s="419"/>
      <c r="AC305" s="401"/>
      <c r="AD305" s="444">
        <v>69812000</v>
      </c>
      <c r="AE305" s="420"/>
      <c r="AF305" s="426"/>
      <c r="AG305" s="829"/>
      <c r="AH305" s="710"/>
      <c r="AI305" s="710"/>
      <c r="AJ305" s="710"/>
      <c r="AK305" s="710"/>
      <c r="AL305" s="710"/>
      <c r="AM305" s="710"/>
      <c r="AN305" s="710"/>
      <c r="AO305" s="710"/>
      <c r="AP305" s="710"/>
      <c r="AQ305" s="710"/>
      <c r="AR305" s="710"/>
      <c r="AS305" s="710"/>
      <c r="AT305" s="710"/>
      <c r="AU305" s="710"/>
      <c r="AV305" s="710"/>
      <c r="AW305" s="710"/>
      <c r="AX305" s="710"/>
      <c r="AY305" s="710"/>
    </row>
    <row r="306" spans="1:51" ht="27.75" hidden="1" customHeight="1" x14ac:dyDescent="0.25">
      <c r="A306" s="829"/>
      <c r="B306" s="710"/>
      <c r="C306" s="710"/>
      <c r="D306" s="408" t="s">
        <v>345</v>
      </c>
      <c r="E306" s="179"/>
      <c r="F306" s="180"/>
      <c r="G306" s="174"/>
      <c r="H306" s="174"/>
      <c r="I306" s="174"/>
      <c r="J306" s="410"/>
      <c r="K306" s="409"/>
      <c r="L306" s="410"/>
      <c r="M306" s="410"/>
      <c r="N306" s="410"/>
      <c r="O306" s="410"/>
      <c r="P306" s="410"/>
      <c r="Q306" s="410"/>
      <c r="R306" s="416"/>
      <c r="S306" s="411"/>
      <c r="T306" s="167"/>
      <c r="U306" s="167"/>
      <c r="V306" s="167"/>
      <c r="W306" s="415"/>
      <c r="X306" s="411"/>
      <c r="Y306" s="411"/>
      <c r="Z306" s="411"/>
      <c r="AA306" s="433"/>
      <c r="AB306" s="419"/>
      <c r="AC306" s="401"/>
      <c r="AD306" s="444" t="s">
        <v>673</v>
      </c>
      <c r="AE306" s="420"/>
      <c r="AF306" s="426"/>
      <c r="AG306" s="829"/>
      <c r="AH306" s="710"/>
      <c r="AI306" s="710"/>
      <c r="AJ306" s="710"/>
      <c r="AK306" s="710"/>
      <c r="AL306" s="710"/>
      <c r="AM306" s="710"/>
      <c r="AN306" s="710"/>
      <c r="AO306" s="710"/>
      <c r="AP306" s="710"/>
      <c r="AQ306" s="710"/>
      <c r="AR306" s="710"/>
      <c r="AS306" s="710"/>
      <c r="AT306" s="710"/>
      <c r="AU306" s="710"/>
      <c r="AV306" s="710"/>
      <c r="AW306" s="710"/>
      <c r="AX306" s="710"/>
      <c r="AY306" s="710"/>
    </row>
    <row r="307" spans="1:51" ht="27.75" hidden="1" customHeight="1" x14ac:dyDescent="0.25">
      <c r="A307" s="829"/>
      <c r="B307" s="710"/>
      <c r="C307" s="710"/>
      <c r="D307" s="404" t="s">
        <v>346</v>
      </c>
      <c r="E307" s="179"/>
      <c r="F307" s="180"/>
      <c r="G307" s="174"/>
      <c r="H307" s="174"/>
      <c r="I307" s="174"/>
      <c r="J307" s="410"/>
      <c r="K307" s="409"/>
      <c r="L307" s="410"/>
      <c r="M307" s="410"/>
      <c r="N307" s="410"/>
      <c r="O307" s="410"/>
      <c r="P307" s="410"/>
      <c r="Q307" s="410"/>
      <c r="R307" s="416"/>
      <c r="S307" s="411"/>
      <c r="T307" s="167"/>
      <c r="U307" s="167"/>
      <c r="V307" s="167"/>
      <c r="W307" s="415"/>
      <c r="X307" s="411"/>
      <c r="Y307" s="411"/>
      <c r="Z307" s="411"/>
      <c r="AA307" s="433"/>
      <c r="AB307" s="419"/>
      <c r="AC307" s="401"/>
      <c r="AD307" s="444" t="s">
        <v>673</v>
      </c>
      <c r="AE307" s="420"/>
      <c r="AF307" s="426"/>
      <c r="AG307" s="829"/>
      <c r="AH307" s="710"/>
      <c r="AI307" s="710"/>
      <c r="AJ307" s="710"/>
      <c r="AK307" s="710"/>
      <c r="AL307" s="710"/>
      <c r="AM307" s="710"/>
      <c r="AN307" s="710"/>
      <c r="AO307" s="710"/>
      <c r="AP307" s="710"/>
      <c r="AQ307" s="710"/>
      <c r="AR307" s="710"/>
      <c r="AS307" s="710"/>
      <c r="AT307" s="710"/>
      <c r="AU307" s="710"/>
      <c r="AV307" s="710"/>
      <c r="AW307" s="710"/>
      <c r="AX307" s="710"/>
      <c r="AY307" s="710"/>
    </row>
    <row r="308" spans="1:51" ht="27.75" hidden="1" customHeight="1" x14ac:dyDescent="0.25">
      <c r="A308" s="829"/>
      <c r="B308" s="710"/>
      <c r="C308" s="710"/>
      <c r="D308" s="408" t="s">
        <v>347</v>
      </c>
      <c r="E308" s="179"/>
      <c r="F308" s="180"/>
      <c r="G308" s="174"/>
      <c r="H308" s="174"/>
      <c r="I308" s="174"/>
      <c r="J308" s="410"/>
      <c r="K308" s="409"/>
      <c r="L308" s="410"/>
      <c r="M308" s="410"/>
      <c r="N308" s="410"/>
      <c r="O308" s="410"/>
      <c r="P308" s="410"/>
      <c r="Q308" s="410"/>
      <c r="R308" s="416"/>
      <c r="S308" s="411"/>
      <c r="T308" s="167"/>
      <c r="U308" s="167"/>
      <c r="V308" s="167"/>
      <c r="W308" s="415"/>
      <c r="X308" s="411"/>
      <c r="Y308" s="411"/>
      <c r="Z308" s="411"/>
      <c r="AA308" s="433"/>
      <c r="AB308" s="419"/>
      <c r="AC308" s="401"/>
      <c r="AD308" s="444">
        <v>0.04</v>
      </c>
      <c r="AE308" s="420"/>
      <c r="AF308" s="426"/>
      <c r="AG308" s="829"/>
      <c r="AH308" s="710"/>
      <c r="AI308" s="710"/>
      <c r="AJ308" s="710"/>
      <c r="AK308" s="710"/>
      <c r="AL308" s="710"/>
      <c r="AM308" s="710"/>
      <c r="AN308" s="710"/>
      <c r="AO308" s="710"/>
      <c r="AP308" s="710"/>
      <c r="AQ308" s="710"/>
      <c r="AR308" s="710"/>
      <c r="AS308" s="710"/>
      <c r="AT308" s="710"/>
      <c r="AU308" s="710"/>
      <c r="AV308" s="710"/>
      <c r="AW308" s="710"/>
      <c r="AX308" s="710"/>
      <c r="AY308" s="710"/>
    </row>
    <row r="309" spans="1:51" ht="27.75" hidden="1" customHeight="1" x14ac:dyDescent="0.25">
      <c r="A309" s="829"/>
      <c r="B309" s="710"/>
      <c r="C309" s="731"/>
      <c r="D309" s="412" t="s">
        <v>348</v>
      </c>
      <c r="E309" s="179"/>
      <c r="F309" s="180"/>
      <c r="G309" s="174"/>
      <c r="H309" s="174"/>
      <c r="I309" s="174"/>
      <c r="J309" s="410"/>
      <c r="K309" s="409"/>
      <c r="L309" s="410"/>
      <c r="M309" s="410"/>
      <c r="N309" s="410"/>
      <c r="O309" s="410"/>
      <c r="P309" s="410"/>
      <c r="Q309" s="410"/>
      <c r="R309" s="416"/>
      <c r="S309" s="411"/>
      <c r="T309" s="167"/>
      <c r="U309" s="167"/>
      <c r="V309" s="167"/>
      <c r="W309" s="415"/>
      <c r="X309" s="411"/>
      <c r="Y309" s="411"/>
      <c r="Z309" s="411"/>
      <c r="AA309" s="433"/>
      <c r="AB309" s="419"/>
      <c r="AC309" s="401"/>
      <c r="AD309" s="444">
        <v>69812000</v>
      </c>
      <c r="AE309" s="420"/>
      <c r="AF309" s="426"/>
      <c r="AG309" s="823"/>
      <c r="AH309" s="731"/>
      <c r="AI309" s="731"/>
      <c r="AJ309" s="731"/>
      <c r="AK309" s="731"/>
      <c r="AL309" s="731"/>
      <c r="AM309" s="731"/>
      <c r="AN309" s="731"/>
      <c r="AO309" s="731"/>
      <c r="AP309" s="731"/>
      <c r="AQ309" s="731"/>
      <c r="AR309" s="731"/>
      <c r="AS309" s="731"/>
      <c r="AT309" s="731"/>
      <c r="AU309" s="731"/>
      <c r="AV309" s="731"/>
      <c r="AW309" s="731"/>
      <c r="AX309" s="731"/>
      <c r="AY309" s="710"/>
    </row>
    <row r="310" spans="1:51" ht="18.75" customHeight="1" x14ac:dyDescent="0.25">
      <c r="A310" s="829"/>
      <c r="B310" s="710"/>
      <c r="C310" s="962" t="s">
        <v>1277</v>
      </c>
      <c r="D310" s="413" t="s">
        <v>340</v>
      </c>
      <c r="E310" s="179"/>
      <c r="F310" s="180"/>
      <c r="G310" s="174"/>
      <c r="H310" s="174"/>
      <c r="I310" s="174"/>
      <c r="J310" s="410"/>
      <c r="K310" s="429">
        <v>320</v>
      </c>
      <c r="L310" s="429"/>
      <c r="M310" s="429"/>
      <c r="N310" s="429">
        <v>587</v>
      </c>
      <c r="O310" s="462">
        <v>1103</v>
      </c>
      <c r="P310" s="429">
        <v>1103</v>
      </c>
      <c r="Q310" s="429">
        <v>1231</v>
      </c>
      <c r="R310" s="463">
        <v>1421</v>
      </c>
      <c r="S310" s="430"/>
      <c r="T310" s="174"/>
      <c r="U310" s="174"/>
      <c r="V310" s="167"/>
      <c r="W310" s="415"/>
      <c r="X310" s="464">
        <v>320</v>
      </c>
      <c r="Y310" s="411"/>
      <c r="Z310" s="411"/>
      <c r="AA310" s="433">
        <v>587</v>
      </c>
      <c r="AB310" s="465">
        <v>1103</v>
      </c>
      <c r="AC310" s="401">
        <v>1103</v>
      </c>
      <c r="AD310" s="409">
        <v>1231</v>
      </c>
      <c r="AE310" s="420">
        <v>1421</v>
      </c>
      <c r="AF310" s="929" t="s">
        <v>1278</v>
      </c>
      <c r="AG310" s="913" t="s">
        <v>563</v>
      </c>
      <c r="AH310" s="813" t="s">
        <v>557</v>
      </c>
      <c r="AI310" s="813" t="s">
        <v>558</v>
      </c>
      <c r="AJ310" s="914"/>
      <c r="AK310" s="813" t="s">
        <v>457</v>
      </c>
      <c r="AL310" s="813" t="s">
        <v>178</v>
      </c>
      <c r="AM310" s="813" t="s">
        <v>1275</v>
      </c>
      <c r="AN310" s="909">
        <v>163231</v>
      </c>
      <c r="AO310" s="910">
        <v>77499</v>
      </c>
      <c r="AP310" s="910">
        <v>85731</v>
      </c>
      <c r="AQ310" s="911" t="s">
        <v>459</v>
      </c>
      <c r="AR310" s="911" t="s">
        <v>459</v>
      </c>
      <c r="AS310" s="911" t="s">
        <v>459</v>
      </c>
      <c r="AT310" s="911" t="s">
        <v>459</v>
      </c>
      <c r="AU310" s="915" t="s">
        <v>459</v>
      </c>
      <c r="AV310" s="915" t="s">
        <v>459</v>
      </c>
      <c r="AW310" s="915" t="s">
        <v>459</v>
      </c>
      <c r="AX310" s="910">
        <v>163231</v>
      </c>
      <c r="AY310" s="710"/>
    </row>
    <row r="311" spans="1:51" ht="15.75" customHeight="1" x14ac:dyDescent="0.25">
      <c r="A311" s="829"/>
      <c r="B311" s="710"/>
      <c r="C311" s="710"/>
      <c r="D311" s="404" t="s">
        <v>343</v>
      </c>
      <c r="E311" s="179"/>
      <c r="F311" s="180"/>
      <c r="G311" s="174"/>
      <c r="H311" s="174"/>
      <c r="I311" s="174"/>
      <c r="J311" s="410"/>
      <c r="K311" s="429"/>
      <c r="L311" s="429"/>
      <c r="M311" s="429"/>
      <c r="N311" s="429">
        <f>+N310*$N$299/$N$298</f>
        <v>5763400.7999999998</v>
      </c>
      <c r="O311" s="429">
        <f>+O310*$O$299/$O$298</f>
        <v>10829695.199999999</v>
      </c>
      <c r="P311" s="429" t="e">
        <f>+P310*$P$299/$P$298</f>
        <v>#VALUE!</v>
      </c>
      <c r="Q311" s="429" t="e">
        <f>+Q310*$Q$299/$Q$298</f>
        <v>#VALUE!</v>
      </c>
      <c r="R311" s="429" t="e">
        <f>+R310*$R$299/$R$298</f>
        <v>#VALUE!</v>
      </c>
      <c r="S311" s="430"/>
      <c r="T311" s="174"/>
      <c r="U311" s="174"/>
      <c r="V311" s="174"/>
      <c r="W311" s="410"/>
      <c r="X311" s="411"/>
      <c r="Y311" s="411"/>
      <c r="Z311" s="411"/>
      <c r="AA311" s="409">
        <f>+AA310*$AA$299/$AA$298</f>
        <v>8416043.1848852895</v>
      </c>
      <c r="AB311" s="409">
        <f>+AB310*$AB$299/$AB$298</f>
        <v>9322412.0922832135</v>
      </c>
      <c r="AC311" s="409" t="e">
        <f>+AC310*$AC$299/$AC$298</f>
        <v>#VALUE!</v>
      </c>
      <c r="AD311" s="409" t="e">
        <f>+AD310*$AD$299/$AD$298</f>
        <v>#VALUE!</v>
      </c>
      <c r="AE311" s="409" t="e">
        <f>+AE310*$AE$299/$AE$298</f>
        <v>#VALUE!</v>
      </c>
      <c r="AF311" s="710"/>
      <c r="AG311" s="829"/>
      <c r="AH311" s="710"/>
      <c r="AI311" s="710"/>
      <c r="AJ311" s="710"/>
      <c r="AK311" s="710"/>
      <c r="AL311" s="710"/>
      <c r="AM311" s="710"/>
      <c r="AN311" s="710"/>
      <c r="AO311" s="710"/>
      <c r="AP311" s="710"/>
      <c r="AQ311" s="710"/>
      <c r="AR311" s="710"/>
      <c r="AS311" s="710"/>
      <c r="AT311" s="710"/>
      <c r="AU311" s="710"/>
      <c r="AV311" s="710"/>
      <c r="AW311" s="710"/>
      <c r="AX311" s="710"/>
      <c r="AY311" s="710"/>
    </row>
    <row r="312" spans="1:51" ht="15.75" customHeight="1" x14ac:dyDescent="0.25">
      <c r="A312" s="829"/>
      <c r="B312" s="710"/>
      <c r="C312" s="710"/>
      <c r="D312" s="408" t="s">
        <v>345</v>
      </c>
      <c r="E312" s="179"/>
      <c r="F312" s="180"/>
      <c r="G312" s="174"/>
      <c r="H312" s="174"/>
      <c r="I312" s="174"/>
      <c r="J312" s="410"/>
      <c r="K312" s="429"/>
      <c r="L312" s="429"/>
      <c r="M312" s="429"/>
      <c r="N312" s="429"/>
      <c r="O312" s="429"/>
      <c r="P312" s="429"/>
      <c r="Q312" s="429"/>
      <c r="R312" s="463"/>
      <c r="S312" s="430"/>
      <c r="T312" s="167"/>
      <c r="U312" s="174"/>
      <c r="V312" s="167"/>
      <c r="W312" s="415"/>
      <c r="X312" s="411"/>
      <c r="Y312" s="411"/>
      <c r="Z312" s="411"/>
      <c r="AA312" s="433"/>
      <c r="AB312" s="419"/>
      <c r="AC312" s="401"/>
      <c r="AD312" s="409"/>
      <c r="AE312" s="420"/>
      <c r="AF312" s="710"/>
      <c r="AG312" s="829"/>
      <c r="AH312" s="710"/>
      <c r="AI312" s="710"/>
      <c r="AJ312" s="710"/>
      <c r="AK312" s="710"/>
      <c r="AL312" s="710"/>
      <c r="AM312" s="710"/>
      <c r="AN312" s="710"/>
      <c r="AO312" s="710"/>
      <c r="AP312" s="710"/>
      <c r="AQ312" s="710"/>
      <c r="AR312" s="710"/>
      <c r="AS312" s="710"/>
      <c r="AT312" s="710"/>
      <c r="AU312" s="710"/>
      <c r="AV312" s="710"/>
      <c r="AW312" s="710"/>
      <c r="AX312" s="710"/>
      <c r="AY312" s="710"/>
    </row>
    <row r="313" spans="1:51" ht="15.75" customHeight="1" x14ac:dyDescent="0.25">
      <c r="A313" s="829"/>
      <c r="B313" s="710"/>
      <c r="C313" s="710"/>
      <c r="D313" s="404" t="s">
        <v>346</v>
      </c>
      <c r="E313" s="179"/>
      <c r="F313" s="180"/>
      <c r="G313" s="174"/>
      <c r="H313" s="174"/>
      <c r="I313" s="174"/>
      <c r="J313" s="410"/>
      <c r="K313" s="429"/>
      <c r="L313" s="429"/>
      <c r="M313" s="429"/>
      <c r="N313" s="429"/>
      <c r="O313" s="429"/>
      <c r="P313" s="429"/>
      <c r="Q313" s="429"/>
      <c r="R313" s="463"/>
      <c r="S313" s="430"/>
      <c r="T313" s="174"/>
      <c r="U313" s="174"/>
      <c r="V313" s="167"/>
      <c r="W313" s="415"/>
      <c r="X313" s="411"/>
      <c r="Y313" s="411"/>
      <c r="Z313" s="411"/>
      <c r="AA313" s="433"/>
      <c r="AB313" s="419"/>
      <c r="AC313" s="401"/>
      <c r="AD313" s="409"/>
      <c r="AE313" s="420"/>
      <c r="AF313" s="710"/>
      <c r="AG313" s="829"/>
      <c r="AH313" s="710"/>
      <c r="AI313" s="710"/>
      <c r="AJ313" s="710"/>
      <c r="AK313" s="710"/>
      <c r="AL313" s="710"/>
      <c r="AM313" s="710"/>
      <c r="AN313" s="710"/>
      <c r="AO313" s="710"/>
      <c r="AP313" s="710"/>
      <c r="AQ313" s="710"/>
      <c r="AR313" s="710"/>
      <c r="AS313" s="710"/>
      <c r="AT313" s="710"/>
      <c r="AU313" s="710"/>
      <c r="AV313" s="710"/>
      <c r="AW313" s="710"/>
      <c r="AX313" s="710"/>
      <c r="AY313" s="710"/>
    </row>
    <row r="314" spans="1:51" ht="15.75" customHeight="1" x14ac:dyDescent="0.25">
      <c r="A314" s="829"/>
      <c r="B314" s="710"/>
      <c r="C314" s="710"/>
      <c r="D314" s="408" t="s">
        <v>347</v>
      </c>
      <c r="E314" s="179"/>
      <c r="F314" s="180"/>
      <c r="G314" s="174"/>
      <c r="H314" s="174"/>
      <c r="I314" s="174"/>
      <c r="J314" s="410"/>
      <c r="K314" s="429"/>
      <c r="L314" s="429"/>
      <c r="M314" s="429"/>
      <c r="N314" s="429"/>
      <c r="O314" s="429">
        <f>+O310</f>
        <v>1103</v>
      </c>
      <c r="P314" s="429">
        <v>1103</v>
      </c>
      <c r="Q314" s="429">
        <v>1231</v>
      </c>
      <c r="R314" s="463">
        <v>1421</v>
      </c>
      <c r="S314" s="430"/>
      <c r="T314" s="167"/>
      <c r="U314" s="174"/>
      <c r="V314" s="167"/>
      <c r="W314" s="415"/>
      <c r="X314" s="411"/>
      <c r="Y314" s="411"/>
      <c r="Z314" s="411"/>
      <c r="AA314" s="433"/>
      <c r="AB314" s="409">
        <f>+AB310</f>
        <v>1103</v>
      </c>
      <c r="AC314" s="401">
        <v>1103</v>
      </c>
      <c r="AD314" s="409">
        <v>1231</v>
      </c>
      <c r="AE314" s="420">
        <v>1421</v>
      </c>
      <c r="AF314" s="710"/>
      <c r="AG314" s="829"/>
      <c r="AH314" s="710"/>
      <c r="AI314" s="710"/>
      <c r="AJ314" s="710"/>
      <c r="AK314" s="710"/>
      <c r="AL314" s="710"/>
      <c r="AM314" s="710"/>
      <c r="AN314" s="710"/>
      <c r="AO314" s="710"/>
      <c r="AP314" s="710"/>
      <c r="AQ314" s="710"/>
      <c r="AR314" s="710"/>
      <c r="AS314" s="710"/>
      <c r="AT314" s="710"/>
      <c r="AU314" s="710"/>
      <c r="AV314" s="710"/>
      <c r="AW314" s="710"/>
      <c r="AX314" s="710"/>
      <c r="AY314" s="710"/>
    </row>
    <row r="315" spans="1:51" ht="15.75" customHeight="1" x14ac:dyDescent="0.25">
      <c r="A315" s="829"/>
      <c r="B315" s="710"/>
      <c r="C315" s="731"/>
      <c r="D315" s="412" t="s">
        <v>348</v>
      </c>
      <c r="E315" s="179"/>
      <c r="F315" s="180"/>
      <c r="G315" s="174"/>
      <c r="H315" s="174"/>
      <c r="I315" s="174"/>
      <c r="J315" s="410"/>
      <c r="K315" s="429"/>
      <c r="L315" s="429"/>
      <c r="M315" s="429"/>
      <c r="N315" s="429"/>
      <c r="O315" s="429">
        <f>+O311</f>
        <v>10829695.199999999</v>
      </c>
      <c r="P315" s="429" t="e">
        <f>+P314*$P$299/$P$298</f>
        <v>#VALUE!</v>
      </c>
      <c r="Q315" s="429" t="e">
        <f>+Q314*$Q$299/$Q$298</f>
        <v>#VALUE!</v>
      </c>
      <c r="R315" s="429" t="e">
        <f>+R314*$R$299/$R$298</f>
        <v>#VALUE!</v>
      </c>
      <c r="S315" s="430"/>
      <c r="T315" s="167"/>
      <c r="U315" s="174"/>
      <c r="V315" s="174"/>
      <c r="W315" s="410"/>
      <c r="X315" s="411"/>
      <c r="Y315" s="411"/>
      <c r="Z315" s="411"/>
      <c r="AA315" s="433"/>
      <c r="AB315" s="409">
        <f>+AB311</f>
        <v>9322412.0922832135</v>
      </c>
      <c r="AC315" s="409" t="e">
        <f>+AC314*$AC$299/$AC$298</f>
        <v>#VALUE!</v>
      </c>
      <c r="AD315" s="409" t="e">
        <f>+AD314*$AD$299/$AD$298</f>
        <v>#VALUE!</v>
      </c>
      <c r="AE315" s="409" t="e">
        <f>+AE314*$AE$299/$AE$298</f>
        <v>#VALUE!</v>
      </c>
      <c r="AF315" s="731"/>
      <c r="AG315" s="823"/>
      <c r="AH315" s="731"/>
      <c r="AI315" s="731"/>
      <c r="AJ315" s="731"/>
      <c r="AK315" s="731"/>
      <c r="AL315" s="731"/>
      <c r="AM315" s="731"/>
      <c r="AN315" s="731"/>
      <c r="AO315" s="731"/>
      <c r="AP315" s="731"/>
      <c r="AQ315" s="731"/>
      <c r="AR315" s="731"/>
      <c r="AS315" s="731"/>
      <c r="AT315" s="731"/>
      <c r="AU315" s="731"/>
      <c r="AV315" s="731"/>
      <c r="AW315" s="731"/>
      <c r="AX315" s="731"/>
      <c r="AY315" s="710"/>
    </row>
    <row r="316" spans="1:51" ht="18.75" customHeight="1" x14ac:dyDescent="0.25">
      <c r="A316" s="829"/>
      <c r="B316" s="710"/>
      <c r="C316" s="914" t="s">
        <v>1279</v>
      </c>
      <c r="D316" s="413" t="s">
        <v>340</v>
      </c>
      <c r="E316" s="179"/>
      <c r="F316" s="180"/>
      <c r="G316" s="174"/>
      <c r="H316" s="174">
        <v>216</v>
      </c>
      <c r="I316" s="174">
        <v>216</v>
      </c>
      <c r="J316" s="410">
        <v>216</v>
      </c>
      <c r="K316" s="429">
        <v>216</v>
      </c>
      <c r="L316" s="410"/>
      <c r="M316" s="410"/>
      <c r="N316" s="410">
        <v>587</v>
      </c>
      <c r="O316" s="466">
        <v>1103</v>
      </c>
      <c r="P316" s="410">
        <v>1103</v>
      </c>
      <c r="Q316" s="410">
        <v>1231</v>
      </c>
      <c r="R316" s="416">
        <v>1421</v>
      </c>
      <c r="S316" s="411"/>
      <c r="T316" s="174"/>
      <c r="U316" s="174">
        <v>216</v>
      </c>
      <c r="V316" s="167">
        <v>216</v>
      </c>
      <c r="W316" s="415">
        <v>216</v>
      </c>
      <c r="X316" s="430">
        <v>216</v>
      </c>
      <c r="Y316" s="411"/>
      <c r="Z316" s="411"/>
      <c r="AA316" s="433">
        <v>587</v>
      </c>
      <c r="AB316" s="465">
        <v>1103</v>
      </c>
      <c r="AC316" s="401">
        <v>1103</v>
      </c>
      <c r="AD316" s="409">
        <v>1231</v>
      </c>
      <c r="AE316" s="420">
        <v>1421</v>
      </c>
      <c r="AF316" s="916" t="s">
        <v>1280</v>
      </c>
      <c r="AG316" s="913" t="s">
        <v>563</v>
      </c>
      <c r="AH316" s="813" t="s">
        <v>1281</v>
      </c>
      <c r="AI316" s="813" t="s">
        <v>1282</v>
      </c>
      <c r="AJ316" s="914" t="s">
        <v>1283</v>
      </c>
      <c r="AK316" s="813" t="s">
        <v>457</v>
      </c>
      <c r="AL316" s="813" t="s">
        <v>178</v>
      </c>
      <c r="AM316" s="813" t="s">
        <v>1275</v>
      </c>
      <c r="AN316" s="909">
        <v>163231</v>
      </c>
      <c r="AO316" s="910">
        <v>77499</v>
      </c>
      <c r="AP316" s="910">
        <v>85731</v>
      </c>
      <c r="AQ316" s="911" t="s">
        <v>459</v>
      </c>
      <c r="AR316" s="911" t="s">
        <v>459</v>
      </c>
      <c r="AS316" s="911" t="s">
        <v>459</v>
      </c>
      <c r="AT316" s="911" t="s">
        <v>459</v>
      </c>
      <c r="AU316" s="915" t="s">
        <v>459</v>
      </c>
      <c r="AV316" s="915" t="s">
        <v>459</v>
      </c>
      <c r="AW316" s="915" t="s">
        <v>459</v>
      </c>
      <c r="AX316" s="910">
        <v>163231</v>
      </c>
      <c r="AY316" s="710"/>
    </row>
    <row r="317" spans="1:51" ht="15.75" customHeight="1" x14ac:dyDescent="0.25">
      <c r="A317" s="829"/>
      <c r="B317" s="710"/>
      <c r="C317" s="710"/>
      <c r="D317" s="404" t="s">
        <v>343</v>
      </c>
      <c r="E317" s="179"/>
      <c r="F317" s="180"/>
      <c r="G317" s="174"/>
      <c r="H317" s="174">
        <f>+H316*$H$299/$H$298</f>
        <v>2115874.2857142859</v>
      </c>
      <c r="I317" s="174" t="e">
        <f>+I316*$I$299/$I$298</f>
        <v>#REF!</v>
      </c>
      <c r="J317" s="410" t="e">
        <f>+J316*$J$299/$J$298</f>
        <v>#REF!</v>
      </c>
      <c r="K317" s="409"/>
      <c r="L317" s="410"/>
      <c r="M317" s="410"/>
      <c r="N317" s="410">
        <f>+N316*$N$299/$N$298</f>
        <v>5763400.7999999998</v>
      </c>
      <c r="O317" s="410">
        <f>+O316*$O$299/$O$298</f>
        <v>10829695.199999999</v>
      </c>
      <c r="P317" s="410" t="e">
        <f>+P316*$P$299/$P$298</f>
        <v>#VALUE!</v>
      </c>
      <c r="Q317" s="410" t="e">
        <f>+Q316*$Q$299/$Q$298</f>
        <v>#VALUE!</v>
      </c>
      <c r="R317" s="410" t="e">
        <f>+R316*$R$299/$R$298</f>
        <v>#VALUE!</v>
      </c>
      <c r="S317" s="411"/>
      <c r="T317" s="174"/>
      <c r="U317" s="174">
        <f>+U316*$U$299/$U$298</f>
        <v>10740767.824497258</v>
      </c>
      <c r="V317" s="174" t="e">
        <f>+V316*$V$299/$V$298</f>
        <v>#REF!</v>
      </c>
      <c r="W317" s="410" t="e">
        <f>+W316*$W$299/$W$298</f>
        <v>#REF!</v>
      </c>
      <c r="X317" s="411"/>
      <c r="Y317" s="411"/>
      <c r="Z317" s="411"/>
      <c r="AA317" s="409">
        <f>+AA316*$AA$299/$AA$298</f>
        <v>8416043.1848852895</v>
      </c>
      <c r="AB317" s="409">
        <f>+AB316*$AB$299/$AB$298</f>
        <v>9322412.0922832135</v>
      </c>
      <c r="AC317" s="409" t="e">
        <f>+AC316*$AC$299/$AC$298</f>
        <v>#VALUE!</v>
      </c>
      <c r="AD317" s="409" t="e">
        <f>+AD316*$AD$299/$AD$298</f>
        <v>#VALUE!</v>
      </c>
      <c r="AE317" s="409" t="e">
        <f>+AE316*$AE$299/$AE$298</f>
        <v>#VALUE!</v>
      </c>
      <c r="AF317" s="710"/>
      <c r="AG317" s="829"/>
      <c r="AH317" s="710"/>
      <c r="AI317" s="710"/>
      <c r="AJ317" s="710"/>
      <c r="AK317" s="710"/>
      <c r="AL317" s="710"/>
      <c r="AM317" s="710"/>
      <c r="AN317" s="710"/>
      <c r="AO317" s="710"/>
      <c r="AP317" s="710"/>
      <c r="AQ317" s="710"/>
      <c r="AR317" s="710"/>
      <c r="AS317" s="710"/>
      <c r="AT317" s="710"/>
      <c r="AU317" s="710"/>
      <c r="AV317" s="710"/>
      <c r="AW317" s="710"/>
      <c r="AX317" s="710"/>
      <c r="AY317" s="710"/>
    </row>
    <row r="318" spans="1:51" ht="15.75" customHeight="1" x14ac:dyDescent="0.25">
      <c r="A318" s="829"/>
      <c r="B318" s="710"/>
      <c r="C318" s="710"/>
      <c r="D318" s="408" t="s">
        <v>345</v>
      </c>
      <c r="E318" s="179"/>
      <c r="F318" s="180"/>
      <c r="G318" s="174"/>
      <c r="H318" s="174"/>
      <c r="I318" s="174"/>
      <c r="J318" s="410"/>
      <c r="K318" s="409"/>
      <c r="L318" s="410"/>
      <c r="M318" s="410"/>
      <c r="N318" s="410"/>
      <c r="O318" s="410"/>
      <c r="P318" s="410"/>
      <c r="Q318" s="410"/>
      <c r="R318" s="416"/>
      <c r="S318" s="411"/>
      <c r="T318" s="167"/>
      <c r="U318" s="174"/>
      <c r="V318" s="167"/>
      <c r="W318" s="415"/>
      <c r="X318" s="411"/>
      <c r="Y318" s="411"/>
      <c r="Z318" s="411"/>
      <c r="AA318" s="433"/>
      <c r="AB318" s="419"/>
      <c r="AC318" s="401"/>
      <c r="AD318" s="409"/>
      <c r="AE318" s="420"/>
      <c r="AF318" s="710"/>
      <c r="AG318" s="829"/>
      <c r="AH318" s="710"/>
      <c r="AI318" s="710"/>
      <c r="AJ318" s="710"/>
      <c r="AK318" s="710"/>
      <c r="AL318" s="710"/>
      <c r="AM318" s="710"/>
      <c r="AN318" s="710"/>
      <c r="AO318" s="710"/>
      <c r="AP318" s="710"/>
      <c r="AQ318" s="710"/>
      <c r="AR318" s="710"/>
      <c r="AS318" s="710"/>
      <c r="AT318" s="710"/>
      <c r="AU318" s="710"/>
      <c r="AV318" s="710"/>
      <c r="AW318" s="710"/>
      <c r="AX318" s="710"/>
      <c r="AY318" s="710"/>
    </row>
    <row r="319" spans="1:51" ht="15.75" customHeight="1" x14ac:dyDescent="0.25">
      <c r="A319" s="829"/>
      <c r="B319" s="710"/>
      <c r="C319" s="710"/>
      <c r="D319" s="404" t="s">
        <v>346</v>
      </c>
      <c r="E319" s="179"/>
      <c r="F319" s="180"/>
      <c r="G319" s="174"/>
      <c r="H319" s="174"/>
      <c r="I319" s="174"/>
      <c r="J319" s="410"/>
      <c r="K319" s="409"/>
      <c r="L319" s="410"/>
      <c r="M319" s="410"/>
      <c r="N319" s="410"/>
      <c r="O319" s="410"/>
      <c r="P319" s="410"/>
      <c r="Q319" s="410"/>
      <c r="R319" s="416"/>
      <c r="S319" s="411"/>
      <c r="T319" s="174"/>
      <c r="U319" s="174"/>
      <c r="V319" s="167"/>
      <c r="W319" s="415"/>
      <c r="X319" s="411"/>
      <c r="Y319" s="411"/>
      <c r="Z319" s="411"/>
      <c r="AA319" s="433"/>
      <c r="AB319" s="419"/>
      <c r="AC319" s="401"/>
      <c r="AD319" s="409"/>
      <c r="AE319" s="420"/>
      <c r="AF319" s="710"/>
      <c r="AG319" s="829"/>
      <c r="AH319" s="710"/>
      <c r="AI319" s="710"/>
      <c r="AJ319" s="710"/>
      <c r="AK319" s="710"/>
      <c r="AL319" s="710"/>
      <c r="AM319" s="710"/>
      <c r="AN319" s="710"/>
      <c r="AO319" s="710"/>
      <c r="AP319" s="710"/>
      <c r="AQ319" s="710"/>
      <c r="AR319" s="710"/>
      <c r="AS319" s="710"/>
      <c r="AT319" s="710"/>
      <c r="AU319" s="710"/>
      <c r="AV319" s="710"/>
      <c r="AW319" s="710"/>
      <c r="AX319" s="710"/>
      <c r="AY319" s="710"/>
    </row>
    <row r="320" spans="1:51" ht="15.75" customHeight="1" x14ac:dyDescent="0.25">
      <c r="A320" s="829"/>
      <c r="B320" s="710"/>
      <c r="C320" s="710"/>
      <c r="D320" s="408" t="s">
        <v>347</v>
      </c>
      <c r="E320" s="179"/>
      <c r="F320" s="180"/>
      <c r="G320" s="174"/>
      <c r="H320" s="174">
        <v>216</v>
      </c>
      <c r="I320" s="174">
        <v>216</v>
      </c>
      <c r="J320" s="410">
        <v>216</v>
      </c>
      <c r="K320" s="409"/>
      <c r="L320" s="410"/>
      <c r="M320" s="410"/>
      <c r="N320" s="410"/>
      <c r="O320" s="410">
        <f>+O316</f>
        <v>1103</v>
      </c>
      <c r="P320" s="410">
        <v>1103</v>
      </c>
      <c r="Q320" s="410">
        <v>1231</v>
      </c>
      <c r="R320" s="416">
        <v>1421</v>
      </c>
      <c r="S320" s="411"/>
      <c r="T320" s="167"/>
      <c r="U320" s="174">
        <v>216</v>
      </c>
      <c r="V320" s="167">
        <v>216</v>
      </c>
      <c r="W320" s="415">
        <v>216</v>
      </c>
      <c r="X320" s="411"/>
      <c r="Y320" s="411"/>
      <c r="Z320" s="411"/>
      <c r="AA320" s="433"/>
      <c r="AB320" s="409">
        <f>+AB316</f>
        <v>1103</v>
      </c>
      <c r="AC320" s="401">
        <v>1103</v>
      </c>
      <c r="AD320" s="409">
        <v>1231</v>
      </c>
      <c r="AE320" s="420">
        <v>1421</v>
      </c>
      <c r="AF320" s="710"/>
      <c r="AG320" s="829"/>
      <c r="AH320" s="710"/>
      <c r="AI320" s="710"/>
      <c r="AJ320" s="710"/>
      <c r="AK320" s="710"/>
      <c r="AL320" s="710"/>
      <c r="AM320" s="710"/>
      <c r="AN320" s="710"/>
      <c r="AO320" s="710"/>
      <c r="AP320" s="710"/>
      <c r="AQ320" s="710"/>
      <c r="AR320" s="710"/>
      <c r="AS320" s="710"/>
      <c r="AT320" s="710"/>
      <c r="AU320" s="710"/>
      <c r="AV320" s="710"/>
      <c r="AW320" s="710"/>
      <c r="AX320" s="710"/>
      <c r="AY320" s="710"/>
    </row>
    <row r="321" spans="1:51" ht="15.75" customHeight="1" x14ac:dyDescent="0.25">
      <c r="A321" s="829"/>
      <c r="B321" s="710"/>
      <c r="C321" s="731"/>
      <c r="D321" s="412" t="s">
        <v>348</v>
      </c>
      <c r="E321" s="179"/>
      <c r="F321" s="180"/>
      <c r="G321" s="174"/>
      <c r="H321" s="174">
        <f>+H320*$H$299/$H$298</f>
        <v>2115874.2857142859</v>
      </c>
      <c r="I321" s="174" t="e">
        <f>+I320*$I$299/$I$298</f>
        <v>#REF!</v>
      </c>
      <c r="J321" s="410" t="e">
        <f>+J320*$J$299/$J$298</f>
        <v>#REF!</v>
      </c>
      <c r="K321" s="409"/>
      <c r="L321" s="410"/>
      <c r="M321" s="410"/>
      <c r="N321" s="410"/>
      <c r="O321" s="410">
        <f>+O317</f>
        <v>10829695.199999999</v>
      </c>
      <c r="P321" s="410" t="e">
        <f>+P320*$P$299/$P$298</f>
        <v>#VALUE!</v>
      </c>
      <c r="Q321" s="410" t="e">
        <f>+Q320*$Q$299/$Q$298</f>
        <v>#VALUE!</v>
      </c>
      <c r="R321" s="410" t="e">
        <f>+R320*$R$299/$R$298</f>
        <v>#VALUE!</v>
      </c>
      <c r="S321" s="411"/>
      <c r="T321" s="167"/>
      <c r="U321" s="174">
        <f>+U320*$U$299/$U$298</f>
        <v>10740767.824497258</v>
      </c>
      <c r="V321" s="174" t="e">
        <f>+V320*$V$299/$V$298</f>
        <v>#REF!</v>
      </c>
      <c r="W321" s="410" t="e">
        <f>+W320*$W$299/$W$298</f>
        <v>#REF!</v>
      </c>
      <c r="X321" s="411"/>
      <c r="Y321" s="411"/>
      <c r="Z321" s="411"/>
      <c r="AA321" s="433"/>
      <c r="AB321" s="409">
        <f>+AB317</f>
        <v>9322412.0922832135</v>
      </c>
      <c r="AC321" s="409" t="e">
        <f>+AC320*$AC$299/$AC$298</f>
        <v>#VALUE!</v>
      </c>
      <c r="AD321" s="409" t="e">
        <f>+AD320*$AD$299/$AD$298</f>
        <v>#VALUE!</v>
      </c>
      <c r="AE321" s="409" t="e">
        <f>+AE320*$AE$299/$AE$298</f>
        <v>#VALUE!</v>
      </c>
      <c r="AF321" s="731"/>
      <c r="AG321" s="823"/>
      <c r="AH321" s="731"/>
      <c r="AI321" s="731"/>
      <c r="AJ321" s="731"/>
      <c r="AK321" s="731"/>
      <c r="AL321" s="731"/>
      <c r="AM321" s="731"/>
      <c r="AN321" s="731"/>
      <c r="AO321" s="731"/>
      <c r="AP321" s="731"/>
      <c r="AQ321" s="731"/>
      <c r="AR321" s="731"/>
      <c r="AS321" s="731"/>
      <c r="AT321" s="731"/>
      <c r="AU321" s="731"/>
      <c r="AV321" s="731"/>
      <c r="AW321" s="731"/>
      <c r="AX321" s="731"/>
      <c r="AY321" s="710"/>
    </row>
    <row r="322" spans="1:51" ht="18.75" customHeight="1" x14ac:dyDescent="0.25">
      <c r="A322" s="829"/>
      <c r="B322" s="710"/>
      <c r="C322" s="818" t="s">
        <v>1284</v>
      </c>
      <c r="D322" s="413" t="s">
        <v>340</v>
      </c>
      <c r="E322" s="179"/>
      <c r="F322" s="180"/>
      <c r="G322" s="174">
        <v>96</v>
      </c>
      <c r="H322" s="174">
        <v>96</v>
      </c>
      <c r="I322" s="174">
        <v>96</v>
      </c>
      <c r="J322" s="410">
        <v>96</v>
      </c>
      <c r="K322" s="429">
        <v>96</v>
      </c>
      <c r="L322" s="410"/>
      <c r="M322" s="410"/>
      <c r="N322" s="410">
        <v>587</v>
      </c>
      <c r="O322" s="466">
        <v>1103</v>
      </c>
      <c r="P322" s="410">
        <v>1103</v>
      </c>
      <c r="Q322" s="410">
        <v>1231</v>
      </c>
      <c r="R322" s="416">
        <v>1421</v>
      </c>
      <c r="S322" s="411"/>
      <c r="T322" s="174">
        <v>96</v>
      </c>
      <c r="U322" s="167">
        <v>96</v>
      </c>
      <c r="V322" s="167">
        <v>96</v>
      </c>
      <c r="W322" s="415">
        <v>96</v>
      </c>
      <c r="X322" s="430">
        <v>96</v>
      </c>
      <c r="Y322" s="411"/>
      <c r="Z322" s="411"/>
      <c r="AA322" s="433">
        <v>587</v>
      </c>
      <c r="AB322" s="465">
        <v>1103</v>
      </c>
      <c r="AC322" s="401">
        <v>1103</v>
      </c>
      <c r="AD322" s="409">
        <v>1231</v>
      </c>
      <c r="AE322" s="420">
        <v>1421</v>
      </c>
      <c r="AF322" s="916" t="s">
        <v>1285</v>
      </c>
      <c r="AG322" s="913" t="s">
        <v>563</v>
      </c>
      <c r="AH322" s="813" t="s">
        <v>1286</v>
      </c>
      <c r="AI322" s="813" t="s">
        <v>1287</v>
      </c>
      <c r="AJ322" s="914" t="s">
        <v>1283</v>
      </c>
      <c r="AK322" s="813" t="s">
        <v>457</v>
      </c>
      <c r="AL322" s="813" t="s">
        <v>178</v>
      </c>
      <c r="AM322" s="813" t="s">
        <v>1275</v>
      </c>
      <c r="AN322" s="909">
        <v>163231</v>
      </c>
      <c r="AO322" s="910">
        <v>77499</v>
      </c>
      <c r="AP322" s="910">
        <v>85731</v>
      </c>
      <c r="AQ322" s="911" t="s">
        <v>459</v>
      </c>
      <c r="AR322" s="911" t="s">
        <v>459</v>
      </c>
      <c r="AS322" s="911" t="s">
        <v>459</v>
      </c>
      <c r="AT322" s="911" t="s">
        <v>459</v>
      </c>
      <c r="AU322" s="915" t="s">
        <v>459</v>
      </c>
      <c r="AV322" s="915" t="s">
        <v>459</v>
      </c>
      <c r="AW322" s="915" t="s">
        <v>459</v>
      </c>
      <c r="AX322" s="910">
        <v>163231</v>
      </c>
      <c r="AY322" s="710"/>
    </row>
    <row r="323" spans="1:51" ht="15.75" customHeight="1" x14ac:dyDescent="0.25">
      <c r="A323" s="829"/>
      <c r="B323" s="710"/>
      <c r="C323" s="710"/>
      <c r="D323" s="404" t="s">
        <v>343</v>
      </c>
      <c r="E323" s="179"/>
      <c r="F323" s="180"/>
      <c r="G323" s="174">
        <f>+G322*$G$299/$G$298</f>
        <v>940388.57142857148</v>
      </c>
      <c r="H323" s="174">
        <f>+H322*$H$299/$H$298</f>
        <v>940388.57142857148</v>
      </c>
      <c r="I323" s="174" t="e">
        <f>+I322*$I$299/$I$298</f>
        <v>#REF!</v>
      </c>
      <c r="J323" s="410" t="e">
        <f>+J322*$J$299/$J$298</f>
        <v>#REF!</v>
      </c>
      <c r="K323" s="409"/>
      <c r="L323" s="410"/>
      <c r="M323" s="410"/>
      <c r="N323" s="410">
        <f>+N322*$N$299/$N$298</f>
        <v>5763400.7999999998</v>
      </c>
      <c r="O323" s="410">
        <f>+O322*$O$299/$O$298</f>
        <v>10829695.199999999</v>
      </c>
      <c r="P323" s="410" t="e">
        <f>+P322*$P$299/$P$298</f>
        <v>#VALUE!</v>
      </c>
      <c r="Q323" s="410" t="e">
        <f>+Q322*$Q$299/$Q$298</f>
        <v>#VALUE!</v>
      </c>
      <c r="R323" s="410" t="e">
        <f>+R322*$R$299/$R$298</f>
        <v>#VALUE!</v>
      </c>
      <c r="S323" s="411"/>
      <c r="T323" s="174">
        <f>+T322*$T$299/$T$298</f>
        <v>0</v>
      </c>
      <c r="U323" s="174">
        <f>+U322*$U$299/$U$298</f>
        <v>4773674.5886654481</v>
      </c>
      <c r="V323" s="174" t="e">
        <f>+V322*$V$299/$V$298</f>
        <v>#REF!</v>
      </c>
      <c r="W323" s="410" t="e">
        <f>+W322*$W$299/$W$298</f>
        <v>#REF!</v>
      </c>
      <c r="X323" s="411"/>
      <c r="Y323" s="411"/>
      <c r="Z323" s="411"/>
      <c r="AA323" s="409">
        <f>+AA322*$AA$299/$AA$298</f>
        <v>8416043.1848852895</v>
      </c>
      <c r="AB323" s="409">
        <f>+AB322*$AB$299/$AB$298</f>
        <v>9322412.0922832135</v>
      </c>
      <c r="AC323" s="409" t="e">
        <f>+AC322*$AC$299/$AC$298</f>
        <v>#VALUE!</v>
      </c>
      <c r="AD323" s="409" t="e">
        <f>+AD322*$AD$299/$AD$298</f>
        <v>#VALUE!</v>
      </c>
      <c r="AE323" s="409" t="e">
        <f>+AE322*$AE$299/$AE$298</f>
        <v>#VALUE!</v>
      </c>
      <c r="AF323" s="710"/>
      <c r="AG323" s="829"/>
      <c r="AH323" s="710"/>
      <c r="AI323" s="710"/>
      <c r="AJ323" s="710"/>
      <c r="AK323" s="710"/>
      <c r="AL323" s="710"/>
      <c r="AM323" s="710"/>
      <c r="AN323" s="710"/>
      <c r="AO323" s="710"/>
      <c r="AP323" s="710"/>
      <c r="AQ323" s="710"/>
      <c r="AR323" s="710"/>
      <c r="AS323" s="710"/>
      <c r="AT323" s="710"/>
      <c r="AU323" s="710"/>
      <c r="AV323" s="710"/>
      <c r="AW323" s="710"/>
      <c r="AX323" s="710"/>
      <c r="AY323" s="710"/>
    </row>
    <row r="324" spans="1:51" ht="15.75" customHeight="1" x14ac:dyDescent="0.25">
      <c r="A324" s="829"/>
      <c r="B324" s="710"/>
      <c r="C324" s="710"/>
      <c r="D324" s="408" t="s">
        <v>345</v>
      </c>
      <c r="E324" s="179"/>
      <c r="F324" s="180"/>
      <c r="G324" s="174"/>
      <c r="H324" s="174"/>
      <c r="I324" s="174"/>
      <c r="J324" s="410"/>
      <c r="K324" s="409"/>
      <c r="L324" s="410"/>
      <c r="M324" s="410"/>
      <c r="N324" s="410"/>
      <c r="O324" s="410"/>
      <c r="P324" s="410"/>
      <c r="Q324" s="410"/>
      <c r="R324" s="416"/>
      <c r="S324" s="411"/>
      <c r="T324" s="167"/>
      <c r="U324" s="167"/>
      <c r="V324" s="167"/>
      <c r="W324" s="415"/>
      <c r="X324" s="411"/>
      <c r="Y324" s="411"/>
      <c r="Z324" s="411"/>
      <c r="AA324" s="433"/>
      <c r="AB324" s="419"/>
      <c r="AC324" s="401"/>
      <c r="AD324" s="409"/>
      <c r="AE324" s="420"/>
      <c r="AF324" s="710"/>
      <c r="AG324" s="829"/>
      <c r="AH324" s="710"/>
      <c r="AI324" s="710"/>
      <c r="AJ324" s="710"/>
      <c r="AK324" s="710"/>
      <c r="AL324" s="710"/>
      <c r="AM324" s="710"/>
      <c r="AN324" s="710"/>
      <c r="AO324" s="710"/>
      <c r="AP324" s="710"/>
      <c r="AQ324" s="710"/>
      <c r="AR324" s="710"/>
      <c r="AS324" s="710"/>
      <c r="AT324" s="710"/>
      <c r="AU324" s="710"/>
      <c r="AV324" s="710"/>
      <c r="AW324" s="710"/>
      <c r="AX324" s="710"/>
      <c r="AY324" s="710"/>
    </row>
    <row r="325" spans="1:51" ht="15.75" customHeight="1" x14ac:dyDescent="0.25">
      <c r="A325" s="829"/>
      <c r="B325" s="710"/>
      <c r="C325" s="710"/>
      <c r="D325" s="404" t="s">
        <v>346</v>
      </c>
      <c r="E325" s="179"/>
      <c r="F325" s="180"/>
      <c r="G325" s="174"/>
      <c r="H325" s="174"/>
      <c r="I325" s="174"/>
      <c r="J325" s="410"/>
      <c r="K325" s="409"/>
      <c r="L325" s="410"/>
      <c r="M325" s="410"/>
      <c r="N325" s="410"/>
      <c r="O325" s="410"/>
      <c r="P325" s="410"/>
      <c r="Q325" s="410"/>
      <c r="R325" s="416"/>
      <c r="S325" s="411"/>
      <c r="T325" s="174">
        <f>+T322*$T$301/$T$298</f>
        <v>1451082.9268292682</v>
      </c>
      <c r="U325" s="174">
        <f>+U322*$T$301/$T$298</f>
        <v>1451082.9268292682</v>
      </c>
      <c r="V325" s="167"/>
      <c r="W325" s="415"/>
      <c r="X325" s="411"/>
      <c r="Y325" s="411"/>
      <c r="Z325" s="411"/>
      <c r="AA325" s="433"/>
      <c r="AB325" s="419"/>
      <c r="AC325" s="401"/>
      <c r="AD325" s="409"/>
      <c r="AE325" s="420"/>
      <c r="AF325" s="710"/>
      <c r="AG325" s="829"/>
      <c r="AH325" s="710"/>
      <c r="AI325" s="710"/>
      <c r="AJ325" s="710"/>
      <c r="AK325" s="710"/>
      <c r="AL325" s="710"/>
      <c r="AM325" s="710"/>
      <c r="AN325" s="710"/>
      <c r="AO325" s="710"/>
      <c r="AP325" s="710"/>
      <c r="AQ325" s="710"/>
      <c r="AR325" s="710"/>
      <c r="AS325" s="710"/>
      <c r="AT325" s="710"/>
      <c r="AU325" s="710"/>
      <c r="AV325" s="710"/>
      <c r="AW325" s="710"/>
      <c r="AX325" s="710"/>
      <c r="AY325" s="710"/>
    </row>
    <row r="326" spans="1:51" ht="15.75" customHeight="1" x14ac:dyDescent="0.25">
      <c r="A326" s="829"/>
      <c r="B326" s="710"/>
      <c r="C326" s="710"/>
      <c r="D326" s="408" t="s">
        <v>347</v>
      </c>
      <c r="E326" s="179"/>
      <c r="F326" s="180"/>
      <c r="G326" s="174">
        <v>96</v>
      </c>
      <c r="H326" s="174">
        <v>96</v>
      </c>
      <c r="I326" s="174">
        <v>96</v>
      </c>
      <c r="J326" s="410">
        <v>96</v>
      </c>
      <c r="K326" s="409"/>
      <c r="L326" s="410"/>
      <c r="M326" s="410"/>
      <c r="N326" s="410"/>
      <c r="O326" s="410">
        <f>+O322</f>
        <v>1103</v>
      </c>
      <c r="P326" s="410">
        <v>1103</v>
      </c>
      <c r="Q326" s="410">
        <v>1231</v>
      </c>
      <c r="R326" s="416">
        <v>1421</v>
      </c>
      <c r="S326" s="411"/>
      <c r="T326" s="167">
        <v>96</v>
      </c>
      <c r="U326" s="167">
        <v>96</v>
      </c>
      <c r="V326" s="174">
        <v>96</v>
      </c>
      <c r="W326" s="410">
        <v>96</v>
      </c>
      <c r="X326" s="411"/>
      <c r="Y326" s="411"/>
      <c r="Z326" s="411"/>
      <c r="AA326" s="433"/>
      <c r="AB326" s="409">
        <f>+AB322</f>
        <v>1103</v>
      </c>
      <c r="AC326" s="401">
        <v>1103</v>
      </c>
      <c r="AD326" s="409">
        <v>1231</v>
      </c>
      <c r="AE326" s="420">
        <v>1421</v>
      </c>
      <c r="AF326" s="710"/>
      <c r="AG326" s="829"/>
      <c r="AH326" s="710"/>
      <c r="AI326" s="710"/>
      <c r="AJ326" s="710"/>
      <c r="AK326" s="710"/>
      <c r="AL326" s="710"/>
      <c r="AM326" s="710"/>
      <c r="AN326" s="710"/>
      <c r="AO326" s="710"/>
      <c r="AP326" s="710"/>
      <c r="AQ326" s="710"/>
      <c r="AR326" s="710"/>
      <c r="AS326" s="710"/>
      <c r="AT326" s="710"/>
      <c r="AU326" s="710"/>
      <c r="AV326" s="710"/>
      <c r="AW326" s="710"/>
      <c r="AX326" s="710"/>
      <c r="AY326" s="710"/>
    </row>
    <row r="327" spans="1:51" ht="15.75" customHeight="1" x14ac:dyDescent="0.25">
      <c r="A327" s="829"/>
      <c r="B327" s="710"/>
      <c r="C327" s="731"/>
      <c r="D327" s="412" t="s">
        <v>348</v>
      </c>
      <c r="E327" s="179"/>
      <c r="F327" s="180"/>
      <c r="G327" s="174">
        <f>+G326*$G$299/$G$298</f>
        <v>940388.57142857148</v>
      </c>
      <c r="H327" s="174">
        <f>+H326*$H$299/$H$298</f>
        <v>940388.57142857148</v>
      </c>
      <c r="I327" s="174" t="e">
        <f>+I326*$I$299/$I$298</f>
        <v>#REF!</v>
      </c>
      <c r="J327" s="410" t="e">
        <f>+J326*$J$299/$J$298</f>
        <v>#REF!</v>
      </c>
      <c r="K327" s="409"/>
      <c r="L327" s="410"/>
      <c r="M327" s="410"/>
      <c r="N327" s="410"/>
      <c r="O327" s="410">
        <f>+O323</f>
        <v>10829695.199999999</v>
      </c>
      <c r="P327" s="410" t="e">
        <f>+P326*$P$299/$P$298</f>
        <v>#VALUE!</v>
      </c>
      <c r="Q327" s="410" t="e">
        <f>+Q326*$Q$299/$Q$298</f>
        <v>#VALUE!</v>
      </c>
      <c r="R327" s="410" t="e">
        <f>+R326*$R$299/$R$298</f>
        <v>#VALUE!</v>
      </c>
      <c r="S327" s="411"/>
      <c r="T327" s="167"/>
      <c r="U327" s="174">
        <f>+U326*$U$299/$U$298</f>
        <v>4773674.5886654481</v>
      </c>
      <c r="V327" s="174" t="e">
        <f>+V326*$V$299/$V$298</f>
        <v>#REF!</v>
      </c>
      <c r="W327" s="410" t="e">
        <f>+W326*$W$299/$W$298</f>
        <v>#REF!</v>
      </c>
      <c r="X327" s="411"/>
      <c r="Y327" s="411"/>
      <c r="Z327" s="411"/>
      <c r="AA327" s="433"/>
      <c r="AB327" s="409">
        <f>+AB323</f>
        <v>9322412.0922832135</v>
      </c>
      <c r="AC327" s="409" t="e">
        <f>+AC326*$AC$299/$AC$298</f>
        <v>#VALUE!</v>
      </c>
      <c r="AD327" s="409" t="e">
        <f>+AD326*$AD$299/$AD$298</f>
        <v>#VALUE!</v>
      </c>
      <c r="AE327" s="409" t="e">
        <f>+AE326*$AE$299/$AE$298</f>
        <v>#VALUE!</v>
      </c>
      <c r="AF327" s="731"/>
      <c r="AG327" s="823"/>
      <c r="AH327" s="731"/>
      <c r="AI327" s="731"/>
      <c r="AJ327" s="731"/>
      <c r="AK327" s="731"/>
      <c r="AL327" s="731"/>
      <c r="AM327" s="731"/>
      <c r="AN327" s="731"/>
      <c r="AO327" s="731"/>
      <c r="AP327" s="731"/>
      <c r="AQ327" s="731"/>
      <c r="AR327" s="731"/>
      <c r="AS327" s="731"/>
      <c r="AT327" s="731"/>
      <c r="AU327" s="731"/>
      <c r="AV327" s="731"/>
      <c r="AW327" s="731"/>
      <c r="AX327" s="731"/>
      <c r="AY327" s="710"/>
    </row>
    <row r="328" spans="1:51" ht="18.75" customHeight="1" x14ac:dyDescent="0.25">
      <c r="A328" s="829"/>
      <c r="B328" s="710"/>
      <c r="C328" s="818" t="s">
        <v>1288</v>
      </c>
      <c r="D328" s="413" t="s">
        <v>340</v>
      </c>
      <c r="E328" s="179"/>
      <c r="F328" s="180"/>
      <c r="G328" s="174">
        <v>80</v>
      </c>
      <c r="H328" s="174">
        <v>80</v>
      </c>
      <c r="I328" s="174">
        <v>80</v>
      </c>
      <c r="J328" s="410">
        <v>80</v>
      </c>
      <c r="K328" s="429">
        <v>80</v>
      </c>
      <c r="L328" s="410"/>
      <c r="M328" s="410"/>
      <c r="N328" s="410">
        <v>587</v>
      </c>
      <c r="O328" s="466">
        <v>1103</v>
      </c>
      <c r="P328" s="410">
        <v>1103</v>
      </c>
      <c r="Q328" s="410">
        <v>1231</v>
      </c>
      <c r="R328" s="416">
        <v>1421</v>
      </c>
      <c r="S328" s="411"/>
      <c r="T328" s="174">
        <v>80</v>
      </c>
      <c r="U328" s="167">
        <v>80</v>
      </c>
      <c r="V328" s="167">
        <v>80</v>
      </c>
      <c r="W328" s="415">
        <v>80</v>
      </c>
      <c r="X328" s="430">
        <v>80</v>
      </c>
      <c r="Y328" s="411"/>
      <c r="Z328" s="411"/>
      <c r="AA328" s="433">
        <v>587</v>
      </c>
      <c r="AB328" s="465">
        <v>1103</v>
      </c>
      <c r="AC328" s="401">
        <v>1103</v>
      </c>
      <c r="AD328" s="409">
        <v>1231</v>
      </c>
      <c r="AE328" s="420">
        <v>1421</v>
      </c>
      <c r="AF328" s="916" t="s">
        <v>1289</v>
      </c>
      <c r="AG328" s="913" t="s">
        <v>563</v>
      </c>
      <c r="AH328" s="813" t="s">
        <v>1290</v>
      </c>
      <c r="AI328" s="813" t="s">
        <v>1291</v>
      </c>
      <c r="AJ328" s="914" t="s">
        <v>1283</v>
      </c>
      <c r="AK328" s="813" t="s">
        <v>457</v>
      </c>
      <c r="AL328" s="813" t="s">
        <v>178</v>
      </c>
      <c r="AM328" s="813" t="s">
        <v>1275</v>
      </c>
      <c r="AN328" s="909">
        <v>163231</v>
      </c>
      <c r="AO328" s="910">
        <v>77499</v>
      </c>
      <c r="AP328" s="910">
        <v>85731</v>
      </c>
      <c r="AQ328" s="911" t="s">
        <v>459</v>
      </c>
      <c r="AR328" s="911" t="s">
        <v>459</v>
      </c>
      <c r="AS328" s="911" t="s">
        <v>459</v>
      </c>
      <c r="AT328" s="911" t="s">
        <v>459</v>
      </c>
      <c r="AU328" s="915" t="s">
        <v>459</v>
      </c>
      <c r="AV328" s="915" t="s">
        <v>459</v>
      </c>
      <c r="AW328" s="915" t="s">
        <v>459</v>
      </c>
      <c r="AX328" s="910">
        <v>163231</v>
      </c>
      <c r="AY328" s="710"/>
    </row>
    <row r="329" spans="1:51" ht="15.75" customHeight="1" x14ac:dyDescent="0.25">
      <c r="A329" s="829"/>
      <c r="B329" s="710"/>
      <c r="C329" s="710"/>
      <c r="D329" s="404" t="s">
        <v>343</v>
      </c>
      <c r="E329" s="179"/>
      <c r="F329" s="180"/>
      <c r="G329" s="174">
        <f>+G328*$G$299/$G$298</f>
        <v>783657.14285714284</v>
      </c>
      <c r="H329" s="174">
        <f>+H328*$H$299/$H$298</f>
        <v>783657.14285714284</v>
      </c>
      <c r="I329" s="174" t="e">
        <f>+I328*$I$299/$I$298</f>
        <v>#REF!</v>
      </c>
      <c r="J329" s="410" t="e">
        <f>+J328*$J$299/$J$298</f>
        <v>#REF!</v>
      </c>
      <c r="K329" s="409"/>
      <c r="L329" s="410"/>
      <c r="M329" s="410"/>
      <c r="N329" s="410">
        <f>+N328*$N$299/$N$298</f>
        <v>5763400.7999999998</v>
      </c>
      <c r="O329" s="410">
        <f>+O328*$O$299/$O$298</f>
        <v>10829695.199999999</v>
      </c>
      <c r="P329" s="410" t="e">
        <f>+P328*$P$299/$P$298</f>
        <v>#VALUE!</v>
      </c>
      <c r="Q329" s="410" t="e">
        <f>+Q328*$Q$299/$Q$298</f>
        <v>#VALUE!</v>
      </c>
      <c r="R329" s="410" t="e">
        <f>+R328*$R$299/$R$298</f>
        <v>#VALUE!</v>
      </c>
      <c r="S329" s="411"/>
      <c r="T329" s="167"/>
      <c r="U329" s="174">
        <f>+U328*$U$299/$U$298</f>
        <v>3978062.1572212065</v>
      </c>
      <c r="V329" s="174" t="e">
        <f>+V328*$V$299/$V$298</f>
        <v>#REF!</v>
      </c>
      <c r="W329" s="410" t="e">
        <f>+W328*$W$299/$W$298</f>
        <v>#REF!</v>
      </c>
      <c r="X329" s="411"/>
      <c r="Y329" s="411"/>
      <c r="Z329" s="411"/>
      <c r="AA329" s="409">
        <f>+AA328*$AA$299/$AA$298</f>
        <v>8416043.1848852895</v>
      </c>
      <c r="AB329" s="409">
        <f>+AB328*$AB$299/$AB$298</f>
        <v>9322412.0922832135</v>
      </c>
      <c r="AC329" s="409" t="e">
        <f>+AC328*$AC$299/$AC$298</f>
        <v>#VALUE!</v>
      </c>
      <c r="AD329" s="409" t="e">
        <f>+AD328*$AD$299/$AD$298</f>
        <v>#VALUE!</v>
      </c>
      <c r="AE329" s="409" t="e">
        <f>+AE328*$AE$299/$AE$298</f>
        <v>#VALUE!</v>
      </c>
      <c r="AF329" s="710"/>
      <c r="AG329" s="829"/>
      <c r="AH329" s="710"/>
      <c r="AI329" s="710"/>
      <c r="AJ329" s="710"/>
      <c r="AK329" s="710"/>
      <c r="AL329" s="710"/>
      <c r="AM329" s="710"/>
      <c r="AN329" s="710"/>
      <c r="AO329" s="710"/>
      <c r="AP329" s="710"/>
      <c r="AQ329" s="710"/>
      <c r="AR329" s="710"/>
      <c r="AS329" s="710"/>
      <c r="AT329" s="710"/>
      <c r="AU329" s="710"/>
      <c r="AV329" s="710"/>
      <c r="AW329" s="710"/>
      <c r="AX329" s="710"/>
      <c r="AY329" s="710"/>
    </row>
    <row r="330" spans="1:51" ht="15.75" customHeight="1" x14ac:dyDescent="0.25">
      <c r="A330" s="829"/>
      <c r="B330" s="710"/>
      <c r="C330" s="710"/>
      <c r="D330" s="408" t="s">
        <v>345</v>
      </c>
      <c r="E330" s="179"/>
      <c r="F330" s="180"/>
      <c r="G330" s="174"/>
      <c r="H330" s="174"/>
      <c r="I330" s="174"/>
      <c r="J330" s="410"/>
      <c r="K330" s="409"/>
      <c r="L330" s="410"/>
      <c r="M330" s="410"/>
      <c r="N330" s="410"/>
      <c r="O330" s="410"/>
      <c r="P330" s="410"/>
      <c r="Q330" s="410"/>
      <c r="R330" s="416"/>
      <c r="S330" s="411"/>
      <c r="T330" s="167"/>
      <c r="U330" s="167"/>
      <c r="V330" s="167"/>
      <c r="W330" s="415"/>
      <c r="X330" s="411"/>
      <c r="Y330" s="411"/>
      <c r="Z330" s="411"/>
      <c r="AA330" s="433"/>
      <c r="AB330" s="419"/>
      <c r="AC330" s="401"/>
      <c r="AD330" s="409"/>
      <c r="AE330" s="420"/>
      <c r="AF330" s="710"/>
      <c r="AG330" s="829"/>
      <c r="AH330" s="710"/>
      <c r="AI330" s="710"/>
      <c r="AJ330" s="710"/>
      <c r="AK330" s="710"/>
      <c r="AL330" s="710"/>
      <c r="AM330" s="710"/>
      <c r="AN330" s="710"/>
      <c r="AO330" s="710"/>
      <c r="AP330" s="710"/>
      <c r="AQ330" s="710"/>
      <c r="AR330" s="710"/>
      <c r="AS330" s="710"/>
      <c r="AT330" s="710"/>
      <c r="AU330" s="710"/>
      <c r="AV330" s="710"/>
      <c r="AW330" s="710"/>
      <c r="AX330" s="710"/>
      <c r="AY330" s="710"/>
    </row>
    <row r="331" spans="1:51" ht="15.75" customHeight="1" x14ac:dyDescent="0.25">
      <c r="A331" s="829"/>
      <c r="B331" s="710"/>
      <c r="C331" s="710"/>
      <c r="D331" s="404" t="s">
        <v>346</v>
      </c>
      <c r="E331" s="179"/>
      <c r="F331" s="180"/>
      <c r="G331" s="174"/>
      <c r="H331" s="174"/>
      <c r="I331" s="174"/>
      <c r="J331" s="410"/>
      <c r="K331" s="409"/>
      <c r="L331" s="410"/>
      <c r="M331" s="410"/>
      <c r="N331" s="410"/>
      <c r="O331" s="410"/>
      <c r="P331" s="410"/>
      <c r="Q331" s="410"/>
      <c r="R331" s="416"/>
      <c r="S331" s="411"/>
      <c r="T331" s="174">
        <f>+T328*$T$301/$T$298</f>
        <v>1209235.7723577237</v>
      </c>
      <c r="U331" s="174">
        <f>+U328*$T$301/$T$298</f>
        <v>1209235.7723577237</v>
      </c>
      <c r="V331" s="167"/>
      <c r="W331" s="415"/>
      <c r="X331" s="411"/>
      <c r="Y331" s="411"/>
      <c r="Z331" s="411"/>
      <c r="AA331" s="433"/>
      <c r="AB331" s="419"/>
      <c r="AC331" s="401"/>
      <c r="AD331" s="409"/>
      <c r="AE331" s="420"/>
      <c r="AF331" s="710"/>
      <c r="AG331" s="829"/>
      <c r="AH331" s="710"/>
      <c r="AI331" s="710"/>
      <c r="AJ331" s="710"/>
      <c r="AK331" s="710"/>
      <c r="AL331" s="710"/>
      <c r="AM331" s="710"/>
      <c r="AN331" s="710"/>
      <c r="AO331" s="710"/>
      <c r="AP331" s="710"/>
      <c r="AQ331" s="710"/>
      <c r="AR331" s="710"/>
      <c r="AS331" s="710"/>
      <c r="AT331" s="710"/>
      <c r="AU331" s="710"/>
      <c r="AV331" s="710"/>
      <c r="AW331" s="710"/>
      <c r="AX331" s="710"/>
      <c r="AY331" s="710"/>
    </row>
    <row r="332" spans="1:51" ht="15.75" customHeight="1" x14ac:dyDescent="0.25">
      <c r="A332" s="829"/>
      <c r="B332" s="710"/>
      <c r="C332" s="710"/>
      <c r="D332" s="408" t="s">
        <v>347</v>
      </c>
      <c r="E332" s="179"/>
      <c r="F332" s="180"/>
      <c r="G332" s="174">
        <v>80</v>
      </c>
      <c r="H332" s="174">
        <v>80</v>
      </c>
      <c r="I332" s="174">
        <v>80</v>
      </c>
      <c r="J332" s="410">
        <v>80</v>
      </c>
      <c r="K332" s="409"/>
      <c r="L332" s="410"/>
      <c r="M332" s="410"/>
      <c r="N332" s="410"/>
      <c r="O332" s="410">
        <f>+O328</f>
        <v>1103</v>
      </c>
      <c r="P332" s="410">
        <v>1103</v>
      </c>
      <c r="Q332" s="410">
        <v>1231</v>
      </c>
      <c r="R332" s="416">
        <v>1421</v>
      </c>
      <c r="S332" s="411"/>
      <c r="T332" s="167">
        <v>80</v>
      </c>
      <c r="U332" s="167">
        <v>80</v>
      </c>
      <c r="V332" s="174">
        <v>80</v>
      </c>
      <c r="W332" s="410">
        <v>80</v>
      </c>
      <c r="X332" s="411"/>
      <c r="Y332" s="411"/>
      <c r="Z332" s="411"/>
      <c r="AA332" s="433"/>
      <c r="AB332" s="409">
        <f>+AB328</f>
        <v>1103</v>
      </c>
      <c r="AC332" s="401">
        <v>1103</v>
      </c>
      <c r="AD332" s="409">
        <v>1231</v>
      </c>
      <c r="AE332" s="420">
        <v>1421</v>
      </c>
      <c r="AF332" s="710"/>
      <c r="AG332" s="829"/>
      <c r="AH332" s="710"/>
      <c r="AI332" s="710"/>
      <c r="AJ332" s="710"/>
      <c r="AK332" s="710"/>
      <c r="AL332" s="710"/>
      <c r="AM332" s="710"/>
      <c r="AN332" s="710"/>
      <c r="AO332" s="710"/>
      <c r="AP332" s="710"/>
      <c r="AQ332" s="710"/>
      <c r="AR332" s="710"/>
      <c r="AS332" s="710"/>
      <c r="AT332" s="710"/>
      <c r="AU332" s="710"/>
      <c r="AV332" s="710"/>
      <c r="AW332" s="710"/>
      <c r="AX332" s="710"/>
      <c r="AY332" s="710"/>
    </row>
    <row r="333" spans="1:51" ht="15.75" customHeight="1" x14ac:dyDescent="0.25">
      <c r="A333" s="829"/>
      <c r="B333" s="710"/>
      <c r="C333" s="731"/>
      <c r="D333" s="412" t="s">
        <v>348</v>
      </c>
      <c r="E333" s="179"/>
      <c r="F333" s="180"/>
      <c r="G333" s="174">
        <f>+G332*$G$299/$G$298</f>
        <v>783657.14285714284</v>
      </c>
      <c r="H333" s="174">
        <f>+H332*$H$299/$H$298</f>
        <v>783657.14285714284</v>
      </c>
      <c r="I333" s="174" t="e">
        <f>+I332*$I$299/$I$298</f>
        <v>#REF!</v>
      </c>
      <c r="J333" s="410" t="e">
        <f>+J332*$J$299/$J$298</f>
        <v>#REF!</v>
      </c>
      <c r="K333" s="409"/>
      <c r="L333" s="410"/>
      <c r="M333" s="410"/>
      <c r="N333" s="410"/>
      <c r="O333" s="410">
        <f>+O329</f>
        <v>10829695.199999999</v>
      </c>
      <c r="P333" s="410" t="e">
        <f>+P332*$P$299/$P$298</f>
        <v>#VALUE!</v>
      </c>
      <c r="Q333" s="410" t="e">
        <f>+Q332*$Q$299/$Q$298</f>
        <v>#VALUE!</v>
      </c>
      <c r="R333" s="410" t="e">
        <f>+R332*$R$299/$R$298</f>
        <v>#VALUE!</v>
      </c>
      <c r="S333" s="411"/>
      <c r="T333" s="167"/>
      <c r="U333" s="174">
        <f>+U332*$U$299/$U$298</f>
        <v>3978062.1572212065</v>
      </c>
      <c r="V333" s="174" t="e">
        <f>+V332*$V$299/$V$298</f>
        <v>#REF!</v>
      </c>
      <c r="W333" s="410" t="e">
        <f>+W332*$W$299/$W$298</f>
        <v>#REF!</v>
      </c>
      <c r="X333" s="411"/>
      <c r="Y333" s="411"/>
      <c r="Z333" s="411"/>
      <c r="AA333" s="433"/>
      <c r="AB333" s="409">
        <f>+AB329</f>
        <v>9322412.0922832135</v>
      </c>
      <c r="AC333" s="409" t="e">
        <f>+AC332*$AC$299/$AC$298</f>
        <v>#VALUE!</v>
      </c>
      <c r="AD333" s="409" t="e">
        <f>+AD332*$AD$299/$AD$298</f>
        <v>#VALUE!</v>
      </c>
      <c r="AE333" s="409" t="e">
        <f>+AE332*$AE$299/$AE$298</f>
        <v>#VALUE!</v>
      </c>
      <c r="AF333" s="731"/>
      <c r="AG333" s="823"/>
      <c r="AH333" s="731"/>
      <c r="AI333" s="731"/>
      <c r="AJ333" s="731"/>
      <c r="AK333" s="731"/>
      <c r="AL333" s="731"/>
      <c r="AM333" s="731"/>
      <c r="AN333" s="731"/>
      <c r="AO333" s="731"/>
      <c r="AP333" s="731"/>
      <c r="AQ333" s="731"/>
      <c r="AR333" s="731"/>
      <c r="AS333" s="731"/>
      <c r="AT333" s="731"/>
      <c r="AU333" s="731"/>
      <c r="AV333" s="731"/>
      <c r="AW333" s="731"/>
      <c r="AX333" s="731"/>
      <c r="AY333" s="731"/>
    </row>
    <row r="334" spans="1:51" ht="18.75" customHeight="1" x14ac:dyDescent="0.25">
      <c r="A334" s="829"/>
      <c r="B334" s="710"/>
      <c r="C334" s="818" t="s">
        <v>1292</v>
      </c>
      <c r="D334" s="413" t="s">
        <v>340</v>
      </c>
      <c r="E334" s="179"/>
      <c r="F334" s="180"/>
      <c r="G334" s="174">
        <v>30</v>
      </c>
      <c r="H334" s="174">
        <v>30</v>
      </c>
      <c r="I334" s="174">
        <v>30</v>
      </c>
      <c r="J334" s="410">
        <v>30</v>
      </c>
      <c r="K334" s="429">
        <v>30</v>
      </c>
      <c r="L334" s="410"/>
      <c r="M334" s="410"/>
      <c r="N334" s="410"/>
      <c r="O334" s="410"/>
      <c r="P334" s="410">
        <v>335</v>
      </c>
      <c r="Q334" s="410">
        <v>405</v>
      </c>
      <c r="R334" s="416">
        <v>405</v>
      </c>
      <c r="S334" s="411"/>
      <c r="T334" s="167">
        <v>30</v>
      </c>
      <c r="U334" s="167">
        <v>30</v>
      </c>
      <c r="V334" s="167">
        <v>30</v>
      </c>
      <c r="W334" s="415">
        <v>30</v>
      </c>
      <c r="X334" s="430">
        <v>30</v>
      </c>
      <c r="Y334" s="411"/>
      <c r="Z334" s="411"/>
      <c r="AA334" s="433"/>
      <c r="AB334" s="419"/>
      <c r="AC334" s="409">
        <v>335</v>
      </c>
      <c r="AD334" s="409">
        <v>405</v>
      </c>
      <c r="AE334" s="420">
        <v>405</v>
      </c>
      <c r="AF334" s="916" t="s">
        <v>1293</v>
      </c>
      <c r="AG334" s="913" t="s">
        <v>566</v>
      </c>
      <c r="AH334" s="813" t="s">
        <v>1294</v>
      </c>
      <c r="AI334" s="813" t="s">
        <v>1295</v>
      </c>
      <c r="AJ334" s="914" t="s">
        <v>1283</v>
      </c>
      <c r="AK334" s="813" t="s">
        <v>457</v>
      </c>
      <c r="AL334" s="813" t="s">
        <v>178</v>
      </c>
      <c r="AM334" s="813" t="s">
        <v>1275</v>
      </c>
      <c r="AN334" s="909">
        <v>563173</v>
      </c>
      <c r="AO334" s="910">
        <v>258860</v>
      </c>
      <c r="AP334" s="910">
        <v>304313</v>
      </c>
      <c r="AQ334" s="911" t="s">
        <v>459</v>
      </c>
      <c r="AR334" s="911" t="s">
        <v>459</v>
      </c>
      <c r="AS334" s="911" t="s">
        <v>459</v>
      </c>
      <c r="AT334" s="911" t="s">
        <v>459</v>
      </c>
      <c r="AU334" s="915" t="s">
        <v>459</v>
      </c>
      <c r="AV334" s="915" t="s">
        <v>459</v>
      </c>
      <c r="AW334" s="915" t="s">
        <v>459</v>
      </c>
      <c r="AX334" s="910">
        <v>563173</v>
      </c>
      <c r="AY334" s="427"/>
    </row>
    <row r="335" spans="1:51" ht="18.75" customHeight="1" x14ac:dyDescent="0.25">
      <c r="A335" s="829"/>
      <c r="B335" s="710"/>
      <c r="C335" s="710"/>
      <c r="D335" s="404" t="s">
        <v>343</v>
      </c>
      <c r="E335" s="179"/>
      <c r="F335" s="180"/>
      <c r="G335" s="174">
        <f>+G334*$G$299/$G$298</f>
        <v>293871.42857142858</v>
      </c>
      <c r="H335" s="174">
        <f>+H334*$H$299/$H$298</f>
        <v>293871.42857142858</v>
      </c>
      <c r="I335" s="174" t="e">
        <f>+I334*$I$299/$I$298</f>
        <v>#REF!</v>
      </c>
      <c r="J335" s="410" t="e">
        <f>+J334*$J$299/$J$298</f>
        <v>#REF!</v>
      </c>
      <c r="K335" s="409"/>
      <c r="L335" s="410"/>
      <c r="M335" s="410"/>
      <c r="N335" s="410"/>
      <c r="O335" s="410"/>
      <c r="P335" s="410" t="e">
        <f>+P334*$P$299/$P$298</f>
        <v>#VALUE!</v>
      </c>
      <c r="Q335" s="410" t="e">
        <f>+Q334*$Q$299/$Q$298</f>
        <v>#VALUE!</v>
      </c>
      <c r="R335" s="410" t="e">
        <f>+R334*$R$299/$R$298</f>
        <v>#VALUE!</v>
      </c>
      <c r="S335" s="411"/>
      <c r="T335" s="167"/>
      <c r="U335" s="174">
        <f>+U334*$U$299/$U$298</f>
        <v>1491773.3089579525</v>
      </c>
      <c r="V335" s="174" t="e">
        <f>+V334*$V$299/$V$298</f>
        <v>#REF!</v>
      </c>
      <c r="W335" s="410" t="e">
        <f>+W334*$W$299/$W$298</f>
        <v>#REF!</v>
      </c>
      <c r="X335" s="411"/>
      <c r="Y335" s="411"/>
      <c r="Z335" s="411"/>
      <c r="AA335" s="433"/>
      <c r="AB335" s="419"/>
      <c r="AC335" s="409" t="e">
        <f>+AC334*$AC$299/$AC$298</f>
        <v>#VALUE!</v>
      </c>
      <c r="AD335" s="409" t="e">
        <f>+AD334*$AD$299/$AD$298</f>
        <v>#VALUE!</v>
      </c>
      <c r="AE335" s="409" t="e">
        <f>+AE334*$AE$299/$AE$298</f>
        <v>#VALUE!</v>
      </c>
      <c r="AF335" s="710"/>
      <c r="AG335" s="829"/>
      <c r="AH335" s="710"/>
      <c r="AI335" s="710"/>
      <c r="AJ335" s="710"/>
      <c r="AK335" s="710"/>
      <c r="AL335" s="710"/>
      <c r="AM335" s="710"/>
      <c r="AN335" s="710"/>
      <c r="AO335" s="710"/>
      <c r="AP335" s="710"/>
      <c r="AQ335" s="710"/>
      <c r="AR335" s="710"/>
      <c r="AS335" s="710"/>
      <c r="AT335" s="710"/>
      <c r="AU335" s="710"/>
      <c r="AV335" s="710"/>
      <c r="AW335" s="710"/>
      <c r="AX335" s="710"/>
      <c r="AY335" s="427"/>
    </row>
    <row r="336" spans="1:51" ht="27.75" customHeight="1" x14ac:dyDescent="0.25">
      <c r="A336" s="829"/>
      <c r="B336" s="710"/>
      <c r="C336" s="710"/>
      <c r="D336" s="408" t="s">
        <v>345</v>
      </c>
      <c r="E336" s="179"/>
      <c r="F336" s="180"/>
      <c r="G336" s="174"/>
      <c r="H336" s="174"/>
      <c r="I336" s="174"/>
      <c r="J336" s="410"/>
      <c r="K336" s="409"/>
      <c r="L336" s="410"/>
      <c r="M336" s="410"/>
      <c r="N336" s="410"/>
      <c r="O336" s="410"/>
      <c r="P336" s="410"/>
      <c r="Q336" s="410"/>
      <c r="R336" s="416"/>
      <c r="S336" s="411"/>
      <c r="T336" s="167"/>
      <c r="U336" s="167"/>
      <c r="V336" s="167"/>
      <c r="W336" s="415"/>
      <c r="X336" s="411"/>
      <c r="Y336" s="411"/>
      <c r="Z336" s="411"/>
      <c r="AA336" s="433"/>
      <c r="AB336" s="419"/>
      <c r="AC336" s="409"/>
      <c r="AD336" s="409"/>
      <c r="AE336" s="420"/>
      <c r="AF336" s="710"/>
      <c r="AG336" s="829"/>
      <c r="AH336" s="710"/>
      <c r="AI336" s="710"/>
      <c r="AJ336" s="710"/>
      <c r="AK336" s="710"/>
      <c r="AL336" s="710"/>
      <c r="AM336" s="710"/>
      <c r="AN336" s="710"/>
      <c r="AO336" s="710"/>
      <c r="AP336" s="710"/>
      <c r="AQ336" s="710"/>
      <c r="AR336" s="710"/>
      <c r="AS336" s="710"/>
      <c r="AT336" s="710"/>
      <c r="AU336" s="710"/>
      <c r="AV336" s="710"/>
      <c r="AW336" s="710"/>
      <c r="AX336" s="710"/>
      <c r="AY336" s="427"/>
    </row>
    <row r="337" spans="1:51" ht="27.75" customHeight="1" x14ac:dyDescent="0.25">
      <c r="A337" s="829"/>
      <c r="B337" s="710"/>
      <c r="C337" s="710"/>
      <c r="D337" s="404" t="s">
        <v>346</v>
      </c>
      <c r="E337" s="179"/>
      <c r="F337" s="180"/>
      <c r="G337" s="174"/>
      <c r="H337" s="174"/>
      <c r="I337" s="174"/>
      <c r="J337" s="410"/>
      <c r="K337" s="409"/>
      <c r="L337" s="410"/>
      <c r="M337" s="410"/>
      <c r="N337" s="410"/>
      <c r="O337" s="410"/>
      <c r="P337" s="410"/>
      <c r="Q337" s="410"/>
      <c r="R337" s="416"/>
      <c r="S337" s="411"/>
      <c r="T337" s="174">
        <f>+T334*$T$301/$T$298</f>
        <v>453463.41463414632</v>
      </c>
      <c r="U337" s="174">
        <f>+U334*$T$301/$T$298</f>
        <v>453463.41463414632</v>
      </c>
      <c r="V337" s="167"/>
      <c r="W337" s="415"/>
      <c r="X337" s="411"/>
      <c r="Y337" s="411"/>
      <c r="Z337" s="411"/>
      <c r="AA337" s="433"/>
      <c r="AB337" s="419"/>
      <c r="AC337" s="409"/>
      <c r="AD337" s="409"/>
      <c r="AE337" s="420"/>
      <c r="AF337" s="710"/>
      <c r="AG337" s="829"/>
      <c r="AH337" s="710"/>
      <c r="AI337" s="710"/>
      <c r="AJ337" s="710"/>
      <c r="AK337" s="710"/>
      <c r="AL337" s="710"/>
      <c r="AM337" s="710"/>
      <c r="AN337" s="710"/>
      <c r="AO337" s="710"/>
      <c r="AP337" s="710"/>
      <c r="AQ337" s="710"/>
      <c r="AR337" s="710"/>
      <c r="AS337" s="710"/>
      <c r="AT337" s="710"/>
      <c r="AU337" s="710"/>
      <c r="AV337" s="710"/>
      <c r="AW337" s="710"/>
      <c r="AX337" s="710"/>
      <c r="AY337" s="427"/>
    </row>
    <row r="338" spans="1:51" ht="27.75" customHeight="1" x14ac:dyDescent="0.25">
      <c r="A338" s="829"/>
      <c r="B338" s="710"/>
      <c r="C338" s="710"/>
      <c r="D338" s="408" t="s">
        <v>347</v>
      </c>
      <c r="E338" s="179"/>
      <c r="F338" s="180"/>
      <c r="G338" s="174">
        <v>30</v>
      </c>
      <c r="H338" s="174">
        <v>30</v>
      </c>
      <c r="I338" s="174">
        <v>30</v>
      </c>
      <c r="J338" s="410">
        <v>30</v>
      </c>
      <c r="K338" s="409"/>
      <c r="L338" s="410"/>
      <c r="M338" s="410"/>
      <c r="N338" s="410"/>
      <c r="O338" s="410"/>
      <c r="P338" s="410">
        <v>335</v>
      </c>
      <c r="Q338" s="410">
        <v>405</v>
      </c>
      <c r="R338" s="416">
        <v>405</v>
      </c>
      <c r="S338" s="411"/>
      <c r="T338" s="167">
        <v>30</v>
      </c>
      <c r="U338" s="167">
        <v>30</v>
      </c>
      <c r="V338" s="174">
        <v>30</v>
      </c>
      <c r="W338" s="410">
        <v>30</v>
      </c>
      <c r="X338" s="411"/>
      <c r="Y338" s="411"/>
      <c r="Z338" s="411"/>
      <c r="AA338" s="433"/>
      <c r="AB338" s="419"/>
      <c r="AC338" s="409">
        <v>335</v>
      </c>
      <c r="AD338" s="409">
        <v>405</v>
      </c>
      <c r="AE338" s="420">
        <v>405</v>
      </c>
      <c r="AF338" s="710"/>
      <c r="AG338" s="829"/>
      <c r="AH338" s="710"/>
      <c r="AI338" s="710"/>
      <c r="AJ338" s="710"/>
      <c r="AK338" s="710"/>
      <c r="AL338" s="710"/>
      <c r="AM338" s="710"/>
      <c r="AN338" s="710"/>
      <c r="AO338" s="710"/>
      <c r="AP338" s="710"/>
      <c r="AQ338" s="710"/>
      <c r="AR338" s="710"/>
      <c r="AS338" s="710"/>
      <c r="AT338" s="710"/>
      <c r="AU338" s="710"/>
      <c r="AV338" s="710"/>
      <c r="AW338" s="710"/>
      <c r="AX338" s="710"/>
      <c r="AY338" s="427"/>
    </row>
    <row r="339" spans="1:51" ht="27.75" customHeight="1" x14ac:dyDescent="0.25">
      <c r="A339" s="829"/>
      <c r="B339" s="710"/>
      <c r="C339" s="731"/>
      <c r="D339" s="412" t="s">
        <v>348</v>
      </c>
      <c r="E339" s="179"/>
      <c r="F339" s="180"/>
      <c r="G339" s="174">
        <f>+G338*$G$299/$G$298</f>
        <v>293871.42857142858</v>
      </c>
      <c r="H339" s="174">
        <f>+H338*$H$299/$H$298</f>
        <v>293871.42857142858</v>
      </c>
      <c r="I339" s="174" t="e">
        <f>+I338*$I$299/$I$298</f>
        <v>#REF!</v>
      </c>
      <c r="J339" s="410" t="e">
        <f>+J338*$J$299/$J$298</f>
        <v>#REF!</v>
      </c>
      <c r="K339" s="409"/>
      <c r="L339" s="410"/>
      <c r="M339" s="410"/>
      <c r="N339" s="410"/>
      <c r="O339" s="410"/>
      <c r="P339" s="410" t="e">
        <f>+P338*$P$299/$P$298</f>
        <v>#VALUE!</v>
      </c>
      <c r="Q339" s="410" t="e">
        <f>+Q338*$Q$299/$Q$298</f>
        <v>#VALUE!</v>
      </c>
      <c r="R339" s="410" t="e">
        <f>+R338*$R$299/$R$298</f>
        <v>#VALUE!</v>
      </c>
      <c r="S339" s="411"/>
      <c r="T339" s="167"/>
      <c r="U339" s="174">
        <f>+U338*$U$299/$U$298</f>
        <v>1491773.3089579525</v>
      </c>
      <c r="V339" s="174" t="e">
        <f>+V338*$V$299/$V$298</f>
        <v>#REF!</v>
      </c>
      <c r="W339" s="410" t="e">
        <f>+W338*$W$299/$W$298</f>
        <v>#REF!</v>
      </c>
      <c r="X339" s="411"/>
      <c r="Y339" s="411"/>
      <c r="Z339" s="411"/>
      <c r="AA339" s="433"/>
      <c r="AB339" s="419"/>
      <c r="AC339" s="409" t="e">
        <f>+AC338*$AC$299/$AC$298</f>
        <v>#VALUE!</v>
      </c>
      <c r="AD339" s="409" t="e">
        <f>+AD338*$AD$299/$AD$298</f>
        <v>#VALUE!</v>
      </c>
      <c r="AE339" s="409" t="e">
        <f>+AE338*$AE$299/$AE$298</f>
        <v>#VALUE!</v>
      </c>
      <c r="AF339" s="731"/>
      <c r="AG339" s="823"/>
      <c r="AH339" s="731"/>
      <c r="AI339" s="731"/>
      <c r="AJ339" s="731"/>
      <c r="AK339" s="731"/>
      <c r="AL339" s="731"/>
      <c r="AM339" s="731"/>
      <c r="AN339" s="731"/>
      <c r="AO339" s="731"/>
      <c r="AP339" s="731"/>
      <c r="AQ339" s="731"/>
      <c r="AR339" s="731"/>
      <c r="AS339" s="731"/>
      <c r="AT339" s="731"/>
      <c r="AU339" s="731"/>
      <c r="AV339" s="731"/>
      <c r="AW339" s="731"/>
      <c r="AX339" s="731"/>
      <c r="AY339" s="427"/>
    </row>
    <row r="340" spans="1:51" ht="18.75" customHeight="1" x14ac:dyDescent="0.25">
      <c r="A340" s="829"/>
      <c r="B340" s="710"/>
      <c r="C340" s="818" t="s">
        <v>1296</v>
      </c>
      <c r="D340" s="413" t="s">
        <v>340</v>
      </c>
      <c r="E340" s="179"/>
      <c r="F340" s="180"/>
      <c r="G340" s="174"/>
      <c r="H340" s="174"/>
      <c r="I340" s="174">
        <v>142</v>
      </c>
      <c r="J340" s="410">
        <v>142</v>
      </c>
      <c r="K340" s="429">
        <v>142</v>
      </c>
      <c r="L340" s="410"/>
      <c r="M340" s="410"/>
      <c r="N340" s="410"/>
      <c r="O340" s="410"/>
      <c r="P340" s="410">
        <v>300</v>
      </c>
      <c r="Q340" s="410">
        <v>300</v>
      </c>
      <c r="R340" s="416">
        <v>390</v>
      </c>
      <c r="S340" s="411"/>
      <c r="T340" s="167"/>
      <c r="U340" s="167"/>
      <c r="V340" s="167">
        <v>142</v>
      </c>
      <c r="W340" s="415">
        <v>142</v>
      </c>
      <c r="X340" s="430">
        <v>142</v>
      </c>
      <c r="Y340" s="411"/>
      <c r="Z340" s="411"/>
      <c r="AA340" s="433"/>
      <c r="AB340" s="419"/>
      <c r="AC340" s="409">
        <v>300</v>
      </c>
      <c r="AD340" s="409">
        <v>300</v>
      </c>
      <c r="AE340" s="420">
        <v>390</v>
      </c>
      <c r="AF340" s="916" t="s">
        <v>1297</v>
      </c>
      <c r="AG340" s="913" t="s">
        <v>543</v>
      </c>
      <c r="AH340" s="813" t="s">
        <v>1298</v>
      </c>
      <c r="AI340" s="813" t="s">
        <v>1299</v>
      </c>
      <c r="AJ340" s="914" t="s">
        <v>1283</v>
      </c>
      <c r="AK340" s="813" t="s">
        <v>457</v>
      </c>
      <c r="AL340" s="813" t="s">
        <v>178</v>
      </c>
      <c r="AM340" s="813" t="s">
        <v>1275</v>
      </c>
      <c r="AN340" s="909">
        <v>254469</v>
      </c>
      <c r="AO340" s="910">
        <v>120116</v>
      </c>
      <c r="AP340" s="910">
        <v>134352</v>
      </c>
      <c r="AQ340" s="911" t="s">
        <v>459</v>
      </c>
      <c r="AR340" s="911" t="s">
        <v>459</v>
      </c>
      <c r="AS340" s="911" t="s">
        <v>459</v>
      </c>
      <c r="AT340" s="911" t="s">
        <v>459</v>
      </c>
      <c r="AU340" s="915" t="s">
        <v>459</v>
      </c>
      <c r="AV340" s="915" t="s">
        <v>459</v>
      </c>
      <c r="AW340" s="915" t="s">
        <v>459</v>
      </c>
      <c r="AX340" s="910">
        <v>254469</v>
      </c>
      <c r="AY340" s="427"/>
    </row>
    <row r="341" spans="1:51" ht="18.75" customHeight="1" x14ac:dyDescent="0.25">
      <c r="A341" s="829"/>
      <c r="B341" s="710"/>
      <c r="C341" s="710"/>
      <c r="D341" s="404" t="s">
        <v>343</v>
      </c>
      <c r="E341" s="179"/>
      <c r="F341" s="180"/>
      <c r="G341" s="174"/>
      <c r="H341" s="174"/>
      <c r="I341" s="174" t="e">
        <f>+I340*$I$299/$I$298</f>
        <v>#REF!</v>
      </c>
      <c r="J341" s="410" t="e">
        <f>+J340*$J$299/$J$298</f>
        <v>#REF!</v>
      </c>
      <c r="K341" s="409"/>
      <c r="L341" s="410"/>
      <c r="M341" s="410"/>
      <c r="N341" s="410"/>
      <c r="O341" s="410"/>
      <c r="P341" s="410" t="e">
        <f>+P340*$P$299/$P$298</f>
        <v>#VALUE!</v>
      </c>
      <c r="Q341" s="410" t="e">
        <f>+Q340*$Q$299/$Q$298</f>
        <v>#VALUE!</v>
      </c>
      <c r="R341" s="410" t="e">
        <f>+R340*$R$299/$R$298</f>
        <v>#VALUE!</v>
      </c>
      <c r="S341" s="411"/>
      <c r="T341" s="167"/>
      <c r="U341" s="174"/>
      <c r="V341" s="174" t="e">
        <f>+V340*$V$299/$V$298</f>
        <v>#REF!</v>
      </c>
      <c r="W341" s="410" t="e">
        <f>+W340*$W$299/$W$298</f>
        <v>#REF!</v>
      </c>
      <c r="X341" s="411"/>
      <c r="Y341" s="411"/>
      <c r="Z341" s="411"/>
      <c r="AA341" s="433"/>
      <c r="AB341" s="419"/>
      <c r="AC341" s="409" t="e">
        <f>+AC340*$AC$299/$AC$298</f>
        <v>#VALUE!</v>
      </c>
      <c r="AD341" s="409" t="e">
        <f>+AD340*$AD$299/$AD$298</f>
        <v>#VALUE!</v>
      </c>
      <c r="AE341" s="409" t="e">
        <f>+AE340*$AE$299/$AE$298</f>
        <v>#VALUE!</v>
      </c>
      <c r="AF341" s="710"/>
      <c r="AG341" s="829"/>
      <c r="AH341" s="710"/>
      <c r="AI341" s="710"/>
      <c r="AJ341" s="710"/>
      <c r="AK341" s="710"/>
      <c r="AL341" s="710"/>
      <c r="AM341" s="710"/>
      <c r="AN341" s="710"/>
      <c r="AO341" s="710"/>
      <c r="AP341" s="710"/>
      <c r="AQ341" s="710"/>
      <c r="AR341" s="710"/>
      <c r="AS341" s="710"/>
      <c r="AT341" s="710"/>
      <c r="AU341" s="710"/>
      <c r="AV341" s="710"/>
      <c r="AW341" s="710"/>
      <c r="AX341" s="710"/>
      <c r="AY341" s="427"/>
    </row>
    <row r="342" spans="1:51" ht="27.75" customHeight="1" x14ac:dyDescent="0.25">
      <c r="A342" s="829"/>
      <c r="B342" s="710"/>
      <c r="C342" s="710"/>
      <c r="D342" s="408" t="s">
        <v>345</v>
      </c>
      <c r="E342" s="179"/>
      <c r="F342" s="180"/>
      <c r="G342" s="174"/>
      <c r="H342" s="174"/>
      <c r="I342" s="174"/>
      <c r="J342" s="410"/>
      <c r="K342" s="409"/>
      <c r="L342" s="410"/>
      <c r="M342" s="410"/>
      <c r="N342" s="410"/>
      <c r="O342" s="410"/>
      <c r="P342" s="410"/>
      <c r="Q342" s="410"/>
      <c r="R342" s="416"/>
      <c r="S342" s="411"/>
      <c r="T342" s="167"/>
      <c r="U342" s="167"/>
      <c r="V342" s="167"/>
      <c r="W342" s="415"/>
      <c r="X342" s="411"/>
      <c r="Y342" s="411"/>
      <c r="Z342" s="411"/>
      <c r="AA342" s="433"/>
      <c r="AB342" s="419"/>
      <c r="AC342" s="409"/>
      <c r="AD342" s="409"/>
      <c r="AE342" s="420"/>
      <c r="AF342" s="710"/>
      <c r="AG342" s="829"/>
      <c r="AH342" s="710"/>
      <c r="AI342" s="710"/>
      <c r="AJ342" s="710"/>
      <c r="AK342" s="710"/>
      <c r="AL342" s="710"/>
      <c r="AM342" s="710"/>
      <c r="AN342" s="710"/>
      <c r="AO342" s="710"/>
      <c r="AP342" s="710"/>
      <c r="AQ342" s="710"/>
      <c r="AR342" s="710"/>
      <c r="AS342" s="710"/>
      <c r="AT342" s="710"/>
      <c r="AU342" s="710"/>
      <c r="AV342" s="710"/>
      <c r="AW342" s="710"/>
      <c r="AX342" s="710"/>
      <c r="AY342" s="427"/>
    </row>
    <row r="343" spans="1:51" ht="27.75" customHeight="1" x14ac:dyDescent="0.25">
      <c r="A343" s="829"/>
      <c r="B343" s="710"/>
      <c r="C343" s="710"/>
      <c r="D343" s="404" t="s">
        <v>346</v>
      </c>
      <c r="E343" s="179"/>
      <c r="F343" s="180"/>
      <c r="G343" s="174"/>
      <c r="H343" s="174"/>
      <c r="I343" s="174"/>
      <c r="J343" s="410"/>
      <c r="K343" s="409"/>
      <c r="L343" s="410"/>
      <c r="M343" s="410"/>
      <c r="N343" s="410"/>
      <c r="O343" s="410"/>
      <c r="P343" s="410"/>
      <c r="Q343" s="410"/>
      <c r="R343" s="416"/>
      <c r="S343" s="411"/>
      <c r="T343" s="174"/>
      <c r="U343" s="174"/>
      <c r="V343" s="167"/>
      <c r="W343" s="415"/>
      <c r="X343" s="411"/>
      <c r="Y343" s="411"/>
      <c r="Z343" s="411"/>
      <c r="AA343" s="433"/>
      <c r="AB343" s="419"/>
      <c r="AC343" s="409"/>
      <c r="AD343" s="409"/>
      <c r="AE343" s="420"/>
      <c r="AF343" s="710"/>
      <c r="AG343" s="829"/>
      <c r="AH343" s="710"/>
      <c r="AI343" s="710"/>
      <c r="AJ343" s="710"/>
      <c r="AK343" s="710"/>
      <c r="AL343" s="710"/>
      <c r="AM343" s="710"/>
      <c r="AN343" s="710"/>
      <c r="AO343" s="710"/>
      <c r="AP343" s="710"/>
      <c r="AQ343" s="710"/>
      <c r="AR343" s="710"/>
      <c r="AS343" s="710"/>
      <c r="AT343" s="710"/>
      <c r="AU343" s="710"/>
      <c r="AV343" s="710"/>
      <c r="AW343" s="710"/>
      <c r="AX343" s="710"/>
      <c r="AY343" s="427"/>
    </row>
    <row r="344" spans="1:51" ht="27.75" customHeight="1" x14ac:dyDescent="0.25">
      <c r="A344" s="829"/>
      <c r="B344" s="710"/>
      <c r="C344" s="710"/>
      <c r="D344" s="408" t="s">
        <v>347</v>
      </c>
      <c r="E344" s="179"/>
      <c r="F344" s="180"/>
      <c r="G344" s="174"/>
      <c r="H344" s="174"/>
      <c r="I344" s="174">
        <v>142</v>
      </c>
      <c r="J344" s="410">
        <v>142</v>
      </c>
      <c r="K344" s="409"/>
      <c r="L344" s="410"/>
      <c r="M344" s="410"/>
      <c r="N344" s="410"/>
      <c r="O344" s="410"/>
      <c r="P344" s="410">
        <v>300</v>
      </c>
      <c r="Q344" s="410">
        <v>300</v>
      </c>
      <c r="R344" s="416">
        <v>390</v>
      </c>
      <c r="S344" s="411"/>
      <c r="T344" s="167"/>
      <c r="U344" s="167"/>
      <c r="V344" s="174">
        <v>142</v>
      </c>
      <c r="W344" s="410">
        <v>142</v>
      </c>
      <c r="X344" s="411"/>
      <c r="Y344" s="411"/>
      <c r="Z344" s="411"/>
      <c r="AA344" s="433"/>
      <c r="AB344" s="419"/>
      <c r="AC344" s="409">
        <v>300</v>
      </c>
      <c r="AD344" s="409">
        <v>300</v>
      </c>
      <c r="AE344" s="420">
        <v>390</v>
      </c>
      <c r="AF344" s="710"/>
      <c r="AG344" s="829"/>
      <c r="AH344" s="710"/>
      <c r="AI344" s="710"/>
      <c r="AJ344" s="710"/>
      <c r="AK344" s="710"/>
      <c r="AL344" s="710"/>
      <c r="AM344" s="710"/>
      <c r="AN344" s="710"/>
      <c r="AO344" s="710"/>
      <c r="AP344" s="710"/>
      <c r="AQ344" s="710"/>
      <c r="AR344" s="710"/>
      <c r="AS344" s="710"/>
      <c r="AT344" s="710"/>
      <c r="AU344" s="710"/>
      <c r="AV344" s="710"/>
      <c r="AW344" s="710"/>
      <c r="AX344" s="710"/>
      <c r="AY344" s="427"/>
    </row>
    <row r="345" spans="1:51" ht="27.75" customHeight="1" x14ac:dyDescent="0.25">
      <c r="A345" s="829"/>
      <c r="B345" s="710"/>
      <c r="C345" s="731"/>
      <c r="D345" s="412" t="s">
        <v>348</v>
      </c>
      <c r="E345" s="179"/>
      <c r="F345" s="180"/>
      <c r="G345" s="174"/>
      <c r="H345" s="174"/>
      <c r="I345" s="174" t="e">
        <f>+I344*$I$299/$I$298</f>
        <v>#REF!</v>
      </c>
      <c r="J345" s="410" t="e">
        <f>+J344*$J$299/$J$298</f>
        <v>#REF!</v>
      </c>
      <c r="K345" s="409"/>
      <c r="L345" s="410"/>
      <c r="M345" s="410"/>
      <c r="N345" s="410"/>
      <c r="O345" s="410"/>
      <c r="P345" s="410" t="e">
        <f>+P344*$P$299/$P$298</f>
        <v>#VALUE!</v>
      </c>
      <c r="Q345" s="410" t="e">
        <f>+Q344*$Q$299/$Q$298</f>
        <v>#VALUE!</v>
      </c>
      <c r="R345" s="410" t="e">
        <f>+R344*$R$299/$R$298</f>
        <v>#VALUE!</v>
      </c>
      <c r="S345" s="411"/>
      <c r="T345" s="167"/>
      <c r="U345" s="174"/>
      <c r="V345" s="174" t="e">
        <f>+V344*$V$299/$V$298</f>
        <v>#REF!</v>
      </c>
      <c r="W345" s="410" t="e">
        <f>+W344*$W$299/$W$298</f>
        <v>#REF!</v>
      </c>
      <c r="X345" s="411"/>
      <c r="Y345" s="411"/>
      <c r="Z345" s="411"/>
      <c r="AA345" s="433"/>
      <c r="AB345" s="419"/>
      <c r="AC345" s="409" t="e">
        <f>+AC344*$AC$299/$AC$298</f>
        <v>#VALUE!</v>
      </c>
      <c r="AD345" s="409" t="e">
        <f>+AD344*$AD$299/$AD$298</f>
        <v>#VALUE!</v>
      </c>
      <c r="AE345" s="409" t="e">
        <f>+AE344*$AE$299/$AE$298</f>
        <v>#VALUE!</v>
      </c>
      <c r="AF345" s="731"/>
      <c r="AG345" s="823"/>
      <c r="AH345" s="731"/>
      <c r="AI345" s="731"/>
      <c r="AJ345" s="731"/>
      <c r="AK345" s="731"/>
      <c r="AL345" s="731"/>
      <c r="AM345" s="731"/>
      <c r="AN345" s="731"/>
      <c r="AO345" s="731"/>
      <c r="AP345" s="731"/>
      <c r="AQ345" s="731"/>
      <c r="AR345" s="731"/>
      <c r="AS345" s="731"/>
      <c r="AT345" s="731"/>
      <c r="AU345" s="731"/>
      <c r="AV345" s="731"/>
      <c r="AW345" s="731"/>
      <c r="AX345" s="731"/>
      <c r="AY345" s="427"/>
    </row>
    <row r="346" spans="1:51" ht="18.75" customHeight="1" x14ac:dyDescent="0.25">
      <c r="A346" s="829"/>
      <c r="B346" s="710"/>
      <c r="C346" s="818" t="s">
        <v>1300</v>
      </c>
      <c r="D346" s="413" t="s">
        <v>340</v>
      </c>
      <c r="E346" s="179"/>
      <c r="F346" s="180"/>
      <c r="G346" s="174">
        <v>40</v>
      </c>
      <c r="H346" s="174">
        <v>40</v>
      </c>
      <c r="I346" s="174">
        <v>40</v>
      </c>
      <c r="J346" s="410">
        <v>40</v>
      </c>
      <c r="K346" s="429">
        <v>40</v>
      </c>
      <c r="L346" s="410"/>
      <c r="M346" s="410"/>
      <c r="N346" s="410"/>
      <c r="O346" s="410"/>
      <c r="P346" s="410">
        <v>300</v>
      </c>
      <c r="Q346" s="410">
        <v>300</v>
      </c>
      <c r="R346" s="416">
        <v>390</v>
      </c>
      <c r="S346" s="411"/>
      <c r="T346" s="167">
        <v>40</v>
      </c>
      <c r="U346" s="167">
        <v>40</v>
      </c>
      <c r="V346" s="167">
        <v>40</v>
      </c>
      <c r="W346" s="415">
        <v>40</v>
      </c>
      <c r="X346" s="430">
        <v>40</v>
      </c>
      <c r="Y346" s="411"/>
      <c r="Z346" s="411"/>
      <c r="AA346" s="433"/>
      <c r="AB346" s="419"/>
      <c r="AC346" s="409">
        <v>300</v>
      </c>
      <c r="AD346" s="409">
        <v>300</v>
      </c>
      <c r="AE346" s="420">
        <v>390</v>
      </c>
      <c r="AF346" s="916" t="s">
        <v>1301</v>
      </c>
      <c r="AG346" s="913" t="s">
        <v>543</v>
      </c>
      <c r="AH346" s="813" t="s">
        <v>1302</v>
      </c>
      <c r="AI346" s="813" t="s">
        <v>1303</v>
      </c>
      <c r="AJ346" s="914" t="s">
        <v>1283</v>
      </c>
      <c r="AK346" s="813" t="s">
        <v>457</v>
      </c>
      <c r="AL346" s="813" t="s">
        <v>178</v>
      </c>
      <c r="AM346" s="813" t="s">
        <v>1275</v>
      </c>
      <c r="AN346" s="909">
        <v>254469</v>
      </c>
      <c r="AO346" s="910">
        <v>120116</v>
      </c>
      <c r="AP346" s="910">
        <v>134352</v>
      </c>
      <c r="AQ346" s="911" t="s">
        <v>459</v>
      </c>
      <c r="AR346" s="911" t="s">
        <v>459</v>
      </c>
      <c r="AS346" s="911" t="s">
        <v>459</v>
      </c>
      <c r="AT346" s="911" t="s">
        <v>459</v>
      </c>
      <c r="AU346" s="915" t="s">
        <v>459</v>
      </c>
      <c r="AV346" s="915" t="s">
        <v>459</v>
      </c>
      <c r="AW346" s="915" t="s">
        <v>459</v>
      </c>
      <c r="AX346" s="910">
        <v>254469</v>
      </c>
      <c r="AY346" s="427"/>
    </row>
    <row r="347" spans="1:51" ht="18.75" customHeight="1" x14ac:dyDescent="0.25">
      <c r="A347" s="829"/>
      <c r="B347" s="710"/>
      <c r="C347" s="710"/>
      <c r="D347" s="404" t="s">
        <v>343</v>
      </c>
      <c r="E347" s="179"/>
      <c r="F347" s="180"/>
      <c r="G347" s="174">
        <f>+G346*$G$299/$G$298</f>
        <v>391828.57142857142</v>
      </c>
      <c r="H347" s="174">
        <f>+H346*$H$299/$H$298</f>
        <v>391828.57142857142</v>
      </c>
      <c r="I347" s="174" t="e">
        <f>+I346*$I$299/$I$298</f>
        <v>#REF!</v>
      </c>
      <c r="J347" s="410" t="e">
        <f>+J346*$J$299/$J$298</f>
        <v>#REF!</v>
      </c>
      <c r="K347" s="409"/>
      <c r="L347" s="410"/>
      <c r="M347" s="410"/>
      <c r="N347" s="410"/>
      <c r="O347" s="410"/>
      <c r="P347" s="410" t="e">
        <f>+P346*$P$299/$P$298</f>
        <v>#VALUE!</v>
      </c>
      <c r="Q347" s="410" t="e">
        <f>+Q346*$Q$299/$Q$298</f>
        <v>#VALUE!</v>
      </c>
      <c r="R347" s="410" t="e">
        <f>+R346*$R$299/$R$298</f>
        <v>#VALUE!</v>
      </c>
      <c r="S347" s="411"/>
      <c r="T347" s="167"/>
      <c r="U347" s="174">
        <f>+U346*$U$299/$U$298</f>
        <v>1989031.0786106032</v>
      </c>
      <c r="V347" s="174" t="e">
        <f>+V346*$V$299/$V$298</f>
        <v>#REF!</v>
      </c>
      <c r="W347" s="410" t="e">
        <f>+W346*$W$299/$W$298</f>
        <v>#REF!</v>
      </c>
      <c r="X347" s="411"/>
      <c r="Y347" s="411"/>
      <c r="Z347" s="411"/>
      <c r="AA347" s="433"/>
      <c r="AB347" s="419"/>
      <c r="AC347" s="409" t="e">
        <f>+AC346*$AC$299/$AC$298</f>
        <v>#VALUE!</v>
      </c>
      <c r="AD347" s="409" t="e">
        <f>+AD346*$AD$299/$AD$298</f>
        <v>#VALUE!</v>
      </c>
      <c r="AE347" s="409" t="e">
        <f>+AE346*$AE$299/$AE$298</f>
        <v>#VALUE!</v>
      </c>
      <c r="AF347" s="710"/>
      <c r="AG347" s="829"/>
      <c r="AH347" s="710"/>
      <c r="AI347" s="710"/>
      <c r="AJ347" s="710"/>
      <c r="AK347" s="710"/>
      <c r="AL347" s="710"/>
      <c r="AM347" s="710"/>
      <c r="AN347" s="710"/>
      <c r="AO347" s="710"/>
      <c r="AP347" s="710"/>
      <c r="AQ347" s="710"/>
      <c r="AR347" s="710"/>
      <c r="AS347" s="710"/>
      <c r="AT347" s="710"/>
      <c r="AU347" s="710"/>
      <c r="AV347" s="710"/>
      <c r="AW347" s="710"/>
      <c r="AX347" s="710"/>
      <c r="AY347" s="427"/>
    </row>
    <row r="348" spans="1:51" ht="27.75" customHeight="1" x14ac:dyDescent="0.25">
      <c r="A348" s="829"/>
      <c r="B348" s="710"/>
      <c r="C348" s="710"/>
      <c r="D348" s="408" t="s">
        <v>345</v>
      </c>
      <c r="E348" s="179"/>
      <c r="F348" s="180"/>
      <c r="G348" s="174"/>
      <c r="H348" s="174"/>
      <c r="I348" s="174"/>
      <c r="J348" s="410"/>
      <c r="K348" s="409"/>
      <c r="L348" s="410"/>
      <c r="M348" s="410"/>
      <c r="N348" s="410"/>
      <c r="O348" s="410"/>
      <c r="P348" s="410"/>
      <c r="Q348" s="410"/>
      <c r="R348" s="416"/>
      <c r="S348" s="411"/>
      <c r="T348" s="167"/>
      <c r="U348" s="167"/>
      <c r="V348" s="167"/>
      <c r="W348" s="415"/>
      <c r="X348" s="411"/>
      <c r="Y348" s="411"/>
      <c r="Z348" s="411"/>
      <c r="AA348" s="433"/>
      <c r="AB348" s="419"/>
      <c r="AC348" s="409"/>
      <c r="AD348" s="409"/>
      <c r="AE348" s="420"/>
      <c r="AF348" s="710"/>
      <c r="AG348" s="829"/>
      <c r="AH348" s="710"/>
      <c r="AI348" s="710"/>
      <c r="AJ348" s="710"/>
      <c r="AK348" s="710"/>
      <c r="AL348" s="710"/>
      <c r="AM348" s="710"/>
      <c r="AN348" s="710"/>
      <c r="AO348" s="710"/>
      <c r="AP348" s="710"/>
      <c r="AQ348" s="710"/>
      <c r="AR348" s="710"/>
      <c r="AS348" s="710"/>
      <c r="AT348" s="710"/>
      <c r="AU348" s="710"/>
      <c r="AV348" s="710"/>
      <c r="AW348" s="710"/>
      <c r="AX348" s="710"/>
      <c r="AY348" s="427"/>
    </row>
    <row r="349" spans="1:51" ht="27.75" customHeight="1" x14ac:dyDescent="0.25">
      <c r="A349" s="829"/>
      <c r="B349" s="710"/>
      <c r="C349" s="710"/>
      <c r="D349" s="404" t="s">
        <v>346</v>
      </c>
      <c r="E349" s="179"/>
      <c r="F349" s="180"/>
      <c r="G349" s="174"/>
      <c r="H349" s="174"/>
      <c r="I349" s="174"/>
      <c r="J349" s="410"/>
      <c r="K349" s="409"/>
      <c r="L349" s="410"/>
      <c r="M349" s="410"/>
      <c r="N349" s="410"/>
      <c r="O349" s="410"/>
      <c r="P349" s="410"/>
      <c r="Q349" s="410"/>
      <c r="R349" s="416"/>
      <c r="S349" s="411"/>
      <c r="T349" s="174">
        <f>+T346*$T$301/$T$298</f>
        <v>604617.88617886184</v>
      </c>
      <c r="U349" s="174">
        <f>+U346*$T$301/$T$298</f>
        <v>604617.88617886184</v>
      </c>
      <c r="V349" s="167"/>
      <c r="W349" s="415"/>
      <c r="X349" s="411"/>
      <c r="Y349" s="411"/>
      <c r="Z349" s="411"/>
      <c r="AA349" s="433"/>
      <c r="AB349" s="419"/>
      <c r="AC349" s="409"/>
      <c r="AD349" s="409"/>
      <c r="AE349" s="420"/>
      <c r="AF349" s="710"/>
      <c r="AG349" s="829"/>
      <c r="AH349" s="710"/>
      <c r="AI349" s="710"/>
      <c r="AJ349" s="710"/>
      <c r="AK349" s="710"/>
      <c r="AL349" s="710"/>
      <c r="AM349" s="710"/>
      <c r="AN349" s="710"/>
      <c r="AO349" s="710"/>
      <c r="AP349" s="710"/>
      <c r="AQ349" s="710"/>
      <c r="AR349" s="710"/>
      <c r="AS349" s="710"/>
      <c r="AT349" s="710"/>
      <c r="AU349" s="710"/>
      <c r="AV349" s="710"/>
      <c r="AW349" s="710"/>
      <c r="AX349" s="710"/>
      <c r="AY349" s="427"/>
    </row>
    <row r="350" spans="1:51" ht="27.75" customHeight="1" x14ac:dyDescent="0.25">
      <c r="A350" s="829"/>
      <c r="B350" s="710"/>
      <c r="C350" s="710"/>
      <c r="D350" s="408" t="s">
        <v>347</v>
      </c>
      <c r="E350" s="179"/>
      <c r="F350" s="180"/>
      <c r="G350" s="174">
        <v>40</v>
      </c>
      <c r="H350" s="174">
        <v>40</v>
      </c>
      <c r="I350" s="174">
        <v>40</v>
      </c>
      <c r="J350" s="410">
        <v>40</v>
      </c>
      <c r="K350" s="409"/>
      <c r="L350" s="410"/>
      <c r="M350" s="410"/>
      <c r="N350" s="410"/>
      <c r="O350" s="410"/>
      <c r="P350" s="410">
        <v>300</v>
      </c>
      <c r="Q350" s="410">
        <v>300</v>
      </c>
      <c r="R350" s="416">
        <v>390</v>
      </c>
      <c r="S350" s="411"/>
      <c r="T350" s="167">
        <v>40</v>
      </c>
      <c r="U350" s="167">
        <v>40</v>
      </c>
      <c r="V350" s="174">
        <v>40</v>
      </c>
      <c r="W350" s="410">
        <v>40</v>
      </c>
      <c r="X350" s="411"/>
      <c r="Y350" s="411"/>
      <c r="Z350" s="411"/>
      <c r="AA350" s="433"/>
      <c r="AB350" s="419"/>
      <c r="AC350" s="409">
        <v>300</v>
      </c>
      <c r="AD350" s="409">
        <v>300</v>
      </c>
      <c r="AE350" s="420">
        <v>390</v>
      </c>
      <c r="AF350" s="710"/>
      <c r="AG350" s="829"/>
      <c r="AH350" s="710"/>
      <c r="AI350" s="710"/>
      <c r="AJ350" s="710"/>
      <c r="AK350" s="710"/>
      <c r="AL350" s="710"/>
      <c r="AM350" s="710"/>
      <c r="AN350" s="710"/>
      <c r="AO350" s="710"/>
      <c r="AP350" s="710"/>
      <c r="AQ350" s="710"/>
      <c r="AR350" s="710"/>
      <c r="AS350" s="710"/>
      <c r="AT350" s="710"/>
      <c r="AU350" s="710"/>
      <c r="AV350" s="710"/>
      <c r="AW350" s="710"/>
      <c r="AX350" s="710"/>
      <c r="AY350" s="427"/>
    </row>
    <row r="351" spans="1:51" ht="27.75" customHeight="1" x14ac:dyDescent="0.25">
      <c r="A351" s="829"/>
      <c r="B351" s="710"/>
      <c r="C351" s="731"/>
      <c r="D351" s="412" t="s">
        <v>348</v>
      </c>
      <c r="E351" s="179"/>
      <c r="F351" s="180"/>
      <c r="G351" s="174">
        <f>+G350*$G$299/$G$298</f>
        <v>391828.57142857142</v>
      </c>
      <c r="H351" s="174">
        <f>+H350*$H$299/$H$298</f>
        <v>391828.57142857142</v>
      </c>
      <c r="I351" s="174" t="e">
        <f>+I350*$I$299/$I$298</f>
        <v>#REF!</v>
      </c>
      <c r="J351" s="410" t="e">
        <f>+J350*$J$299/$J$298</f>
        <v>#REF!</v>
      </c>
      <c r="K351" s="409"/>
      <c r="L351" s="410"/>
      <c r="M351" s="410"/>
      <c r="N351" s="410"/>
      <c r="O351" s="410"/>
      <c r="P351" s="410" t="e">
        <f>+P350*$P$299/$P$298</f>
        <v>#VALUE!</v>
      </c>
      <c r="Q351" s="410" t="e">
        <f>+Q350*$Q$299/$Q$298</f>
        <v>#VALUE!</v>
      </c>
      <c r="R351" s="410" t="e">
        <f>+R350*$R$299/$R$298</f>
        <v>#VALUE!</v>
      </c>
      <c r="S351" s="411"/>
      <c r="T351" s="167"/>
      <c r="U351" s="174">
        <f>+U350*$U$299/$U$298</f>
        <v>1989031.0786106032</v>
      </c>
      <c r="V351" s="174" t="e">
        <f>+V350*$V$299/$V$298</f>
        <v>#REF!</v>
      </c>
      <c r="W351" s="410" t="e">
        <f>+W350*$W$299/$W$298</f>
        <v>#REF!</v>
      </c>
      <c r="X351" s="411"/>
      <c r="Y351" s="411"/>
      <c r="Z351" s="411"/>
      <c r="AA351" s="433"/>
      <c r="AB351" s="419"/>
      <c r="AC351" s="409" t="e">
        <f>+AC350*$AC$299/$AC$298</f>
        <v>#VALUE!</v>
      </c>
      <c r="AD351" s="409" t="e">
        <f>+AD350*$AD$299/$AD$298</f>
        <v>#VALUE!</v>
      </c>
      <c r="AE351" s="409" t="e">
        <f>+AE350*$AE$299/$AE$298</f>
        <v>#VALUE!</v>
      </c>
      <c r="AF351" s="731"/>
      <c r="AG351" s="823"/>
      <c r="AH351" s="731"/>
      <c r="AI351" s="731"/>
      <c r="AJ351" s="731"/>
      <c r="AK351" s="731"/>
      <c r="AL351" s="731"/>
      <c r="AM351" s="731"/>
      <c r="AN351" s="731"/>
      <c r="AO351" s="731"/>
      <c r="AP351" s="731"/>
      <c r="AQ351" s="731"/>
      <c r="AR351" s="731"/>
      <c r="AS351" s="731"/>
      <c r="AT351" s="731"/>
      <c r="AU351" s="731"/>
      <c r="AV351" s="731"/>
      <c r="AW351" s="731"/>
      <c r="AX351" s="731"/>
      <c r="AY351" s="427"/>
    </row>
    <row r="352" spans="1:51" ht="18.75" customHeight="1" x14ac:dyDescent="0.25">
      <c r="A352" s="829"/>
      <c r="B352" s="710"/>
      <c r="C352" s="914" t="s">
        <v>1304</v>
      </c>
      <c r="D352" s="413" t="s">
        <v>340</v>
      </c>
      <c r="E352" s="179"/>
      <c r="F352" s="180"/>
      <c r="G352" s="174"/>
      <c r="H352" s="174">
        <v>85</v>
      </c>
      <c r="I352" s="174">
        <v>85</v>
      </c>
      <c r="J352" s="410">
        <v>85</v>
      </c>
      <c r="K352" s="414">
        <v>85</v>
      </c>
      <c r="L352" s="410"/>
      <c r="M352" s="410"/>
      <c r="N352" s="410"/>
      <c r="O352" s="410"/>
      <c r="P352" s="410"/>
      <c r="Q352" s="410"/>
      <c r="R352" s="416"/>
      <c r="S352" s="411"/>
      <c r="T352" s="167"/>
      <c r="U352" s="167">
        <v>85</v>
      </c>
      <c r="V352" s="167">
        <v>85</v>
      </c>
      <c r="W352" s="415">
        <v>85</v>
      </c>
      <c r="X352" s="418">
        <v>85</v>
      </c>
      <c r="Y352" s="411"/>
      <c r="Z352" s="411"/>
      <c r="AA352" s="433"/>
      <c r="AB352" s="419"/>
      <c r="AC352" s="401"/>
      <c r="AD352" s="409"/>
      <c r="AE352" s="420"/>
      <c r="AF352" s="916" t="s">
        <v>1305</v>
      </c>
      <c r="AG352" s="913" t="s">
        <v>1306</v>
      </c>
      <c r="AH352" s="813" t="s">
        <v>1307</v>
      </c>
      <c r="AI352" s="813" t="s">
        <v>1308</v>
      </c>
      <c r="AJ352" s="914" t="s">
        <v>1283</v>
      </c>
      <c r="AK352" s="813" t="s">
        <v>457</v>
      </c>
      <c r="AL352" s="813" t="s">
        <v>178</v>
      </c>
      <c r="AM352" s="813" t="s">
        <v>1275</v>
      </c>
      <c r="AN352" s="909">
        <v>107788</v>
      </c>
      <c r="AO352" s="910">
        <v>53687</v>
      </c>
      <c r="AP352" s="910">
        <v>54100</v>
      </c>
      <c r="AQ352" s="911" t="s">
        <v>459</v>
      </c>
      <c r="AR352" s="911" t="s">
        <v>459</v>
      </c>
      <c r="AS352" s="911" t="s">
        <v>459</v>
      </c>
      <c r="AT352" s="911" t="s">
        <v>459</v>
      </c>
      <c r="AU352" s="915" t="s">
        <v>459</v>
      </c>
      <c r="AV352" s="915" t="s">
        <v>459</v>
      </c>
      <c r="AW352" s="915" t="s">
        <v>459</v>
      </c>
      <c r="AX352" s="910">
        <v>107788</v>
      </c>
      <c r="AY352" s="427"/>
    </row>
    <row r="353" spans="1:51" ht="18.75" customHeight="1" x14ac:dyDescent="0.25">
      <c r="A353" s="829"/>
      <c r="B353" s="710"/>
      <c r="C353" s="710"/>
      <c r="D353" s="404" t="s">
        <v>343</v>
      </c>
      <c r="E353" s="179"/>
      <c r="F353" s="180"/>
      <c r="G353" s="174"/>
      <c r="H353" s="174">
        <f>+H352*$H$299/$H$298</f>
        <v>832635.71428571432</v>
      </c>
      <c r="I353" s="174" t="e">
        <f>+I352*$I$299/$I$298</f>
        <v>#REF!</v>
      </c>
      <c r="J353" s="410" t="e">
        <f>+J352*$J$299/$J$298</f>
        <v>#REF!</v>
      </c>
      <c r="K353" s="409"/>
      <c r="L353" s="410"/>
      <c r="M353" s="410"/>
      <c r="N353" s="410"/>
      <c r="O353" s="410"/>
      <c r="P353" s="410"/>
      <c r="Q353" s="410"/>
      <c r="R353" s="416"/>
      <c r="S353" s="411"/>
      <c r="T353" s="167"/>
      <c r="U353" s="174">
        <f>+U352*$U$299/$U$298</f>
        <v>4226691.0420475323</v>
      </c>
      <c r="V353" s="174" t="e">
        <f>+V352*$V$299/$V$298</f>
        <v>#REF!</v>
      </c>
      <c r="W353" s="410" t="e">
        <f>+W352*$W$299/$W$298</f>
        <v>#REF!</v>
      </c>
      <c r="X353" s="411"/>
      <c r="Y353" s="411"/>
      <c r="Z353" s="411"/>
      <c r="AA353" s="433"/>
      <c r="AB353" s="419"/>
      <c r="AC353" s="401"/>
      <c r="AD353" s="409"/>
      <c r="AE353" s="420"/>
      <c r="AF353" s="710"/>
      <c r="AG353" s="829"/>
      <c r="AH353" s="710"/>
      <c r="AI353" s="710"/>
      <c r="AJ353" s="710"/>
      <c r="AK353" s="710"/>
      <c r="AL353" s="710"/>
      <c r="AM353" s="710"/>
      <c r="AN353" s="710"/>
      <c r="AO353" s="710"/>
      <c r="AP353" s="710"/>
      <c r="AQ353" s="710"/>
      <c r="AR353" s="710"/>
      <c r="AS353" s="710"/>
      <c r="AT353" s="710"/>
      <c r="AU353" s="710"/>
      <c r="AV353" s="710"/>
      <c r="AW353" s="710"/>
      <c r="AX353" s="710"/>
      <c r="AY353" s="427"/>
    </row>
    <row r="354" spans="1:51" ht="27.75" customHeight="1" x14ac:dyDescent="0.25">
      <c r="A354" s="829"/>
      <c r="B354" s="710"/>
      <c r="C354" s="710"/>
      <c r="D354" s="408" t="s">
        <v>345</v>
      </c>
      <c r="E354" s="179"/>
      <c r="F354" s="180"/>
      <c r="G354" s="174"/>
      <c r="H354" s="174"/>
      <c r="I354" s="174"/>
      <c r="J354" s="410"/>
      <c r="K354" s="409"/>
      <c r="L354" s="410"/>
      <c r="M354" s="410"/>
      <c r="N354" s="410"/>
      <c r="O354" s="410"/>
      <c r="P354" s="410"/>
      <c r="Q354" s="410"/>
      <c r="R354" s="416"/>
      <c r="S354" s="411"/>
      <c r="T354" s="167"/>
      <c r="U354" s="167"/>
      <c r="V354" s="167"/>
      <c r="W354" s="415"/>
      <c r="X354" s="411"/>
      <c r="Y354" s="411"/>
      <c r="Z354" s="411"/>
      <c r="AA354" s="433"/>
      <c r="AB354" s="419"/>
      <c r="AC354" s="401"/>
      <c r="AD354" s="409"/>
      <c r="AE354" s="420"/>
      <c r="AF354" s="710"/>
      <c r="AG354" s="829"/>
      <c r="AH354" s="710"/>
      <c r="AI354" s="710"/>
      <c r="AJ354" s="710"/>
      <c r="AK354" s="710"/>
      <c r="AL354" s="710"/>
      <c r="AM354" s="710"/>
      <c r="AN354" s="710"/>
      <c r="AO354" s="710"/>
      <c r="AP354" s="710"/>
      <c r="AQ354" s="710"/>
      <c r="AR354" s="710"/>
      <c r="AS354" s="710"/>
      <c r="AT354" s="710"/>
      <c r="AU354" s="710"/>
      <c r="AV354" s="710"/>
      <c r="AW354" s="710"/>
      <c r="AX354" s="710"/>
      <c r="AY354" s="427"/>
    </row>
    <row r="355" spans="1:51" ht="27.75" customHeight="1" x14ac:dyDescent="0.25">
      <c r="A355" s="829"/>
      <c r="B355" s="710"/>
      <c r="C355" s="710"/>
      <c r="D355" s="404" t="s">
        <v>346</v>
      </c>
      <c r="E355" s="179"/>
      <c r="F355" s="180"/>
      <c r="G355" s="174"/>
      <c r="H355" s="174"/>
      <c r="I355" s="174"/>
      <c r="J355" s="410"/>
      <c r="K355" s="409"/>
      <c r="L355" s="410"/>
      <c r="M355" s="410"/>
      <c r="N355" s="410"/>
      <c r="O355" s="410"/>
      <c r="P355" s="410"/>
      <c r="Q355" s="410"/>
      <c r="R355" s="416"/>
      <c r="S355" s="411"/>
      <c r="T355" s="167"/>
      <c r="U355" s="167"/>
      <c r="V355" s="167"/>
      <c r="W355" s="415"/>
      <c r="X355" s="411"/>
      <c r="Y355" s="411"/>
      <c r="Z355" s="411"/>
      <c r="AA355" s="433"/>
      <c r="AB355" s="419"/>
      <c r="AC355" s="401"/>
      <c r="AD355" s="409"/>
      <c r="AE355" s="420"/>
      <c r="AF355" s="710"/>
      <c r="AG355" s="829"/>
      <c r="AH355" s="710"/>
      <c r="AI355" s="710"/>
      <c r="AJ355" s="710"/>
      <c r="AK355" s="710"/>
      <c r="AL355" s="710"/>
      <c r="AM355" s="710"/>
      <c r="AN355" s="710"/>
      <c r="AO355" s="710"/>
      <c r="AP355" s="710"/>
      <c r="AQ355" s="710"/>
      <c r="AR355" s="710"/>
      <c r="AS355" s="710"/>
      <c r="AT355" s="710"/>
      <c r="AU355" s="710"/>
      <c r="AV355" s="710"/>
      <c r="AW355" s="710"/>
      <c r="AX355" s="710"/>
      <c r="AY355" s="427"/>
    </row>
    <row r="356" spans="1:51" ht="27.75" customHeight="1" x14ac:dyDescent="0.25">
      <c r="A356" s="829"/>
      <c r="B356" s="710"/>
      <c r="C356" s="710"/>
      <c r="D356" s="408" t="s">
        <v>347</v>
      </c>
      <c r="E356" s="179"/>
      <c r="F356" s="180"/>
      <c r="G356" s="174"/>
      <c r="H356" s="174">
        <v>85</v>
      </c>
      <c r="I356" s="174">
        <v>85</v>
      </c>
      <c r="J356" s="410">
        <v>85</v>
      </c>
      <c r="K356" s="409"/>
      <c r="L356" s="410"/>
      <c r="M356" s="410"/>
      <c r="N356" s="410"/>
      <c r="O356" s="410"/>
      <c r="P356" s="410"/>
      <c r="Q356" s="410"/>
      <c r="R356" s="416"/>
      <c r="S356" s="411"/>
      <c r="T356" s="167"/>
      <c r="U356" s="167">
        <v>85</v>
      </c>
      <c r="V356" s="174">
        <v>85</v>
      </c>
      <c r="W356" s="410">
        <v>85</v>
      </c>
      <c r="X356" s="411"/>
      <c r="Y356" s="411"/>
      <c r="Z356" s="411"/>
      <c r="AA356" s="433"/>
      <c r="AB356" s="419"/>
      <c r="AC356" s="401"/>
      <c r="AD356" s="409"/>
      <c r="AE356" s="420"/>
      <c r="AF356" s="710"/>
      <c r="AG356" s="829"/>
      <c r="AH356" s="710"/>
      <c r="AI356" s="710"/>
      <c r="AJ356" s="710"/>
      <c r="AK356" s="710"/>
      <c r="AL356" s="710"/>
      <c r="AM356" s="710"/>
      <c r="AN356" s="710"/>
      <c r="AO356" s="710"/>
      <c r="AP356" s="710"/>
      <c r="AQ356" s="710"/>
      <c r="AR356" s="710"/>
      <c r="AS356" s="710"/>
      <c r="AT356" s="710"/>
      <c r="AU356" s="710"/>
      <c r="AV356" s="710"/>
      <c r="AW356" s="710"/>
      <c r="AX356" s="710"/>
      <c r="AY356" s="427"/>
    </row>
    <row r="357" spans="1:51" ht="27.75" customHeight="1" x14ac:dyDescent="0.25">
      <c r="A357" s="829"/>
      <c r="B357" s="710"/>
      <c r="C357" s="731"/>
      <c r="D357" s="412" t="s">
        <v>348</v>
      </c>
      <c r="E357" s="179"/>
      <c r="F357" s="180"/>
      <c r="G357" s="174"/>
      <c r="H357" s="174">
        <f>+H356*$H$299/$H$298</f>
        <v>832635.71428571432</v>
      </c>
      <c r="I357" s="174" t="e">
        <f>+I356*$I$299/$I$298</f>
        <v>#REF!</v>
      </c>
      <c r="J357" s="410" t="e">
        <f>+J356*$J$299/$J$298</f>
        <v>#REF!</v>
      </c>
      <c r="K357" s="409"/>
      <c r="L357" s="410"/>
      <c r="M357" s="410"/>
      <c r="N357" s="410"/>
      <c r="O357" s="410"/>
      <c r="P357" s="410"/>
      <c r="Q357" s="410"/>
      <c r="R357" s="416"/>
      <c r="S357" s="411"/>
      <c r="T357" s="167"/>
      <c r="U357" s="174">
        <f>+U356*$U$299/$U$298</f>
        <v>4226691.0420475323</v>
      </c>
      <c r="V357" s="174" t="e">
        <f>+V356*$V$299/$V$298</f>
        <v>#REF!</v>
      </c>
      <c r="W357" s="410" t="e">
        <f>+W356*$W$299/$W$298</f>
        <v>#REF!</v>
      </c>
      <c r="X357" s="411"/>
      <c r="Y357" s="411"/>
      <c r="Z357" s="411"/>
      <c r="AA357" s="433"/>
      <c r="AB357" s="419"/>
      <c r="AC357" s="401"/>
      <c r="AD357" s="409"/>
      <c r="AE357" s="420"/>
      <c r="AF357" s="731"/>
      <c r="AG357" s="823"/>
      <c r="AH357" s="731"/>
      <c r="AI357" s="731"/>
      <c r="AJ357" s="731"/>
      <c r="AK357" s="731"/>
      <c r="AL357" s="731"/>
      <c r="AM357" s="731"/>
      <c r="AN357" s="731"/>
      <c r="AO357" s="731"/>
      <c r="AP357" s="731"/>
      <c r="AQ357" s="731"/>
      <c r="AR357" s="731"/>
      <c r="AS357" s="731"/>
      <c r="AT357" s="731"/>
      <c r="AU357" s="731"/>
      <c r="AV357" s="731"/>
      <c r="AW357" s="731"/>
      <c r="AX357" s="731"/>
      <c r="AY357" s="427"/>
    </row>
    <row r="358" spans="1:51" ht="18.75" hidden="1" customHeight="1" x14ac:dyDescent="0.25">
      <c r="A358" s="829"/>
      <c r="B358" s="710"/>
      <c r="C358" s="818" t="s">
        <v>682</v>
      </c>
      <c r="D358" s="413" t="s">
        <v>340</v>
      </c>
      <c r="E358" s="179"/>
      <c r="F358" s="180"/>
      <c r="G358" s="174"/>
      <c r="H358" s="174"/>
      <c r="I358" s="174"/>
      <c r="J358" s="410"/>
      <c r="K358" s="409"/>
      <c r="L358" s="410"/>
      <c r="M358" s="410"/>
      <c r="N358" s="410"/>
      <c r="O358" s="410"/>
      <c r="P358" s="410"/>
      <c r="Q358" s="410"/>
      <c r="R358" s="416"/>
      <c r="S358" s="411"/>
      <c r="T358" s="167"/>
      <c r="U358" s="167"/>
      <c r="V358" s="167"/>
      <c r="W358" s="415"/>
      <c r="X358" s="411"/>
      <c r="Y358" s="411"/>
      <c r="Z358" s="411"/>
      <c r="AA358" s="433"/>
      <c r="AB358" s="419"/>
      <c r="AC358" s="401"/>
      <c r="AD358" s="409"/>
      <c r="AE358" s="420"/>
      <c r="AF358" s="426"/>
      <c r="AG358" s="913" t="s">
        <v>682</v>
      </c>
      <c r="AH358" s="813" t="s">
        <v>633</v>
      </c>
      <c r="AI358" s="813" t="s">
        <v>633</v>
      </c>
      <c r="AJ358" s="914" t="s">
        <v>1283</v>
      </c>
      <c r="AK358" s="813" t="s">
        <v>457</v>
      </c>
      <c r="AL358" s="813" t="s">
        <v>178</v>
      </c>
      <c r="AM358" s="813" t="s">
        <v>1275</v>
      </c>
      <c r="AN358" s="909">
        <v>22438</v>
      </c>
      <c r="AO358" s="910">
        <v>181364</v>
      </c>
      <c r="AP358" s="910">
        <v>191238</v>
      </c>
      <c r="AQ358" s="911" t="s">
        <v>459</v>
      </c>
      <c r="AR358" s="911" t="s">
        <v>459</v>
      </c>
      <c r="AS358" s="911" t="s">
        <v>459</v>
      </c>
      <c r="AT358" s="911" t="s">
        <v>459</v>
      </c>
      <c r="AU358" s="915" t="s">
        <v>459</v>
      </c>
      <c r="AV358" s="915" t="s">
        <v>459</v>
      </c>
      <c r="AW358" s="915" t="s">
        <v>459</v>
      </c>
      <c r="AX358" s="910">
        <v>22438</v>
      </c>
      <c r="AY358" s="427"/>
    </row>
    <row r="359" spans="1:51" ht="18.75" hidden="1" customHeight="1" x14ac:dyDescent="0.25">
      <c r="A359" s="829"/>
      <c r="B359" s="710"/>
      <c r="C359" s="710"/>
      <c r="D359" s="404" t="s">
        <v>343</v>
      </c>
      <c r="E359" s="179"/>
      <c r="F359" s="180"/>
      <c r="G359" s="174"/>
      <c r="H359" s="174"/>
      <c r="I359" s="174"/>
      <c r="J359" s="410"/>
      <c r="K359" s="409"/>
      <c r="L359" s="410"/>
      <c r="M359" s="410"/>
      <c r="N359" s="410"/>
      <c r="O359" s="410"/>
      <c r="P359" s="410"/>
      <c r="Q359" s="410"/>
      <c r="R359" s="416"/>
      <c r="S359" s="411"/>
      <c r="T359" s="167"/>
      <c r="U359" s="167"/>
      <c r="V359" s="167"/>
      <c r="W359" s="415"/>
      <c r="X359" s="411"/>
      <c r="Y359" s="411"/>
      <c r="Z359" s="411"/>
      <c r="AA359" s="433"/>
      <c r="AB359" s="419"/>
      <c r="AC359" s="401"/>
      <c r="AD359" s="409"/>
      <c r="AE359" s="420"/>
      <c r="AF359" s="426"/>
      <c r="AG359" s="829"/>
      <c r="AH359" s="710"/>
      <c r="AI359" s="710"/>
      <c r="AJ359" s="710"/>
      <c r="AK359" s="710"/>
      <c r="AL359" s="710"/>
      <c r="AM359" s="710"/>
      <c r="AN359" s="710"/>
      <c r="AO359" s="710"/>
      <c r="AP359" s="710"/>
      <c r="AQ359" s="710"/>
      <c r="AR359" s="710"/>
      <c r="AS359" s="710"/>
      <c r="AT359" s="710"/>
      <c r="AU359" s="710"/>
      <c r="AV359" s="710"/>
      <c r="AW359" s="710"/>
      <c r="AX359" s="710"/>
      <c r="AY359" s="427"/>
    </row>
    <row r="360" spans="1:51" ht="27.75" hidden="1" customHeight="1" x14ac:dyDescent="0.25">
      <c r="A360" s="829"/>
      <c r="B360" s="710"/>
      <c r="C360" s="710"/>
      <c r="D360" s="408" t="s">
        <v>345</v>
      </c>
      <c r="E360" s="179"/>
      <c r="F360" s="180"/>
      <c r="G360" s="174"/>
      <c r="H360" s="174"/>
      <c r="I360" s="174"/>
      <c r="J360" s="410"/>
      <c r="K360" s="409"/>
      <c r="L360" s="410"/>
      <c r="M360" s="410"/>
      <c r="N360" s="410"/>
      <c r="O360" s="410"/>
      <c r="P360" s="410"/>
      <c r="Q360" s="410"/>
      <c r="R360" s="416"/>
      <c r="S360" s="411"/>
      <c r="T360" s="167"/>
      <c r="U360" s="167"/>
      <c r="V360" s="167"/>
      <c r="W360" s="415"/>
      <c r="X360" s="411"/>
      <c r="Y360" s="411"/>
      <c r="Z360" s="411"/>
      <c r="AA360" s="433"/>
      <c r="AB360" s="419"/>
      <c r="AC360" s="401"/>
      <c r="AD360" s="409"/>
      <c r="AE360" s="420"/>
      <c r="AF360" s="426"/>
      <c r="AG360" s="829"/>
      <c r="AH360" s="710"/>
      <c r="AI360" s="710"/>
      <c r="AJ360" s="710"/>
      <c r="AK360" s="710"/>
      <c r="AL360" s="710"/>
      <c r="AM360" s="710"/>
      <c r="AN360" s="710"/>
      <c r="AO360" s="710"/>
      <c r="AP360" s="710"/>
      <c r="AQ360" s="710"/>
      <c r="AR360" s="710"/>
      <c r="AS360" s="710"/>
      <c r="AT360" s="710"/>
      <c r="AU360" s="710"/>
      <c r="AV360" s="710"/>
      <c r="AW360" s="710"/>
      <c r="AX360" s="710"/>
      <c r="AY360" s="427"/>
    </row>
    <row r="361" spans="1:51" ht="27.75" hidden="1" customHeight="1" x14ac:dyDescent="0.25">
      <c r="A361" s="829"/>
      <c r="B361" s="710"/>
      <c r="C361" s="710"/>
      <c r="D361" s="404" t="s">
        <v>346</v>
      </c>
      <c r="E361" s="179"/>
      <c r="F361" s="180"/>
      <c r="G361" s="174"/>
      <c r="H361" s="174"/>
      <c r="I361" s="174"/>
      <c r="J361" s="410"/>
      <c r="K361" s="409"/>
      <c r="L361" s="410"/>
      <c r="M361" s="410"/>
      <c r="N361" s="410"/>
      <c r="O361" s="410"/>
      <c r="P361" s="410"/>
      <c r="Q361" s="410"/>
      <c r="R361" s="416"/>
      <c r="S361" s="411"/>
      <c r="T361" s="167"/>
      <c r="U361" s="167"/>
      <c r="V361" s="167"/>
      <c r="W361" s="415"/>
      <c r="X361" s="411"/>
      <c r="Y361" s="411"/>
      <c r="Z361" s="411"/>
      <c r="AA361" s="433"/>
      <c r="AB361" s="419"/>
      <c r="AC361" s="401"/>
      <c r="AD361" s="409"/>
      <c r="AE361" s="420"/>
      <c r="AF361" s="426"/>
      <c r="AG361" s="829"/>
      <c r="AH361" s="710"/>
      <c r="AI361" s="710"/>
      <c r="AJ361" s="710"/>
      <c r="AK361" s="710"/>
      <c r="AL361" s="710"/>
      <c r="AM361" s="710"/>
      <c r="AN361" s="710"/>
      <c r="AO361" s="710"/>
      <c r="AP361" s="710"/>
      <c r="AQ361" s="710"/>
      <c r="AR361" s="710"/>
      <c r="AS361" s="710"/>
      <c r="AT361" s="710"/>
      <c r="AU361" s="710"/>
      <c r="AV361" s="710"/>
      <c r="AW361" s="710"/>
      <c r="AX361" s="710"/>
      <c r="AY361" s="427"/>
    </row>
    <row r="362" spans="1:51" ht="27.75" hidden="1" customHeight="1" x14ac:dyDescent="0.25">
      <c r="A362" s="829"/>
      <c r="B362" s="710"/>
      <c r="C362" s="710"/>
      <c r="D362" s="408" t="s">
        <v>347</v>
      </c>
      <c r="E362" s="179"/>
      <c r="F362" s="180"/>
      <c r="G362" s="174"/>
      <c r="H362" s="174"/>
      <c r="I362" s="174"/>
      <c r="J362" s="410"/>
      <c r="K362" s="409"/>
      <c r="L362" s="410"/>
      <c r="M362" s="410"/>
      <c r="N362" s="410"/>
      <c r="O362" s="410"/>
      <c r="P362" s="410"/>
      <c r="Q362" s="410"/>
      <c r="R362" s="416"/>
      <c r="S362" s="411"/>
      <c r="T362" s="167"/>
      <c r="U362" s="167"/>
      <c r="V362" s="167"/>
      <c r="W362" s="415"/>
      <c r="X362" s="411"/>
      <c r="Y362" s="411"/>
      <c r="Z362" s="411"/>
      <c r="AA362" s="433"/>
      <c r="AB362" s="419"/>
      <c r="AC362" s="401"/>
      <c r="AD362" s="409"/>
      <c r="AE362" s="420"/>
      <c r="AF362" s="426"/>
      <c r="AG362" s="829"/>
      <c r="AH362" s="710"/>
      <c r="AI362" s="710"/>
      <c r="AJ362" s="710"/>
      <c r="AK362" s="710"/>
      <c r="AL362" s="710"/>
      <c r="AM362" s="710"/>
      <c r="AN362" s="710"/>
      <c r="AO362" s="710"/>
      <c r="AP362" s="710"/>
      <c r="AQ362" s="710"/>
      <c r="AR362" s="710"/>
      <c r="AS362" s="710"/>
      <c r="AT362" s="710"/>
      <c r="AU362" s="710"/>
      <c r="AV362" s="710"/>
      <c r="AW362" s="710"/>
      <c r="AX362" s="710"/>
      <c r="AY362" s="427"/>
    </row>
    <row r="363" spans="1:51" ht="27.75" hidden="1" customHeight="1" x14ac:dyDescent="0.25">
      <c r="A363" s="829"/>
      <c r="B363" s="710"/>
      <c r="C363" s="731"/>
      <c r="D363" s="412" t="s">
        <v>348</v>
      </c>
      <c r="E363" s="179"/>
      <c r="F363" s="180"/>
      <c r="G363" s="174"/>
      <c r="H363" s="174"/>
      <c r="I363" s="174"/>
      <c r="J363" s="410"/>
      <c r="K363" s="409"/>
      <c r="L363" s="410"/>
      <c r="M363" s="410"/>
      <c r="N363" s="410"/>
      <c r="O363" s="410"/>
      <c r="P363" s="410"/>
      <c r="Q363" s="410"/>
      <c r="R363" s="416"/>
      <c r="S363" s="411"/>
      <c r="T363" s="167"/>
      <c r="U363" s="167"/>
      <c r="V363" s="167"/>
      <c r="W363" s="415"/>
      <c r="X363" s="411"/>
      <c r="Y363" s="411"/>
      <c r="Z363" s="411"/>
      <c r="AA363" s="433"/>
      <c r="AB363" s="419"/>
      <c r="AC363" s="401"/>
      <c r="AD363" s="409"/>
      <c r="AE363" s="420"/>
      <c r="AF363" s="426"/>
      <c r="AG363" s="823"/>
      <c r="AH363" s="731"/>
      <c r="AI363" s="731"/>
      <c r="AJ363" s="731"/>
      <c r="AK363" s="731"/>
      <c r="AL363" s="731"/>
      <c r="AM363" s="731"/>
      <c r="AN363" s="731"/>
      <c r="AO363" s="731"/>
      <c r="AP363" s="731"/>
      <c r="AQ363" s="731"/>
      <c r="AR363" s="731"/>
      <c r="AS363" s="731"/>
      <c r="AT363" s="731"/>
      <c r="AU363" s="731"/>
      <c r="AV363" s="731"/>
      <c r="AW363" s="731"/>
      <c r="AX363" s="731"/>
      <c r="AY363" s="427"/>
    </row>
    <row r="364" spans="1:51" ht="18.75" hidden="1" customHeight="1" x14ac:dyDescent="0.25">
      <c r="A364" s="829"/>
      <c r="B364" s="710"/>
      <c r="C364" s="818" t="s">
        <v>646</v>
      </c>
      <c r="D364" s="413" t="s">
        <v>340</v>
      </c>
      <c r="E364" s="179"/>
      <c r="F364" s="180"/>
      <c r="G364" s="174"/>
      <c r="H364" s="174"/>
      <c r="I364" s="174"/>
      <c r="J364" s="410"/>
      <c r="K364" s="409"/>
      <c r="L364" s="410"/>
      <c r="M364" s="410"/>
      <c r="N364" s="410"/>
      <c r="O364" s="410"/>
      <c r="P364" s="410"/>
      <c r="Q364" s="410"/>
      <c r="R364" s="416"/>
      <c r="S364" s="411"/>
      <c r="T364" s="167"/>
      <c r="U364" s="167"/>
      <c r="V364" s="167"/>
      <c r="W364" s="415"/>
      <c r="X364" s="411"/>
      <c r="Y364" s="411"/>
      <c r="Z364" s="411"/>
      <c r="AA364" s="433"/>
      <c r="AB364" s="419"/>
      <c r="AC364" s="401"/>
      <c r="AD364" s="409"/>
      <c r="AE364" s="420"/>
      <c r="AF364" s="426"/>
      <c r="AG364" s="913" t="s">
        <v>646</v>
      </c>
      <c r="AH364" s="813" t="s">
        <v>633</v>
      </c>
      <c r="AI364" s="813" t="s">
        <v>633</v>
      </c>
      <c r="AJ364" s="914" t="s">
        <v>1283</v>
      </c>
      <c r="AK364" s="813" t="s">
        <v>457</v>
      </c>
      <c r="AL364" s="813" t="s">
        <v>178</v>
      </c>
      <c r="AM364" s="813" t="s">
        <v>1275</v>
      </c>
      <c r="AN364" s="909">
        <v>186383</v>
      </c>
      <c r="AO364" s="910">
        <v>86612</v>
      </c>
      <c r="AP364" s="910">
        <v>92493</v>
      </c>
      <c r="AQ364" s="911" t="s">
        <v>459</v>
      </c>
      <c r="AR364" s="911" t="s">
        <v>459</v>
      </c>
      <c r="AS364" s="911" t="s">
        <v>459</v>
      </c>
      <c r="AT364" s="911" t="s">
        <v>459</v>
      </c>
      <c r="AU364" s="915" t="s">
        <v>459</v>
      </c>
      <c r="AV364" s="915" t="s">
        <v>459</v>
      </c>
      <c r="AW364" s="915" t="s">
        <v>459</v>
      </c>
      <c r="AX364" s="910">
        <v>186383</v>
      </c>
      <c r="AY364" s="427"/>
    </row>
    <row r="365" spans="1:51" ht="18.75" hidden="1" customHeight="1" x14ac:dyDescent="0.25">
      <c r="A365" s="829"/>
      <c r="B365" s="710"/>
      <c r="C365" s="710"/>
      <c r="D365" s="404" t="s">
        <v>343</v>
      </c>
      <c r="E365" s="179"/>
      <c r="F365" s="180"/>
      <c r="G365" s="174"/>
      <c r="H365" s="174"/>
      <c r="I365" s="174"/>
      <c r="J365" s="410"/>
      <c r="K365" s="409"/>
      <c r="L365" s="410"/>
      <c r="M365" s="410"/>
      <c r="N365" s="410"/>
      <c r="O365" s="410"/>
      <c r="P365" s="410"/>
      <c r="Q365" s="410"/>
      <c r="R365" s="416"/>
      <c r="S365" s="411"/>
      <c r="T365" s="167"/>
      <c r="U365" s="167"/>
      <c r="V365" s="167"/>
      <c r="W365" s="415"/>
      <c r="X365" s="411"/>
      <c r="Y365" s="411"/>
      <c r="Z365" s="411"/>
      <c r="AA365" s="433"/>
      <c r="AB365" s="419"/>
      <c r="AC365" s="401"/>
      <c r="AD365" s="409"/>
      <c r="AE365" s="420"/>
      <c r="AF365" s="426"/>
      <c r="AG365" s="829"/>
      <c r="AH365" s="710"/>
      <c r="AI365" s="710"/>
      <c r="AJ365" s="710"/>
      <c r="AK365" s="710"/>
      <c r="AL365" s="710"/>
      <c r="AM365" s="710"/>
      <c r="AN365" s="710"/>
      <c r="AO365" s="710"/>
      <c r="AP365" s="710"/>
      <c r="AQ365" s="710"/>
      <c r="AR365" s="710"/>
      <c r="AS365" s="710"/>
      <c r="AT365" s="710"/>
      <c r="AU365" s="710"/>
      <c r="AV365" s="710"/>
      <c r="AW365" s="710"/>
      <c r="AX365" s="710"/>
      <c r="AY365" s="427"/>
    </row>
    <row r="366" spans="1:51" ht="27.75" hidden="1" customHeight="1" x14ac:dyDescent="0.25">
      <c r="A366" s="829"/>
      <c r="B366" s="710"/>
      <c r="C366" s="710"/>
      <c r="D366" s="408" t="s">
        <v>345</v>
      </c>
      <c r="E366" s="179"/>
      <c r="F366" s="180"/>
      <c r="G366" s="174"/>
      <c r="H366" s="174"/>
      <c r="I366" s="174"/>
      <c r="J366" s="410"/>
      <c r="K366" s="409"/>
      <c r="L366" s="410"/>
      <c r="M366" s="410"/>
      <c r="N366" s="410"/>
      <c r="O366" s="410"/>
      <c r="P366" s="410"/>
      <c r="Q366" s="410"/>
      <c r="R366" s="416"/>
      <c r="S366" s="411"/>
      <c r="T366" s="167"/>
      <c r="U366" s="167"/>
      <c r="V366" s="167"/>
      <c r="W366" s="415"/>
      <c r="X366" s="411"/>
      <c r="Y366" s="411"/>
      <c r="Z366" s="411"/>
      <c r="AA366" s="433"/>
      <c r="AB366" s="419"/>
      <c r="AC366" s="401"/>
      <c r="AD366" s="409"/>
      <c r="AE366" s="420"/>
      <c r="AF366" s="426"/>
      <c r="AG366" s="829"/>
      <c r="AH366" s="710"/>
      <c r="AI366" s="710"/>
      <c r="AJ366" s="710"/>
      <c r="AK366" s="710"/>
      <c r="AL366" s="710"/>
      <c r="AM366" s="710"/>
      <c r="AN366" s="710"/>
      <c r="AO366" s="710"/>
      <c r="AP366" s="710"/>
      <c r="AQ366" s="710"/>
      <c r="AR366" s="710"/>
      <c r="AS366" s="710"/>
      <c r="AT366" s="710"/>
      <c r="AU366" s="710"/>
      <c r="AV366" s="710"/>
      <c r="AW366" s="710"/>
      <c r="AX366" s="710"/>
      <c r="AY366" s="427"/>
    </row>
    <row r="367" spans="1:51" ht="27.75" hidden="1" customHeight="1" x14ac:dyDescent="0.25">
      <c r="A367" s="829"/>
      <c r="B367" s="710"/>
      <c r="C367" s="710"/>
      <c r="D367" s="404" t="s">
        <v>346</v>
      </c>
      <c r="E367" s="179"/>
      <c r="F367" s="180"/>
      <c r="G367" s="174"/>
      <c r="H367" s="174"/>
      <c r="I367" s="174"/>
      <c r="J367" s="410"/>
      <c r="K367" s="409"/>
      <c r="L367" s="410"/>
      <c r="M367" s="410"/>
      <c r="N367" s="410"/>
      <c r="O367" s="410"/>
      <c r="P367" s="410"/>
      <c r="Q367" s="410"/>
      <c r="R367" s="416"/>
      <c r="S367" s="411"/>
      <c r="T367" s="167"/>
      <c r="U367" s="167"/>
      <c r="V367" s="167"/>
      <c r="W367" s="415"/>
      <c r="X367" s="411"/>
      <c r="Y367" s="411"/>
      <c r="Z367" s="411"/>
      <c r="AA367" s="433"/>
      <c r="AB367" s="419"/>
      <c r="AC367" s="401"/>
      <c r="AD367" s="409"/>
      <c r="AE367" s="420"/>
      <c r="AF367" s="426"/>
      <c r="AG367" s="829"/>
      <c r="AH367" s="710"/>
      <c r="AI367" s="710"/>
      <c r="AJ367" s="710"/>
      <c r="AK367" s="710"/>
      <c r="AL367" s="710"/>
      <c r="AM367" s="710"/>
      <c r="AN367" s="710"/>
      <c r="AO367" s="710"/>
      <c r="AP367" s="710"/>
      <c r="AQ367" s="710"/>
      <c r="AR367" s="710"/>
      <c r="AS367" s="710"/>
      <c r="AT367" s="710"/>
      <c r="AU367" s="710"/>
      <c r="AV367" s="710"/>
      <c r="AW367" s="710"/>
      <c r="AX367" s="710"/>
      <c r="AY367" s="427"/>
    </row>
    <row r="368" spans="1:51" ht="27.75" hidden="1" customHeight="1" x14ac:dyDescent="0.25">
      <c r="A368" s="829"/>
      <c r="B368" s="710"/>
      <c r="C368" s="710"/>
      <c r="D368" s="408" t="s">
        <v>347</v>
      </c>
      <c r="E368" s="179"/>
      <c r="F368" s="180"/>
      <c r="G368" s="174"/>
      <c r="H368" s="174"/>
      <c r="I368" s="174"/>
      <c r="J368" s="410"/>
      <c r="K368" s="409"/>
      <c r="L368" s="410"/>
      <c r="M368" s="410"/>
      <c r="N368" s="410"/>
      <c r="O368" s="410"/>
      <c r="P368" s="410"/>
      <c r="Q368" s="410"/>
      <c r="R368" s="416"/>
      <c r="S368" s="411"/>
      <c r="T368" s="167"/>
      <c r="U368" s="167"/>
      <c r="V368" s="167"/>
      <c r="W368" s="415"/>
      <c r="X368" s="411"/>
      <c r="Y368" s="411"/>
      <c r="Z368" s="411"/>
      <c r="AA368" s="433"/>
      <c r="AB368" s="419"/>
      <c r="AC368" s="401"/>
      <c r="AD368" s="409"/>
      <c r="AE368" s="420"/>
      <c r="AF368" s="426"/>
      <c r="AG368" s="829"/>
      <c r="AH368" s="710"/>
      <c r="AI368" s="710"/>
      <c r="AJ368" s="710"/>
      <c r="AK368" s="710"/>
      <c r="AL368" s="710"/>
      <c r="AM368" s="710"/>
      <c r="AN368" s="710"/>
      <c r="AO368" s="710"/>
      <c r="AP368" s="710"/>
      <c r="AQ368" s="710"/>
      <c r="AR368" s="710"/>
      <c r="AS368" s="710"/>
      <c r="AT368" s="710"/>
      <c r="AU368" s="710"/>
      <c r="AV368" s="710"/>
      <c r="AW368" s="710"/>
      <c r="AX368" s="710"/>
      <c r="AY368" s="427"/>
    </row>
    <row r="369" spans="1:51" ht="27.75" hidden="1" customHeight="1" x14ac:dyDescent="0.25">
      <c r="A369" s="829"/>
      <c r="B369" s="710"/>
      <c r="C369" s="731"/>
      <c r="D369" s="412" t="s">
        <v>348</v>
      </c>
      <c r="E369" s="179"/>
      <c r="F369" s="180"/>
      <c r="G369" s="174"/>
      <c r="H369" s="174"/>
      <c r="I369" s="174"/>
      <c r="J369" s="410"/>
      <c r="K369" s="409"/>
      <c r="L369" s="410"/>
      <c r="M369" s="410"/>
      <c r="N369" s="410"/>
      <c r="O369" s="410"/>
      <c r="P369" s="410"/>
      <c r="Q369" s="410"/>
      <c r="R369" s="416"/>
      <c r="S369" s="411"/>
      <c r="T369" s="167"/>
      <c r="U369" s="167"/>
      <c r="V369" s="167"/>
      <c r="W369" s="415"/>
      <c r="X369" s="411"/>
      <c r="Y369" s="411"/>
      <c r="Z369" s="411"/>
      <c r="AA369" s="433"/>
      <c r="AB369" s="419"/>
      <c r="AC369" s="401"/>
      <c r="AD369" s="409"/>
      <c r="AE369" s="420"/>
      <c r="AF369" s="426"/>
      <c r="AG369" s="823"/>
      <c r="AH369" s="731"/>
      <c r="AI369" s="731"/>
      <c r="AJ369" s="731"/>
      <c r="AK369" s="731"/>
      <c r="AL369" s="731"/>
      <c r="AM369" s="731"/>
      <c r="AN369" s="731"/>
      <c r="AO369" s="731"/>
      <c r="AP369" s="731"/>
      <c r="AQ369" s="731"/>
      <c r="AR369" s="731"/>
      <c r="AS369" s="731"/>
      <c r="AT369" s="731"/>
      <c r="AU369" s="731"/>
      <c r="AV369" s="731"/>
      <c r="AW369" s="731"/>
      <c r="AX369" s="731"/>
      <c r="AY369" s="427"/>
    </row>
    <row r="370" spans="1:51" ht="18.75" hidden="1" customHeight="1" x14ac:dyDescent="0.25">
      <c r="A370" s="829"/>
      <c r="B370" s="710"/>
      <c r="C370" s="818" t="s">
        <v>649</v>
      </c>
      <c r="D370" s="413" t="s">
        <v>340</v>
      </c>
      <c r="E370" s="179"/>
      <c r="F370" s="180"/>
      <c r="G370" s="174"/>
      <c r="H370" s="174"/>
      <c r="I370" s="174"/>
      <c r="J370" s="410"/>
      <c r="K370" s="409"/>
      <c r="L370" s="410"/>
      <c r="M370" s="410"/>
      <c r="N370" s="410"/>
      <c r="O370" s="410"/>
      <c r="P370" s="410"/>
      <c r="Q370" s="410"/>
      <c r="R370" s="416"/>
      <c r="S370" s="411"/>
      <c r="T370" s="167"/>
      <c r="U370" s="167"/>
      <c r="V370" s="167"/>
      <c r="W370" s="415"/>
      <c r="X370" s="411"/>
      <c r="Y370" s="411"/>
      <c r="Z370" s="411"/>
      <c r="AA370" s="433"/>
      <c r="AB370" s="419"/>
      <c r="AC370" s="401"/>
      <c r="AD370" s="409"/>
      <c r="AE370" s="420"/>
      <c r="AF370" s="426"/>
      <c r="AG370" s="913" t="s">
        <v>649</v>
      </c>
      <c r="AH370" s="813" t="s">
        <v>633</v>
      </c>
      <c r="AI370" s="813" t="s">
        <v>633</v>
      </c>
      <c r="AJ370" s="914" t="s">
        <v>1283</v>
      </c>
      <c r="AK370" s="813" t="s">
        <v>457</v>
      </c>
      <c r="AL370" s="813" t="s">
        <v>178</v>
      </c>
      <c r="AM370" s="813" t="s">
        <v>1275</v>
      </c>
      <c r="AN370" s="909">
        <v>753496</v>
      </c>
      <c r="AO370" s="910">
        <v>350318</v>
      </c>
      <c r="AP370" s="910">
        <v>376910</v>
      </c>
      <c r="AQ370" s="911" t="s">
        <v>459</v>
      </c>
      <c r="AR370" s="911" t="s">
        <v>459</v>
      </c>
      <c r="AS370" s="911" t="s">
        <v>459</v>
      </c>
      <c r="AT370" s="911" t="s">
        <v>459</v>
      </c>
      <c r="AU370" s="915" t="s">
        <v>459</v>
      </c>
      <c r="AV370" s="915" t="s">
        <v>459</v>
      </c>
      <c r="AW370" s="915" t="s">
        <v>459</v>
      </c>
      <c r="AX370" s="910">
        <v>753496</v>
      </c>
      <c r="AY370" s="427"/>
    </row>
    <row r="371" spans="1:51" ht="18.75" hidden="1" customHeight="1" x14ac:dyDescent="0.25">
      <c r="A371" s="829"/>
      <c r="B371" s="710"/>
      <c r="C371" s="710"/>
      <c r="D371" s="404" t="s">
        <v>343</v>
      </c>
      <c r="E371" s="179"/>
      <c r="F371" s="180"/>
      <c r="G371" s="174"/>
      <c r="H371" s="174"/>
      <c r="I371" s="174"/>
      <c r="J371" s="410"/>
      <c r="K371" s="409"/>
      <c r="L371" s="410"/>
      <c r="M371" s="410"/>
      <c r="N371" s="410"/>
      <c r="O371" s="410"/>
      <c r="P371" s="410"/>
      <c r="Q371" s="410"/>
      <c r="R371" s="416"/>
      <c r="S371" s="411"/>
      <c r="T371" s="167"/>
      <c r="U371" s="167"/>
      <c r="V371" s="167"/>
      <c r="W371" s="415"/>
      <c r="X371" s="411"/>
      <c r="Y371" s="411"/>
      <c r="Z371" s="411"/>
      <c r="AA371" s="433"/>
      <c r="AB371" s="419"/>
      <c r="AC371" s="401"/>
      <c r="AD371" s="409"/>
      <c r="AE371" s="420"/>
      <c r="AF371" s="426"/>
      <c r="AG371" s="829"/>
      <c r="AH371" s="710"/>
      <c r="AI371" s="710"/>
      <c r="AJ371" s="710"/>
      <c r="AK371" s="710"/>
      <c r="AL371" s="710"/>
      <c r="AM371" s="710"/>
      <c r="AN371" s="710"/>
      <c r="AO371" s="710"/>
      <c r="AP371" s="710"/>
      <c r="AQ371" s="710"/>
      <c r="AR371" s="710"/>
      <c r="AS371" s="710"/>
      <c r="AT371" s="710"/>
      <c r="AU371" s="710"/>
      <c r="AV371" s="710"/>
      <c r="AW371" s="710"/>
      <c r="AX371" s="710"/>
      <c r="AY371" s="427"/>
    </row>
    <row r="372" spans="1:51" ht="27.75" hidden="1" customHeight="1" x14ac:dyDescent="0.25">
      <c r="A372" s="829"/>
      <c r="B372" s="710"/>
      <c r="C372" s="710"/>
      <c r="D372" s="408" t="s">
        <v>345</v>
      </c>
      <c r="E372" s="179"/>
      <c r="F372" s="180"/>
      <c r="G372" s="174"/>
      <c r="H372" s="174"/>
      <c r="I372" s="174"/>
      <c r="J372" s="410"/>
      <c r="K372" s="409"/>
      <c r="L372" s="410"/>
      <c r="M372" s="410"/>
      <c r="N372" s="410"/>
      <c r="O372" s="410"/>
      <c r="P372" s="410"/>
      <c r="Q372" s="410"/>
      <c r="R372" s="416"/>
      <c r="S372" s="411"/>
      <c r="T372" s="167"/>
      <c r="U372" s="167"/>
      <c r="V372" s="167"/>
      <c r="W372" s="415"/>
      <c r="X372" s="411"/>
      <c r="Y372" s="411"/>
      <c r="Z372" s="411"/>
      <c r="AA372" s="433"/>
      <c r="AB372" s="419"/>
      <c r="AC372" s="401"/>
      <c r="AD372" s="409"/>
      <c r="AE372" s="420"/>
      <c r="AF372" s="426"/>
      <c r="AG372" s="829"/>
      <c r="AH372" s="710"/>
      <c r="AI372" s="710"/>
      <c r="AJ372" s="710"/>
      <c r="AK372" s="710"/>
      <c r="AL372" s="710"/>
      <c r="AM372" s="710"/>
      <c r="AN372" s="710"/>
      <c r="AO372" s="710"/>
      <c r="AP372" s="710"/>
      <c r="AQ372" s="710"/>
      <c r="AR372" s="710"/>
      <c r="AS372" s="710"/>
      <c r="AT372" s="710"/>
      <c r="AU372" s="710"/>
      <c r="AV372" s="710"/>
      <c r="AW372" s="710"/>
      <c r="AX372" s="710"/>
      <c r="AY372" s="427"/>
    </row>
    <row r="373" spans="1:51" ht="27.75" hidden="1" customHeight="1" x14ac:dyDescent="0.25">
      <c r="A373" s="829"/>
      <c r="B373" s="710"/>
      <c r="C373" s="710"/>
      <c r="D373" s="404" t="s">
        <v>346</v>
      </c>
      <c r="E373" s="179"/>
      <c r="F373" s="180"/>
      <c r="G373" s="174"/>
      <c r="H373" s="174"/>
      <c r="I373" s="174"/>
      <c r="J373" s="410"/>
      <c r="K373" s="409"/>
      <c r="L373" s="410"/>
      <c r="M373" s="410"/>
      <c r="N373" s="410"/>
      <c r="O373" s="410"/>
      <c r="P373" s="410"/>
      <c r="Q373" s="410"/>
      <c r="R373" s="416"/>
      <c r="S373" s="411"/>
      <c r="T373" s="167"/>
      <c r="U373" s="167"/>
      <c r="V373" s="167"/>
      <c r="W373" s="415"/>
      <c r="X373" s="411"/>
      <c r="Y373" s="411"/>
      <c r="Z373" s="411"/>
      <c r="AA373" s="433"/>
      <c r="AB373" s="419"/>
      <c r="AC373" s="401"/>
      <c r="AD373" s="409"/>
      <c r="AE373" s="420"/>
      <c r="AF373" s="426"/>
      <c r="AG373" s="829"/>
      <c r="AH373" s="710"/>
      <c r="AI373" s="710"/>
      <c r="AJ373" s="710"/>
      <c r="AK373" s="710"/>
      <c r="AL373" s="710"/>
      <c r="AM373" s="710"/>
      <c r="AN373" s="710"/>
      <c r="AO373" s="710"/>
      <c r="AP373" s="710"/>
      <c r="AQ373" s="710"/>
      <c r="AR373" s="710"/>
      <c r="AS373" s="710"/>
      <c r="AT373" s="710"/>
      <c r="AU373" s="710"/>
      <c r="AV373" s="710"/>
      <c r="AW373" s="710"/>
      <c r="AX373" s="710"/>
      <c r="AY373" s="427"/>
    </row>
    <row r="374" spans="1:51" ht="27.75" hidden="1" customHeight="1" x14ac:dyDescent="0.25">
      <c r="A374" s="829"/>
      <c r="B374" s="710"/>
      <c r="C374" s="710"/>
      <c r="D374" s="408" t="s">
        <v>347</v>
      </c>
      <c r="E374" s="179"/>
      <c r="F374" s="180"/>
      <c r="G374" s="174"/>
      <c r="H374" s="174"/>
      <c r="I374" s="174"/>
      <c r="J374" s="410"/>
      <c r="K374" s="409"/>
      <c r="L374" s="410"/>
      <c r="M374" s="410"/>
      <c r="N374" s="410"/>
      <c r="O374" s="410"/>
      <c r="P374" s="410"/>
      <c r="Q374" s="410"/>
      <c r="R374" s="416"/>
      <c r="S374" s="411"/>
      <c r="T374" s="167"/>
      <c r="U374" s="167"/>
      <c r="V374" s="167"/>
      <c r="W374" s="415"/>
      <c r="X374" s="411"/>
      <c r="Y374" s="411"/>
      <c r="Z374" s="411"/>
      <c r="AA374" s="433"/>
      <c r="AB374" s="419"/>
      <c r="AC374" s="401"/>
      <c r="AD374" s="409"/>
      <c r="AE374" s="420"/>
      <c r="AF374" s="426"/>
      <c r="AG374" s="829"/>
      <c r="AH374" s="710"/>
      <c r="AI374" s="710"/>
      <c r="AJ374" s="710"/>
      <c r="AK374" s="710"/>
      <c r="AL374" s="710"/>
      <c r="AM374" s="710"/>
      <c r="AN374" s="710"/>
      <c r="AO374" s="710"/>
      <c r="AP374" s="710"/>
      <c r="AQ374" s="710"/>
      <c r="AR374" s="710"/>
      <c r="AS374" s="710"/>
      <c r="AT374" s="710"/>
      <c r="AU374" s="710"/>
      <c r="AV374" s="710"/>
      <c r="AW374" s="710"/>
      <c r="AX374" s="710"/>
      <c r="AY374" s="427"/>
    </row>
    <row r="375" spans="1:51" ht="27.75" hidden="1" customHeight="1" x14ac:dyDescent="0.25">
      <c r="A375" s="829"/>
      <c r="B375" s="710"/>
      <c r="C375" s="731"/>
      <c r="D375" s="412" t="s">
        <v>348</v>
      </c>
      <c r="E375" s="179"/>
      <c r="F375" s="180"/>
      <c r="G375" s="174"/>
      <c r="H375" s="174"/>
      <c r="I375" s="174"/>
      <c r="J375" s="410"/>
      <c r="K375" s="409"/>
      <c r="L375" s="410"/>
      <c r="M375" s="410"/>
      <c r="N375" s="410"/>
      <c r="O375" s="410"/>
      <c r="P375" s="410"/>
      <c r="Q375" s="410"/>
      <c r="R375" s="416"/>
      <c r="S375" s="411"/>
      <c r="T375" s="167"/>
      <c r="U375" s="167"/>
      <c r="V375" s="167"/>
      <c r="W375" s="415"/>
      <c r="X375" s="411"/>
      <c r="Y375" s="411"/>
      <c r="Z375" s="411"/>
      <c r="AA375" s="433"/>
      <c r="AB375" s="419"/>
      <c r="AC375" s="401"/>
      <c r="AD375" s="409"/>
      <c r="AE375" s="420"/>
      <c r="AF375" s="426"/>
      <c r="AG375" s="823"/>
      <c r="AH375" s="731"/>
      <c r="AI375" s="731"/>
      <c r="AJ375" s="731"/>
      <c r="AK375" s="731"/>
      <c r="AL375" s="731"/>
      <c r="AM375" s="731"/>
      <c r="AN375" s="731"/>
      <c r="AO375" s="731"/>
      <c r="AP375" s="731"/>
      <c r="AQ375" s="731"/>
      <c r="AR375" s="731"/>
      <c r="AS375" s="731"/>
      <c r="AT375" s="731"/>
      <c r="AU375" s="731"/>
      <c r="AV375" s="731"/>
      <c r="AW375" s="731"/>
      <c r="AX375" s="731"/>
      <c r="AY375" s="427"/>
    </row>
    <row r="376" spans="1:51" ht="18.75" hidden="1" customHeight="1" x14ac:dyDescent="0.25">
      <c r="A376" s="829"/>
      <c r="B376" s="710"/>
      <c r="C376" s="818" t="s">
        <v>526</v>
      </c>
      <c r="D376" s="413" t="s">
        <v>340</v>
      </c>
      <c r="E376" s="179"/>
      <c r="F376" s="180"/>
      <c r="G376" s="174"/>
      <c r="H376" s="174"/>
      <c r="I376" s="174"/>
      <c r="J376" s="410"/>
      <c r="K376" s="409"/>
      <c r="L376" s="410"/>
      <c r="M376" s="410"/>
      <c r="N376" s="410"/>
      <c r="O376" s="410"/>
      <c r="P376" s="410"/>
      <c r="Q376" s="410"/>
      <c r="R376" s="416"/>
      <c r="S376" s="411"/>
      <c r="T376" s="167"/>
      <c r="U376" s="167"/>
      <c r="V376" s="167"/>
      <c r="W376" s="415"/>
      <c r="X376" s="411"/>
      <c r="Y376" s="411"/>
      <c r="Z376" s="411"/>
      <c r="AA376" s="433"/>
      <c r="AB376" s="419"/>
      <c r="AC376" s="401"/>
      <c r="AD376" s="409"/>
      <c r="AE376" s="420"/>
      <c r="AF376" s="426"/>
      <c r="AG376" s="913" t="s">
        <v>526</v>
      </c>
      <c r="AH376" s="813" t="s">
        <v>633</v>
      </c>
      <c r="AI376" s="813" t="s">
        <v>633</v>
      </c>
      <c r="AJ376" s="914" t="s">
        <v>1283</v>
      </c>
      <c r="AK376" s="813" t="s">
        <v>457</v>
      </c>
      <c r="AL376" s="813" t="s">
        <v>178</v>
      </c>
      <c r="AM376" s="813" t="s">
        <v>1275</v>
      </c>
      <c r="AN376" s="909">
        <v>1230539</v>
      </c>
      <c r="AO376" s="910">
        <v>511137</v>
      </c>
      <c r="AP376" s="910">
        <v>556761</v>
      </c>
      <c r="AQ376" s="911" t="s">
        <v>459</v>
      </c>
      <c r="AR376" s="911" t="s">
        <v>459</v>
      </c>
      <c r="AS376" s="911" t="s">
        <v>459</v>
      </c>
      <c r="AT376" s="911" t="s">
        <v>459</v>
      </c>
      <c r="AU376" s="915" t="s">
        <v>459</v>
      </c>
      <c r="AV376" s="915" t="s">
        <v>459</v>
      </c>
      <c r="AW376" s="915" t="s">
        <v>459</v>
      </c>
      <c r="AX376" s="910">
        <v>1230539</v>
      </c>
      <c r="AY376" s="427"/>
    </row>
    <row r="377" spans="1:51" ht="18.75" hidden="1" customHeight="1" x14ac:dyDescent="0.25">
      <c r="A377" s="829"/>
      <c r="B377" s="710"/>
      <c r="C377" s="710"/>
      <c r="D377" s="404" t="s">
        <v>343</v>
      </c>
      <c r="E377" s="179"/>
      <c r="F377" s="180"/>
      <c r="G377" s="174"/>
      <c r="H377" s="174"/>
      <c r="I377" s="174"/>
      <c r="J377" s="410"/>
      <c r="K377" s="409"/>
      <c r="L377" s="410"/>
      <c r="M377" s="410"/>
      <c r="N377" s="410"/>
      <c r="O377" s="410"/>
      <c r="P377" s="410"/>
      <c r="Q377" s="410"/>
      <c r="R377" s="416"/>
      <c r="S377" s="411"/>
      <c r="T377" s="167"/>
      <c r="U377" s="167"/>
      <c r="V377" s="167"/>
      <c r="W377" s="415"/>
      <c r="X377" s="411"/>
      <c r="Y377" s="411"/>
      <c r="Z377" s="411"/>
      <c r="AA377" s="433"/>
      <c r="AB377" s="419"/>
      <c r="AC377" s="401"/>
      <c r="AD377" s="409"/>
      <c r="AE377" s="420"/>
      <c r="AF377" s="426"/>
      <c r="AG377" s="829"/>
      <c r="AH377" s="710"/>
      <c r="AI377" s="710"/>
      <c r="AJ377" s="710"/>
      <c r="AK377" s="710"/>
      <c r="AL377" s="710"/>
      <c r="AM377" s="710"/>
      <c r="AN377" s="710"/>
      <c r="AO377" s="710"/>
      <c r="AP377" s="710"/>
      <c r="AQ377" s="710"/>
      <c r="AR377" s="710"/>
      <c r="AS377" s="710"/>
      <c r="AT377" s="710"/>
      <c r="AU377" s="710"/>
      <c r="AV377" s="710"/>
      <c r="AW377" s="710"/>
      <c r="AX377" s="710"/>
      <c r="AY377" s="427"/>
    </row>
    <row r="378" spans="1:51" ht="27.75" hidden="1" customHeight="1" x14ac:dyDescent="0.25">
      <c r="A378" s="829"/>
      <c r="B378" s="710"/>
      <c r="C378" s="710"/>
      <c r="D378" s="408" t="s">
        <v>345</v>
      </c>
      <c r="E378" s="179"/>
      <c r="F378" s="180"/>
      <c r="G378" s="174"/>
      <c r="H378" s="174"/>
      <c r="I378" s="174"/>
      <c r="J378" s="410"/>
      <c r="K378" s="409"/>
      <c r="L378" s="410"/>
      <c r="M378" s="410"/>
      <c r="N378" s="410"/>
      <c r="O378" s="410"/>
      <c r="P378" s="410"/>
      <c r="Q378" s="410"/>
      <c r="R378" s="416"/>
      <c r="S378" s="411"/>
      <c r="T378" s="167"/>
      <c r="U378" s="167"/>
      <c r="V378" s="167"/>
      <c r="W378" s="415"/>
      <c r="X378" s="411"/>
      <c r="Y378" s="411"/>
      <c r="Z378" s="411"/>
      <c r="AA378" s="433"/>
      <c r="AB378" s="419"/>
      <c r="AC378" s="401"/>
      <c r="AD378" s="409"/>
      <c r="AE378" s="420"/>
      <c r="AF378" s="426"/>
      <c r="AG378" s="829"/>
      <c r="AH378" s="710"/>
      <c r="AI378" s="710"/>
      <c r="AJ378" s="710"/>
      <c r="AK378" s="710"/>
      <c r="AL378" s="710"/>
      <c r="AM378" s="710"/>
      <c r="AN378" s="710"/>
      <c r="AO378" s="710"/>
      <c r="AP378" s="710"/>
      <c r="AQ378" s="710"/>
      <c r="AR378" s="710"/>
      <c r="AS378" s="710"/>
      <c r="AT378" s="710"/>
      <c r="AU378" s="710"/>
      <c r="AV378" s="710"/>
      <c r="AW378" s="710"/>
      <c r="AX378" s="710"/>
      <c r="AY378" s="427"/>
    </row>
    <row r="379" spans="1:51" ht="27.75" hidden="1" customHeight="1" x14ac:dyDescent="0.25">
      <c r="A379" s="829"/>
      <c r="B379" s="710"/>
      <c r="C379" s="710"/>
      <c r="D379" s="404" t="s">
        <v>346</v>
      </c>
      <c r="E379" s="179"/>
      <c r="F379" s="180"/>
      <c r="G379" s="174"/>
      <c r="H379" s="174"/>
      <c r="I379" s="174"/>
      <c r="J379" s="410"/>
      <c r="K379" s="409"/>
      <c r="L379" s="410"/>
      <c r="M379" s="410"/>
      <c r="N379" s="410"/>
      <c r="O379" s="410"/>
      <c r="P379" s="410"/>
      <c r="Q379" s="410"/>
      <c r="R379" s="416"/>
      <c r="S379" s="411"/>
      <c r="T379" s="167"/>
      <c r="U379" s="167"/>
      <c r="V379" s="167"/>
      <c r="W379" s="415"/>
      <c r="X379" s="411"/>
      <c r="Y379" s="411"/>
      <c r="Z379" s="411"/>
      <c r="AA379" s="433"/>
      <c r="AB379" s="419"/>
      <c r="AC379" s="401"/>
      <c r="AD379" s="409"/>
      <c r="AE379" s="420"/>
      <c r="AF379" s="426"/>
      <c r="AG379" s="829"/>
      <c r="AH379" s="710"/>
      <c r="AI379" s="710"/>
      <c r="AJ379" s="710"/>
      <c r="AK379" s="710"/>
      <c r="AL379" s="710"/>
      <c r="AM379" s="710"/>
      <c r="AN379" s="710"/>
      <c r="AO379" s="710"/>
      <c r="AP379" s="710"/>
      <c r="AQ379" s="710"/>
      <c r="AR379" s="710"/>
      <c r="AS379" s="710"/>
      <c r="AT379" s="710"/>
      <c r="AU379" s="710"/>
      <c r="AV379" s="710"/>
      <c r="AW379" s="710"/>
      <c r="AX379" s="710"/>
      <c r="AY379" s="427"/>
    </row>
    <row r="380" spans="1:51" ht="27.75" hidden="1" customHeight="1" x14ac:dyDescent="0.25">
      <c r="A380" s="829"/>
      <c r="B380" s="710"/>
      <c r="C380" s="710"/>
      <c r="D380" s="408" t="s">
        <v>347</v>
      </c>
      <c r="E380" s="179"/>
      <c r="F380" s="180"/>
      <c r="G380" s="174"/>
      <c r="H380" s="174"/>
      <c r="I380" s="174"/>
      <c r="J380" s="410"/>
      <c r="K380" s="409"/>
      <c r="L380" s="410"/>
      <c r="M380" s="410"/>
      <c r="N380" s="410"/>
      <c r="O380" s="410"/>
      <c r="P380" s="410"/>
      <c r="Q380" s="410"/>
      <c r="R380" s="416"/>
      <c r="S380" s="411"/>
      <c r="T380" s="167"/>
      <c r="U380" s="167"/>
      <c r="V380" s="167"/>
      <c r="W380" s="415"/>
      <c r="X380" s="411"/>
      <c r="Y380" s="411"/>
      <c r="Z380" s="411"/>
      <c r="AA380" s="433"/>
      <c r="AB380" s="419"/>
      <c r="AC380" s="401"/>
      <c r="AD380" s="409"/>
      <c r="AE380" s="420"/>
      <c r="AF380" s="426"/>
      <c r="AG380" s="829"/>
      <c r="AH380" s="710"/>
      <c r="AI380" s="710"/>
      <c r="AJ380" s="710"/>
      <c r="AK380" s="710"/>
      <c r="AL380" s="710"/>
      <c r="AM380" s="710"/>
      <c r="AN380" s="710"/>
      <c r="AO380" s="710"/>
      <c r="AP380" s="710"/>
      <c r="AQ380" s="710"/>
      <c r="AR380" s="710"/>
      <c r="AS380" s="710"/>
      <c r="AT380" s="710"/>
      <c r="AU380" s="710"/>
      <c r="AV380" s="710"/>
      <c r="AW380" s="710"/>
      <c r="AX380" s="710"/>
      <c r="AY380" s="427"/>
    </row>
    <row r="381" spans="1:51" ht="27.75" hidden="1" customHeight="1" x14ac:dyDescent="0.25">
      <c r="A381" s="829"/>
      <c r="B381" s="710"/>
      <c r="C381" s="731"/>
      <c r="D381" s="412" t="s">
        <v>348</v>
      </c>
      <c r="E381" s="179"/>
      <c r="F381" s="180"/>
      <c r="G381" s="174"/>
      <c r="H381" s="174"/>
      <c r="I381" s="174"/>
      <c r="J381" s="410"/>
      <c r="K381" s="409"/>
      <c r="L381" s="410"/>
      <c r="M381" s="410"/>
      <c r="N381" s="410"/>
      <c r="O381" s="410"/>
      <c r="P381" s="410"/>
      <c r="Q381" s="410"/>
      <c r="R381" s="416"/>
      <c r="S381" s="411"/>
      <c r="T381" s="167"/>
      <c r="U381" s="167"/>
      <c r="V381" s="167"/>
      <c r="W381" s="415"/>
      <c r="X381" s="411"/>
      <c r="Y381" s="411"/>
      <c r="Z381" s="411"/>
      <c r="AA381" s="433"/>
      <c r="AB381" s="419"/>
      <c r="AC381" s="401"/>
      <c r="AD381" s="409"/>
      <c r="AE381" s="420"/>
      <c r="AF381" s="426"/>
      <c r="AG381" s="823"/>
      <c r="AH381" s="731"/>
      <c r="AI381" s="731"/>
      <c r="AJ381" s="731"/>
      <c r="AK381" s="731"/>
      <c r="AL381" s="731"/>
      <c r="AM381" s="731"/>
      <c r="AN381" s="731"/>
      <c r="AO381" s="731"/>
      <c r="AP381" s="731"/>
      <c r="AQ381" s="731"/>
      <c r="AR381" s="731"/>
      <c r="AS381" s="731"/>
      <c r="AT381" s="731"/>
      <c r="AU381" s="731"/>
      <c r="AV381" s="731"/>
      <c r="AW381" s="731"/>
      <c r="AX381" s="731"/>
      <c r="AY381" s="427"/>
    </row>
    <row r="382" spans="1:51" ht="18.75" hidden="1" customHeight="1" x14ac:dyDescent="0.25">
      <c r="A382" s="829"/>
      <c r="B382" s="710"/>
      <c r="C382" s="818" t="s">
        <v>1175</v>
      </c>
      <c r="D382" s="413" t="s">
        <v>340</v>
      </c>
      <c r="E382" s="179"/>
      <c r="F382" s="180"/>
      <c r="G382" s="174"/>
      <c r="H382" s="174"/>
      <c r="I382" s="174"/>
      <c r="J382" s="410"/>
      <c r="K382" s="409"/>
      <c r="L382" s="410"/>
      <c r="M382" s="410"/>
      <c r="N382" s="410"/>
      <c r="O382" s="410"/>
      <c r="P382" s="410"/>
      <c r="Q382" s="410"/>
      <c r="R382" s="416"/>
      <c r="S382" s="411"/>
      <c r="T382" s="167"/>
      <c r="U382" s="167"/>
      <c r="V382" s="167"/>
      <c r="W382" s="415"/>
      <c r="X382" s="411"/>
      <c r="Y382" s="411"/>
      <c r="Z382" s="411"/>
      <c r="AA382" s="433"/>
      <c r="AB382" s="419"/>
      <c r="AC382" s="401"/>
      <c r="AD382" s="409"/>
      <c r="AE382" s="420"/>
      <c r="AF382" s="426"/>
      <c r="AG382" s="913" t="s">
        <v>652</v>
      </c>
      <c r="AH382" s="813" t="s">
        <v>633</v>
      </c>
      <c r="AI382" s="813" t="s">
        <v>633</v>
      </c>
      <c r="AJ382" s="914" t="s">
        <v>1283</v>
      </c>
      <c r="AK382" s="813" t="s">
        <v>457</v>
      </c>
      <c r="AL382" s="813" t="s">
        <v>178</v>
      </c>
      <c r="AM382" s="813" t="s">
        <v>1275</v>
      </c>
      <c r="AN382" s="909">
        <v>424038</v>
      </c>
      <c r="AO382" s="910">
        <v>181876</v>
      </c>
      <c r="AP382" s="910">
        <v>201858</v>
      </c>
      <c r="AQ382" s="911" t="s">
        <v>459</v>
      </c>
      <c r="AR382" s="911" t="s">
        <v>459</v>
      </c>
      <c r="AS382" s="911" t="s">
        <v>459</v>
      </c>
      <c r="AT382" s="911" t="s">
        <v>459</v>
      </c>
      <c r="AU382" s="915" t="s">
        <v>459</v>
      </c>
      <c r="AV382" s="915" t="s">
        <v>459</v>
      </c>
      <c r="AW382" s="915" t="s">
        <v>459</v>
      </c>
      <c r="AX382" s="910">
        <v>424038</v>
      </c>
      <c r="AY382" s="427"/>
    </row>
    <row r="383" spans="1:51" ht="18.75" hidden="1" customHeight="1" x14ac:dyDescent="0.25">
      <c r="A383" s="829"/>
      <c r="B383" s="710"/>
      <c r="C383" s="710"/>
      <c r="D383" s="404" t="s">
        <v>343</v>
      </c>
      <c r="E383" s="179"/>
      <c r="F383" s="180"/>
      <c r="G383" s="174"/>
      <c r="H383" s="174"/>
      <c r="I383" s="174"/>
      <c r="J383" s="410"/>
      <c r="K383" s="409"/>
      <c r="L383" s="410"/>
      <c r="M383" s="410"/>
      <c r="N383" s="410"/>
      <c r="O383" s="410"/>
      <c r="P383" s="410"/>
      <c r="Q383" s="410"/>
      <c r="R383" s="416"/>
      <c r="S383" s="411"/>
      <c r="T383" s="167"/>
      <c r="U383" s="167"/>
      <c r="V383" s="167"/>
      <c r="W383" s="415"/>
      <c r="X383" s="411"/>
      <c r="Y383" s="411"/>
      <c r="Z383" s="411"/>
      <c r="AA383" s="433"/>
      <c r="AB383" s="419"/>
      <c r="AC383" s="401"/>
      <c r="AD383" s="409"/>
      <c r="AE383" s="420"/>
      <c r="AF383" s="426"/>
      <c r="AG383" s="829"/>
      <c r="AH383" s="710"/>
      <c r="AI383" s="710"/>
      <c r="AJ383" s="710"/>
      <c r="AK383" s="710"/>
      <c r="AL383" s="710"/>
      <c r="AM383" s="710"/>
      <c r="AN383" s="710"/>
      <c r="AO383" s="710"/>
      <c r="AP383" s="710"/>
      <c r="AQ383" s="710"/>
      <c r="AR383" s="710"/>
      <c r="AS383" s="710"/>
      <c r="AT383" s="710"/>
      <c r="AU383" s="710"/>
      <c r="AV383" s="710"/>
      <c r="AW383" s="710"/>
      <c r="AX383" s="710"/>
      <c r="AY383" s="427"/>
    </row>
    <row r="384" spans="1:51" ht="27.75" hidden="1" customHeight="1" x14ac:dyDescent="0.25">
      <c r="A384" s="829"/>
      <c r="B384" s="710"/>
      <c r="C384" s="710"/>
      <c r="D384" s="408" t="s">
        <v>345</v>
      </c>
      <c r="E384" s="179"/>
      <c r="F384" s="180"/>
      <c r="G384" s="174"/>
      <c r="H384" s="174"/>
      <c r="I384" s="174"/>
      <c r="J384" s="410"/>
      <c r="K384" s="409"/>
      <c r="L384" s="410"/>
      <c r="M384" s="410"/>
      <c r="N384" s="410"/>
      <c r="O384" s="410"/>
      <c r="P384" s="410"/>
      <c r="Q384" s="410"/>
      <c r="R384" s="416"/>
      <c r="S384" s="411"/>
      <c r="T384" s="167"/>
      <c r="U384" s="167"/>
      <c r="V384" s="167"/>
      <c r="W384" s="415"/>
      <c r="X384" s="411"/>
      <c r="Y384" s="411"/>
      <c r="Z384" s="411"/>
      <c r="AA384" s="433"/>
      <c r="AB384" s="419"/>
      <c r="AC384" s="401"/>
      <c r="AD384" s="409"/>
      <c r="AE384" s="420"/>
      <c r="AF384" s="426"/>
      <c r="AG384" s="829"/>
      <c r="AH384" s="710"/>
      <c r="AI384" s="710"/>
      <c r="AJ384" s="710"/>
      <c r="AK384" s="710"/>
      <c r="AL384" s="710"/>
      <c r="AM384" s="710"/>
      <c r="AN384" s="710"/>
      <c r="AO384" s="710"/>
      <c r="AP384" s="710"/>
      <c r="AQ384" s="710"/>
      <c r="AR384" s="710"/>
      <c r="AS384" s="710"/>
      <c r="AT384" s="710"/>
      <c r="AU384" s="710"/>
      <c r="AV384" s="710"/>
      <c r="AW384" s="710"/>
      <c r="AX384" s="710"/>
      <c r="AY384" s="427"/>
    </row>
    <row r="385" spans="1:51" ht="27.75" hidden="1" customHeight="1" x14ac:dyDescent="0.25">
      <c r="A385" s="829"/>
      <c r="B385" s="710"/>
      <c r="C385" s="710"/>
      <c r="D385" s="404" t="s">
        <v>346</v>
      </c>
      <c r="E385" s="179"/>
      <c r="F385" s="180"/>
      <c r="G385" s="174"/>
      <c r="H385" s="174"/>
      <c r="I385" s="174"/>
      <c r="J385" s="410"/>
      <c r="K385" s="409"/>
      <c r="L385" s="410"/>
      <c r="M385" s="410"/>
      <c r="N385" s="410"/>
      <c r="O385" s="410"/>
      <c r="P385" s="410"/>
      <c r="Q385" s="410"/>
      <c r="R385" s="416"/>
      <c r="S385" s="411"/>
      <c r="T385" s="167"/>
      <c r="U385" s="167"/>
      <c r="V385" s="167"/>
      <c r="W385" s="415"/>
      <c r="X385" s="411"/>
      <c r="Y385" s="411"/>
      <c r="Z385" s="411"/>
      <c r="AA385" s="433"/>
      <c r="AB385" s="419"/>
      <c r="AC385" s="401"/>
      <c r="AD385" s="409"/>
      <c r="AE385" s="420"/>
      <c r="AF385" s="426"/>
      <c r="AG385" s="829"/>
      <c r="AH385" s="710"/>
      <c r="AI385" s="710"/>
      <c r="AJ385" s="710"/>
      <c r="AK385" s="710"/>
      <c r="AL385" s="710"/>
      <c r="AM385" s="710"/>
      <c r="AN385" s="710"/>
      <c r="AO385" s="710"/>
      <c r="AP385" s="710"/>
      <c r="AQ385" s="710"/>
      <c r="AR385" s="710"/>
      <c r="AS385" s="710"/>
      <c r="AT385" s="710"/>
      <c r="AU385" s="710"/>
      <c r="AV385" s="710"/>
      <c r="AW385" s="710"/>
      <c r="AX385" s="710"/>
      <c r="AY385" s="427"/>
    </row>
    <row r="386" spans="1:51" ht="27.75" hidden="1" customHeight="1" x14ac:dyDescent="0.25">
      <c r="A386" s="829"/>
      <c r="B386" s="710"/>
      <c r="C386" s="710"/>
      <c r="D386" s="408" t="s">
        <v>347</v>
      </c>
      <c r="E386" s="179"/>
      <c r="F386" s="180"/>
      <c r="G386" s="174"/>
      <c r="H386" s="174"/>
      <c r="I386" s="174"/>
      <c r="J386" s="410"/>
      <c r="K386" s="409"/>
      <c r="L386" s="410"/>
      <c r="M386" s="410"/>
      <c r="N386" s="410"/>
      <c r="O386" s="410"/>
      <c r="P386" s="410"/>
      <c r="Q386" s="410"/>
      <c r="R386" s="416"/>
      <c r="S386" s="411"/>
      <c r="T386" s="167"/>
      <c r="U386" s="167"/>
      <c r="V386" s="167"/>
      <c r="W386" s="415"/>
      <c r="X386" s="411"/>
      <c r="Y386" s="411"/>
      <c r="Z386" s="411"/>
      <c r="AA386" s="433"/>
      <c r="AB386" s="419"/>
      <c r="AC386" s="401"/>
      <c r="AD386" s="409"/>
      <c r="AE386" s="420"/>
      <c r="AF386" s="426"/>
      <c r="AG386" s="829"/>
      <c r="AH386" s="710"/>
      <c r="AI386" s="710"/>
      <c r="AJ386" s="710"/>
      <c r="AK386" s="710"/>
      <c r="AL386" s="710"/>
      <c r="AM386" s="710"/>
      <c r="AN386" s="710"/>
      <c r="AO386" s="710"/>
      <c r="AP386" s="710"/>
      <c r="AQ386" s="710"/>
      <c r="AR386" s="710"/>
      <c r="AS386" s="710"/>
      <c r="AT386" s="710"/>
      <c r="AU386" s="710"/>
      <c r="AV386" s="710"/>
      <c r="AW386" s="710"/>
      <c r="AX386" s="710"/>
      <c r="AY386" s="427"/>
    </row>
    <row r="387" spans="1:51" ht="27.75" hidden="1" customHeight="1" x14ac:dyDescent="0.25">
      <c r="A387" s="829"/>
      <c r="B387" s="710"/>
      <c r="C387" s="731"/>
      <c r="D387" s="412" t="s">
        <v>348</v>
      </c>
      <c r="E387" s="179"/>
      <c r="F387" s="180"/>
      <c r="G387" s="174"/>
      <c r="H387" s="174"/>
      <c r="I387" s="174"/>
      <c r="J387" s="410"/>
      <c r="K387" s="409"/>
      <c r="L387" s="410"/>
      <c r="M387" s="410"/>
      <c r="N387" s="410"/>
      <c r="O387" s="410"/>
      <c r="P387" s="410"/>
      <c r="Q387" s="410"/>
      <c r="R387" s="416"/>
      <c r="S387" s="411"/>
      <c r="T387" s="167"/>
      <c r="U387" s="167"/>
      <c r="V387" s="167"/>
      <c r="W387" s="415"/>
      <c r="X387" s="411"/>
      <c r="Y387" s="411"/>
      <c r="Z387" s="411"/>
      <c r="AA387" s="433"/>
      <c r="AB387" s="419"/>
      <c r="AC387" s="401"/>
      <c r="AD387" s="409"/>
      <c r="AE387" s="420"/>
      <c r="AF387" s="426"/>
      <c r="AG387" s="823"/>
      <c r="AH387" s="731"/>
      <c r="AI387" s="731"/>
      <c r="AJ387" s="731"/>
      <c r="AK387" s="731"/>
      <c r="AL387" s="731"/>
      <c r="AM387" s="731"/>
      <c r="AN387" s="731"/>
      <c r="AO387" s="731"/>
      <c r="AP387" s="731"/>
      <c r="AQ387" s="731"/>
      <c r="AR387" s="731"/>
      <c r="AS387" s="731"/>
      <c r="AT387" s="731"/>
      <c r="AU387" s="731"/>
      <c r="AV387" s="731"/>
      <c r="AW387" s="731"/>
      <c r="AX387" s="731"/>
      <c r="AY387" s="427"/>
    </row>
    <row r="388" spans="1:51" ht="18.75" customHeight="1" x14ac:dyDescent="0.25">
      <c r="A388" s="829"/>
      <c r="B388" s="710"/>
      <c r="C388" s="818" t="s">
        <v>1309</v>
      </c>
      <c r="D388" s="413" t="s">
        <v>340</v>
      </c>
      <c r="E388" s="179"/>
      <c r="F388" s="180"/>
      <c r="G388" s="174"/>
      <c r="H388" s="174"/>
      <c r="I388" s="174"/>
      <c r="J388" s="410">
        <v>300</v>
      </c>
      <c r="K388" s="414">
        <v>300</v>
      </c>
      <c r="L388" s="410"/>
      <c r="M388" s="410"/>
      <c r="N388" s="410"/>
      <c r="O388" s="410"/>
      <c r="P388" s="410"/>
      <c r="Q388" s="410">
        <v>12</v>
      </c>
      <c r="R388" s="416">
        <v>17</v>
      </c>
      <c r="S388" s="411"/>
      <c r="T388" s="167"/>
      <c r="U388" s="167"/>
      <c r="V388" s="167"/>
      <c r="W388" s="417">
        <v>300</v>
      </c>
      <c r="X388" s="418">
        <v>300</v>
      </c>
      <c r="Y388" s="411"/>
      <c r="Z388" s="411"/>
      <c r="AA388" s="433"/>
      <c r="AB388" s="419"/>
      <c r="AC388" s="401"/>
      <c r="AD388" s="409">
        <v>12</v>
      </c>
      <c r="AE388" s="420">
        <v>17</v>
      </c>
      <c r="AF388" s="912" t="s">
        <v>1310</v>
      </c>
      <c r="AG388" s="913" t="s">
        <v>1180</v>
      </c>
      <c r="AH388" s="813" t="s">
        <v>1311</v>
      </c>
      <c r="AI388" s="813" t="s">
        <v>1312</v>
      </c>
      <c r="AJ388" s="914" t="s">
        <v>1283</v>
      </c>
      <c r="AK388" s="813" t="s">
        <v>457</v>
      </c>
      <c r="AL388" s="813" t="s">
        <v>178</v>
      </c>
      <c r="AM388" s="813" t="s">
        <v>1275</v>
      </c>
      <c r="AN388" s="909">
        <v>887886</v>
      </c>
      <c r="AO388" s="910">
        <v>392164</v>
      </c>
      <c r="AP388" s="910">
        <v>439214</v>
      </c>
      <c r="AQ388" s="911" t="s">
        <v>459</v>
      </c>
      <c r="AR388" s="911" t="s">
        <v>459</v>
      </c>
      <c r="AS388" s="911" t="s">
        <v>459</v>
      </c>
      <c r="AT388" s="911" t="s">
        <v>459</v>
      </c>
      <c r="AU388" s="915" t="s">
        <v>459</v>
      </c>
      <c r="AV388" s="915" t="s">
        <v>459</v>
      </c>
      <c r="AW388" s="915" t="s">
        <v>459</v>
      </c>
      <c r="AX388" s="910">
        <v>887886</v>
      </c>
      <c r="AY388" s="427"/>
    </row>
    <row r="389" spans="1:51" ht="18.75" customHeight="1" x14ac:dyDescent="0.25">
      <c r="A389" s="829"/>
      <c r="B389" s="710"/>
      <c r="C389" s="710"/>
      <c r="D389" s="404" t="s">
        <v>343</v>
      </c>
      <c r="E389" s="179"/>
      <c r="F389" s="180"/>
      <c r="G389" s="174"/>
      <c r="H389" s="174"/>
      <c r="I389" s="174"/>
      <c r="J389" s="410" t="e">
        <f>+J388*$J$299/$J$298</f>
        <v>#REF!</v>
      </c>
      <c r="K389" s="409"/>
      <c r="L389" s="410"/>
      <c r="M389" s="410"/>
      <c r="N389" s="410"/>
      <c r="O389" s="410"/>
      <c r="P389" s="410"/>
      <c r="Q389" s="410" t="e">
        <f>+Q388*$Q$299/$Q$298</f>
        <v>#VALUE!</v>
      </c>
      <c r="R389" s="410" t="e">
        <f>+R388*$R$299/$R$298</f>
        <v>#VALUE!</v>
      </c>
      <c r="S389" s="411"/>
      <c r="T389" s="167"/>
      <c r="U389" s="167"/>
      <c r="V389" s="167"/>
      <c r="W389" s="410" t="e">
        <f>+W388*$W$299/$W$298</f>
        <v>#REF!</v>
      </c>
      <c r="X389" s="411"/>
      <c r="Y389" s="411"/>
      <c r="Z389" s="411"/>
      <c r="AA389" s="433"/>
      <c r="AB389" s="419"/>
      <c r="AC389" s="401"/>
      <c r="AD389" s="409" t="e">
        <f>+AD388*$AD$299/$AD$298</f>
        <v>#VALUE!</v>
      </c>
      <c r="AE389" s="409" t="e">
        <f>+AE388*$AE$299/$AE$298</f>
        <v>#VALUE!</v>
      </c>
      <c r="AF389" s="713"/>
      <c r="AG389" s="829"/>
      <c r="AH389" s="710"/>
      <c r="AI389" s="710"/>
      <c r="AJ389" s="710"/>
      <c r="AK389" s="710"/>
      <c r="AL389" s="710"/>
      <c r="AM389" s="710"/>
      <c r="AN389" s="710"/>
      <c r="AO389" s="710"/>
      <c r="AP389" s="710"/>
      <c r="AQ389" s="710"/>
      <c r="AR389" s="710"/>
      <c r="AS389" s="710"/>
      <c r="AT389" s="710"/>
      <c r="AU389" s="710"/>
      <c r="AV389" s="710"/>
      <c r="AW389" s="710"/>
      <c r="AX389" s="710"/>
      <c r="AY389" s="427"/>
    </row>
    <row r="390" spans="1:51" ht="27.75" customHeight="1" x14ac:dyDescent="0.25">
      <c r="A390" s="829"/>
      <c r="B390" s="710"/>
      <c r="C390" s="710"/>
      <c r="D390" s="408" t="s">
        <v>345</v>
      </c>
      <c r="E390" s="179"/>
      <c r="F390" s="180"/>
      <c r="G390" s="174"/>
      <c r="H390" s="174"/>
      <c r="I390" s="174"/>
      <c r="J390" s="410"/>
      <c r="K390" s="409"/>
      <c r="L390" s="410"/>
      <c r="M390" s="410"/>
      <c r="N390" s="410"/>
      <c r="O390" s="410"/>
      <c r="P390" s="410"/>
      <c r="Q390" s="410"/>
      <c r="R390" s="416"/>
      <c r="S390" s="411"/>
      <c r="T390" s="167"/>
      <c r="U390" s="167"/>
      <c r="V390" s="167"/>
      <c r="W390" s="415"/>
      <c r="X390" s="411"/>
      <c r="Y390" s="411"/>
      <c r="Z390" s="411"/>
      <c r="AA390" s="433"/>
      <c r="AB390" s="419"/>
      <c r="AC390" s="401"/>
      <c r="AD390" s="409"/>
      <c r="AE390" s="420"/>
      <c r="AF390" s="713"/>
      <c r="AG390" s="829"/>
      <c r="AH390" s="710"/>
      <c r="AI390" s="710"/>
      <c r="AJ390" s="710"/>
      <c r="AK390" s="710"/>
      <c r="AL390" s="710"/>
      <c r="AM390" s="710"/>
      <c r="AN390" s="710"/>
      <c r="AO390" s="710"/>
      <c r="AP390" s="710"/>
      <c r="AQ390" s="710"/>
      <c r="AR390" s="710"/>
      <c r="AS390" s="710"/>
      <c r="AT390" s="710"/>
      <c r="AU390" s="710"/>
      <c r="AV390" s="710"/>
      <c r="AW390" s="710"/>
      <c r="AX390" s="710"/>
      <c r="AY390" s="427"/>
    </row>
    <row r="391" spans="1:51" ht="27.75" customHeight="1" x14ac:dyDescent="0.25">
      <c r="A391" s="829"/>
      <c r="B391" s="710"/>
      <c r="C391" s="710"/>
      <c r="D391" s="404" t="s">
        <v>346</v>
      </c>
      <c r="E391" s="179"/>
      <c r="F391" s="180"/>
      <c r="G391" s="174"/>
      <c r="H391" s="174"/>
      <c r="I391" s="174"/>
      <c r="J391" s="410"/>
      <c r="K391" s="409"/>
      <c r="L391" s="410"/>
      <c r="M391" s="410"/>
      <c r="N391" s="410"/>
      <c r="O391" s="410"/>
      <c r="P391" s="410"/>
      <c r="Q391" s="410"/>
      <c r="R391" s="416"/>
      <c r="S391" s="411"/>
      <c r="T391" s="167"/>
      <c r="U391" s="167"/>
      <c r="V391" s="167"/>
      <c r="W391" s="415"/>
      <c r="X391" s="411"/>
      <c r="Y391" s="411"/>
      <c r="Z391" s="411"/>
      <c r="AA391" s="433"/>
      <c r="AB391" s="419"/>
      <c r="AC391" s="401"/>
      <c r="AD391" s="409"/>
      <c r="AE391" s="420"/>
      <c r="AF391" s="713"/>
      <c r="AG391" s="829"/>
      <c r="AH391" s="710"/>
      <c r="AI391" s="710"/>
      <c r="AJ391" s="710"/>
      <c r="AK391" s="710"/>
      <c r="AL391" s="710"/>
      <c r="AM391" s="710"/>
      <c r="AN391" s="710"/>
      <c r="AO391" s="710"/>
      <c r="AP391" s="710"/>
      <c r="AQ391" s="710"/>
      <c r="AR391" s="710"/>
      <c r="AS391" s="710"/>
      <c r="AT391" s="710"/>
      <c r="AU391" s="710"/>
      <c r="AV391" s="710"/>
      <c r="AW391" s="710"/>
      <c r="AX391" s="710"/>
      <c r="AY391" s="427"/>
    </row>
    <row r="392" spans="1:51" ht="27.75" customHeight="1" x14ac:dyDescent="0.25">
      <c r="A392" s="829"/>
      <c r="B392" s="710"/>
      <c r="C392" s="710"/>
      <c r="D392" s="408" t="s">
        <v>347</v>
      </c>
      <c r="E392" s="179"/>
      <c r="F392" s="180"/>
      <c r="G392" s="174"/>
      <c r="H392" s="174"/>
      <c r="I392" s="174"/>
      <c r="J392" s="410">
        <v>300</v>
      </c>
      <c r="K392" s="409"/>
      <c r="L392" s="410"/>
      <c r="M392" s="410"/>
      <c r="N392" s="410"/>
      <c r="O392" s="410"/>
      <c r="P392" s="410"/>
      <c r="Q392" s="410">
        <v>12</v>
      </c>
      <c r="R392" s="416">
        <v>17</v>
      </c>
      <c r="S392" s="411"/>
      <c r="T392" s="167"/>
      <c r="U392" s="167"/>
      <c r="V392" s="167"/>
      <c r="W392" s="410">
        <v>300</v>
      </c>
      <c r="X392" s="411"/>
      <c r="Y392" s="411"/>
      <c r="Z392" s="411"/>
      <c r="AA392" s="433"/>
      <c r="AB392" s="419"/>
      <c r="AC392" s="401"/>
      <c r="AD392" s="409">
        <v>12</v>
      </c>
      <c r="AE392" s="420">
        <v>17</v>
      </c>
      <c r="AF392" s="713"/>
      <c r="AG392" s="829"/>
      <c r="AH392" s="710"/>
      <c r="AI392" s="710"/>
      <c r="AJ392" s="710"/>
      <c r="AK392" s="710"/>
      <c r="AL392" s="710"/>
      <c r="AM392" s="710"/>
      <c r="AN392" s="710"/>
      <c r="AO392" s="710"/>
      <c r="AP392" s="710"/>
      <c r="AQ392" s="710"/>
      <c r="AR392" s="710"/>
      <c r="AS392" s="710"/>
      <c r="AT392" s="710"/>
      <c r="AU392" s="710"/>
      <c r="AV392" s="710"/>
      <c r="AW392" s="710"/>
      <c r="AX392" s="710"/>
      <c r="AY392" s="427"/>
    </row>
    <row r="393" spans="1:51" ht="27.75" customHeight="1" x14ac:dyDescent="0.25">
      <c r="A393" s="829"/>
      <c r="B393" s="710"/>
      <c r="C393" s="731"/>
      <c r="D393" s="412" t="s">
        <v>348</v>
      </c>
      <c r="E393" s="179"/>
      <c r="F393" s="180"/>
      <c r="G393" s="174"/>
      <c r="H393" s="174"/>
      <c r="I393" s="174"/>
      <c r="J393" s="410" t="e">
        <f>+J392*$J$299/$J$298</f>
        <v>#REF!</v>
      </c>
      <c r="K393" s="409"/>
      <c r="L393" s="410"/>
      <c r="M393" s="410"/>
      <c r="N393" s="410"/>
      <c r="O393" s="410"/>
      <c r="P393" s="410"/>
      <c r="Q393" s="410" t="e">
        <f>+Q392*$Q$299/$Q$298</f>
        <v>#VALUE!</v>
      </c>
      <c r="R393" s="410" t="e">
        <f>+R392*$R$299/$R$298</f>
        <v>#VALUE!</v>
      </c>
      <c r="S393" s="411"/>
      <c r="T393" s="167"/>
      <c r="U393" s="167"/>
      <c r="V393" s="167"/>
      <c r="W393" s="410" t="e">
        <f>+W392*$W$299/$W$298</f>
        <v>#REF!</v>
      </c>
      <c r="X393" s="411"/>
      <c r="Y393" s="411"/>
      <c r="Z393" s="411"/>
      <c r="AA393" s="433"/>
      <c r="AB393" s="419"/>
      <c r="AC393" s="401"/>
      <c r="AD393" s="409" t="e">
        <f>+AD392*$AD$299/$AD$298</f>
        <v>#VALUE!</v>
      </c>
      <c r="AE393" s="409" t="e">
        <f>+AE392*$AE$299/$AE$298</f>
        <v>#VALUE!</v>
      </c>
      <c r="AF393" s="714"/>
      <c r="AG393" s="823"/>
      <c r="AH393" s="731"/>
      <c r="AI393" s="731"/>
      <c r="AJ393" s="731"/>
      <c r="AK393" s="731"/>
      <c r="AL393" s="731"/>
      <c r="AM393" s="731"/>
      <c r="AN393" s="731"/>
      <c r="AO393" s="731"/>
      <c r="AP393" s="731"/>
      <c r="AQ393" s="731"/>
      <c r="AR393" s="731"/>
      <c r="AS393" s="731"/>
      <c r="AT393" s="731"/>
      <c r="AU393" s="731"/>
      <c r="AV393" s="731"/>
      <c r="AW393" s="731"/>
      <c r="AX393" s="731"/>
      <c r="AY393" s="427"/>
    </row>
    <row r="394" spans="1:51" ht="18.75" hidden="1" customHeight="1" x14ac:dyDescent="0.25">
      <c r="A394" s="829"/>
      <c r="B394" s="710"/>
      <c r="C394" s="818" t="s">
        <v>656</v>
      </c>
      <c r="D394" s="413" t="s">
        <v>340</v>
      </c>
      <c r="E394" s="179"/>
      <c r="F394" s="180"/>
      <c r="G394" s="174"/>
      <c r="H394" s="174"/>
      <c r="I394" s="174"/>
      <c r="J394" s="410"/>
      <c r="K394" s="409"/>
      <c r="L394" s="410"/>
      <c r="M394" s="410"/>
      <c r="N394" s="410">
        <v>30</v>
      </c>
      <c r="O394" s="410">
        <v>30</v>
      </c>
      <c r="P394" s="410">
        <v>30</v>
      </c>
      <c r="Q394" s="410">
        <v>30</v>
      </c>
      <c r="R394" s="416">
        <v>30</v>
      </c>
      <c r="S394" s="411"/>
      <c r="T394" s="167"/>
      <c r="U394" s="167"/>
      <c r="V394" s="167"/>
      <c r="W394" s="415"/>
      <c r="X394" s="411"/>
      <c r="Y394" s="411"/>
      <c r="Z394" s="411"/>
      <c r="AA394" s="433">
        <v>30</v>
      </c>
      <c r="AB394" s="419">
        <v>30</v>
      </c>
      <c r="AC394" s="401">
        <v>30</v>
      </c>
      <c r="AD394" s="409">
        <v>30</v>
      </c>
      <c r="AE394" s="420">
        <v>30</v>
      </c>
      <c r="AF394" s="426"/>
      <c r="AG394" s="913" t="s">
        <v>656</v>
      </c>
      <c r="AH394" s="813" t="s">
        <v>1313</v>
      </c>
      <c r="AI394" s="813" t="s">
        <v>1314</v>
      </c>
      <c r="AJ394" s="914" t="s">
        <v>1315</v>
      </c>
      <c r="AK394" s="813" t="s">
        <v>457</v>
      </c>
      <c r="AL394" s="813" t="s">
        <v>178</v>
      </c>
      <c r="AM394" s="813" t="s">
        <v>1275</v>
      </c>
      <c r="AN394" s="909">
        <v>1215896</v>
      </c>
      <c r="AO394" s="910">
        <v>572451</v>
      </c>
      <c r="AP394" s="910">
        <v>643445</v>
      </c>
      <c r="AQ394" s="911" t="s">
        <v>459</v>
      </c>
      <c r="AR394" s="911" t="s">
        <v>459</v>
      </c>
      <c r="AS394" s="911" t="s">
        <v>459</v>
      </c>
      <c r="AT394" s="911" t="s">
        <v>459</v>
      </c>
      <c r="AU394" s="915" t="s">
        <v>459</v>
      </c>
      <c r="AV394" s="915" t="s">
        <v>459</v>
      </c>
      <c r="AW394" s="915" t="s">
        <v>459</v>
      </c>
      <c r="AX394" s="910">
        <v>1215896</v>
      </c>
      <c r="AY394" s="427"/>
    </row>
    <row r="395" spans="1:51" ht="18" hidden="1" customHeight="1" x14ac:dyDescent="0.25">
      <c r="A395" s="829"/>
      <c r="B395" s="710"/>
      <c r="C395" s="710"/>
      <c r="D395" s="404" t="s">
        <v>343</v>
      </c>
      <c r="E395" s="179"/>
      <c r="F395" s="180"/>
      <c r="G395" s="174"/>
      <c r="H395" s="174"/>
      <c r="I395" s="174"/>
      <c r="J395" s="410"/>
      <c r="K395" s="409"/>
      <c r="L395" s="410"/>
      <c r="M395" s="410"/>
      <c r="N395" s="410">
        <f>+N394*$N$299/$N$298</f>
        <v>294552</v>
      </c>
      <c r="O395" s="410">
        <f>+O394*$O$299/$O$298</f>
        <v>294552</v>
      </c>
      <c r="P395" s="410" t="e">
        <f>+P394*$P$299/$P$298</f>
        <v>#VALUE!</v>
      </c>
      <c r="Q395" s="410" t="e">
        <f>+Q394*$Q$299/$Q$298</f>
        <v>#VALUE!</v>
      </c>
      <c r="R395" s="410" t="e">
        <f>+R394*$R$299/$R$298</f>
        <v>#VALUE!</v>
      </c>
      <c r="S395" s="411"/>
      <c r="T395" s="167"/>
      <c r="U395" s="167"/>
      <c r="V395" s="167"/>
      <c r="W395" s="415"/>
      <c r="X395" s="411"/>
      <c r="Y395" s="411"/>
      <c r="Z395" s="411"/>
      <c r="AA395" s="409">
        <f>+AA394*$AA$299/$AA$298</f>
        <v>430121.45748987852</v>
      </c>
      <c r="AB395" s="409">
        <f>+AB394*$AB$299/$AB$298</f>
        <v>253556.08591885443</v>
      </c>
      <c r="AC395" s="409" t="e">
        <f>+AC394*$AC$299/$AC$298</f>
        <v>#VALUE!</v>
      </c>
      <c r="AD395" s="409" t="e">
        <f>+AD394*$AD$299/$AD$298</f>
        <v>#VALUE!</v>
      </c>
      <c r="AE395" s="409" t="e">
        <f>+AE394*$AE$299/$AE$298</f>
        <v>#VALUE!</v>
      </c>
      <c r="AF395" s="426"/>
      <c r="AG395" s="829"/>
      <c r="AH395" s="710"/>
      <c r="AI395" s="710"/>
      <c r="AJ395" s="710"/>
      <c r="AK395" s="710"/>
      <c r="AL395" s="710"/>
      <c r="AM395" s="710"/>
      <c r="AN395" s="710"/>
      <c r="AO395" s="710"/>
      <c r="AP395" s="710"/>
      <c r="AQ395" s="710"/>
      <c r="AR395" s="710"/>
      <c r="AS395" s="710"/>
      <c r="AT395" s="710"/>
      <c r="AU395" s="710"/>
      <c r="AV395" s="710"/>
      <c r="AW395" s="710"/>
      <c r="AX395" s="710"/>
      <c r="AY395" s="427"/>
    </row>
    <row r="396" spans="1:51" ht="27" hidden="1" customHeight="1" x14ac:dyDescent="0.25">
      <c r="A396" s="829"/>
      <c r="B396" s="710"/>
      <c r="C396" s="710"/>
      <c r="D396" s="408" t="s">
        <v>345</v>
      </c>
      <c r="E396" s="179"/>
      <c r="F396" s="180"/>
      <c r="G396" s="174"/>
      <c r="H396" s="174"/>
      <c r="I396" s="174"/>
      <c r="J396" s="410"/>
      <c r="K396" s="409"/>
      <c r="L396" s="410"/>
      <c r="M396" s="410"/>
      <c r="N396" s="410"/>
      <c r="O396" s="410"/>
      <c r="P396" s="410"/>
      <c r="Q396" s="410"/>
      <c r="R396" s="416"/>
      <c r="S396" s="411"/>
      <c r="T396" s="167"/>
      <c r="U396" s="167"/>
      <c r="V396" s="167"/>
      <c r="W396" s="415"/>
      <c r="X396" s="411"/>
      <c r="Y396" s="411"/>
      <c r="Z396" s="411"/>
      <c r="AA396" s="433"/>
      <c r="AB396" s="419"/>
      <c r="AC396" s="401"/>
      <c r="AD396" s="409"/>
      <c r="AE396" s="420"/>
      <c r="AF396" s="426"/>
      <c r="AG396" s="829"/>
      <c r="AH396" s="710"/>
      <c r="AI396" s="710"/>
      <c r="AJ396" s="710"/>
      <c r="AK396" s="710"/>
      <c r="AL396" s="710"/>
      <c r="AM396" s="710"/>
      <c r="AN396" s="710"/>
      <c r="AO396" s="710"/>
      <c r="AP396" s="710"/>
      <c r="AQ396" s="710"/>
      <c r="AR396" s="710"/>
      <c r="AS396" s="710"/>
      <c r="AT396" s="710"/>
      <c r="AU396" s="710"/>
      <c r="AV396" s="710"/>
      <c r="AW396" s="710"/>
      <c r="AX396" s="710"/>
      <c r="AY396" s="427"/>
    </row>
    <row r="397" spans="1:51" ht="27" hidden="1" customHeight="1" x14ac:dyDescent="0.25">
      <c r="A397" s="829"/>
      <c r="B397" s="710"/>
      <c r="C397" s="710"/>
      <c r="D397" s="404" t="s">
        <v>346</v>
      </c>
      <c r="E397" s="179"/>
      <c r="F397" s="180"/>
      <c r="G397" s="174"/>
      <c r="H397" s="174"/>
      <c r="I397" s="174"/>
      <c r="J397" s="410"/>
      <c r="K397" s="409"/>
      <c r="L397" s="410"/>
      <c r="M397" s="410"/>
      <c r="N397" s="410"/>
      <c r="O397" s="410"/>
      <c r="P397" s="410"/>
      <c r="Q397" s="410"/>
      <c r="R397" s="416"/>
      <c r="S397" s="411"/>
      <c r="T397" s="167"/>
      <c r="U397" s="167"/>
      <c r="V397" s="167"/>
      <c r="W397" s="415"/>
      <c r="X397" s="411"/>
      <c r="Y397" s="411"/>
      <c r="Z397" s="411"/>
      <c r="AA397" s="433"/>
      <c r="AB397" s="419"/>
      <c r="AC397" s="401"/>
      <c r="AD397" s="409"/>
      <c r="AE397" s="420"/>
      <c r="AF397" s="426"/>
      <c r="AG397" s="829"/>
      <c r="AH397" s="710"/>
      <c r="AI397" s="710"/>
      <c r="AJ397" s="710"/>
      <c r="AK397" s="710"/>
      <c r="AL397" s="710"/>
      <c r="AM397" s="710"/>
      <c r="AN397" s="710"/>
      <c r="AO397" s="710"/>
      <c r="AP397" s="710"/>
      <c r="AQ397" s="710"/>
      <c r="AR397" s="710"/>
      <c r="AS397" s="710"/>
      <c r="AT397" s="710"/>
      <c r="AU397" s="710"/>
      <c r="AV397" s="710"/>
      <c r="AW397" s="710"/>
      <c r="AX397" s="710"/>
      <c r="AY397" s="427"/>
    </row>
    <row r="398" spans="1:51" ht="27" hidden="1" customHeight="1" x14ac:dyDescent="0.25">
      <c r="A398" s="829"/>
      <c r="B398" s="710"/>
      <c r="C398" s="710"/>
      <c r="D398" s="408" t="s">
        <v>347</v>
      </c>
      <c r="E398" s="179"/>
      <c r="F398" s="180"/>
      <c r="G398" s="174"/>
      <c r="H398" s="174"/>
      <c r="I398" s="174"/>
      <c r="J398" s="410"/>
      <c r="K398" s="409"/>
      <c r="L398" s="410"/>
      <c r="M398" s="410"/>
      <c r="N398" s="410"/>
      <c r="O398" s="410">
        <f>+O394</f>
        <v>30</v>
      </c>
      <c r="P398" s="410">
        <v>30</v>
      </c>
      <c r="Q398" s="410">
        <v>30</v>
      </c>
      <c r="R398" s="416">
        <v>30</v>
      </c>
      <c r="S398" s="411"/>
      <c r="T398" s="167"/>
      <c r="U398" s="167"/>
      <c r="V398" s="167"/>
      <c r="W398" s="415"/>
      <c r="X398" s="411"/>
      <c r="Y398" s="411"/>
      <c r="Z398" s="411"/>
      <c r="AA398" s="433"/>
      <c r="AB398" s="409">
        <f>+AB394</f>
        <v>30</v>
      </c>
      <c r="AC398" s="401">
        <v>30</v>
      </c>
      <c r="AD398" s="409">
        <v>30</v>
      </c>
      <c r="AE398" s="420">
        <v>30</v>
      </c>
      <c r="AF398" s="426"/>
      <c r="AG398" s="829"/>
      <c r="AH398" s="710"/>
      <c r="AI398" s="710"/>
      <c r="AJ398" s="710"/>
      <c r="AK398" s="710"/>
      <c r="AL398" s="710"/>
      <c r="AM398" s="710"/>
      <c r="AN398" s="710"/>
      <c r="AO398" s="710"/>
      <c r="AP398" s="710"/>
      <c r="AQ398" s="710"/>
      <c r="AR398" s="710"/>
      <c r="AS398" s="710"/>
      <c r="AT398" s="710"/>
      <c r="AU398" s="710"/>
      <c r="AV398" s="710"/>
      <c r="AW398" s="710"/>
      <c r="AX398" s="710"/>
      <c r="AY398" s="427"/>
    </row>
    <row r="399" spans="1:51" ht="27.75" hidden="1" customHeight="1" x14ac:dyDescent="0.25">
      <c r="A399" s="829"/>
      <c r="B399" s="710"/>
      <c r="C399" s="731"/>
      <c r="D399" s="412" t="s">
        <v>348</v>
      </c>
      <c r="E399" s="179"/>
      <c r="F399" s="180"/>
      <c r="G399" s="174"/>
      <c r="H399" s="174"/>
      <c r="I399" s="174"/>
      <c r="J399" s="410"/>
      <c r="K399" s="409"/>
      <c r="L399" s="410"/>
      <c r="M399" s="410"/>
      <c r="N399" s="410"/>
      <c r="O399" s="410">
        <f>+O395</f>
        <v>294552</v>
      </c>
      <c r="P399" s="410" t="e">
        <f>+P398*$P$299/$P$298</f>
        <v>#VALUE!</v>
      </c>
      <c r="Q399" s="410" t="e">
        <f>+Q398*$Q$299/$Q$298</f>
        <v>#VALUE!</v>
      </c>
      <c r="R399" s="410" t="e">
        <f>+R398*$R$299/$R$298</f>
        <v>#VALUE!</v>
      </c>
      <c r="S399" s="411"/>
      <c r="T399" s="167"/>
      <c r="U399" s="167"/>
      <c r="V399" s="167"/>
      <c r="W399" s="415"/>
      <c r="X399" s="411"/>
      <c r="Y399" s="411"/>
      <c r="Z399" s="411"/>
      <c r="AA399" s="433"/>
      <c r="AB399" s="409">
        <f>+AB395</f>
        <v>253556.08591885443</v>
      </c>
      <c r="AC399" s="409" t="e">
        <f>+AC398*$AC$299/$AC$298</f>
        <v>#VALUE!</v>
      </c>
      <c r="AD399" s="409" t="e">
        <f>+AD398*$AD$299/$AD$298</f>
        <v>#VALUE!</v>
      </c>
      <c r="AE399" s="409" t="e">
        <f>+AE398*$AE$299/$AE$298</f>
        <v>#VALUE!</v>
      </c>
      <c r="AF399" s="426"/>
      <c r="AG399" s="823"/>
      <c r="AH399" s="731"/>
      <c r="AI399" s="731"/>
      <c r="AJ399" s="731"/>
      <c r="AK399" s="731"/>
      <c r="AL399" s="731"/>
      <c r="AM399" s="731"/>
      <c r="AN399" s="731"/>
      <c r="AO399" s="731"/>
      <c r="AP399" s="731"/>
      <c r="AQ399" s="731"/>
      <c r="AR399" s="731"/>
      <c r="AS399" s="731"/>
      <c r="AT399" s="731"/>
      <c r="AU399" s="731"/>
      <c r="AV399" s="731"/>
      <c r="AW399" s="731"/>
      <c r="AX399" s="731"/>
      <c r="AY399" s="427"/>
    </row>
    <row r="400" spans="1:51" ht="18.75" hidden="1" customHeight="1" x14ac:dyDescent="0.25">
      <c r="A400" s="829"/>
      <c r="B400" s="710"/>
      <c r="C400" s="818" t="s">
        <v>659</v>
      </c>
      <c r="D400" s="413" t="s">
        <v>340</v>
      </c>
      <c r="E400" s="179"/>
      <c r="F400" s="180"/>
      <c r="G400" s="174"/>
      <c r="H400" s="174"/>
      <c r="I400" s="174"/>
      <c r="J400" s="410"/>
      <c r="K400" s="409"/>
      <c r="L400" s="410"/>
      <c r="M400" s="410"/>
      <c r="N400" s="410"/>
      <c r="O400" s="410"/>
      <c r="P400" s="410"/>
      <c r="Q400" s="410">
        <v>15</v>
      </c>
      <c r="R400" s="416">
        <v>15</v>
      </c>
      <c r="S400" s="411"/>
      <c r="T400" s="167"/>
      <c r="U400" s="167"/>
      <c r="V400" s="167"/>
      <c r="W400" s="415"/>
      <c r="X400" s="411"/>
      <c r="Y400" s="411"/>
      <c r="Z400" s="411"/>
      <c r="AA400" s="433"/>
      <c r="AB400" s="419"/>
      <c r="AC400" s="401"/>
      <c r="AD400" s="409">
        <v>15</v>
      </c>
      <c r="AE400" s="420">
        <v>15</v>
      </c>
      <c r="AF400" s="426"/>
      <c r="AG400" s="913" t="s">
        <v>659</v>
      </c>
      <c r="AH400" s="813" t="s">
        <v>660</v>
      </c>
      <c r="AI400" s="813" t="s">
        <v>1316</v>
      </c>
      <c r="AJ400" s="914" t="s">
        <v>1315</v>
      </c>
      <c r="AK400" s="813" t="s">
        <v>457</v>
      </c>
      <c r="AL400" s="813" t="s">
        <v>178</v>
      </c>
      <c r="AM400" s="813" t="s">
        <v>1275</v>
      </c>
      <c r="AN400" s="909">
        <v>270280</v>
      </c>
      <c r="AO400" s="910">
        <v>64519</v>
      </c>
      <c r="AP400" s="910">
        <v>72507</v>
      </c>
      <c r="AQ400" s="911" t="s">
        <v>459</v>
      </c>
      <c r="AR400" s="911" t="s">
        <v>459</v>
      </c>
      <c r="AS400" s="911" t="s">
        <v>459</v>
      </c>
      <c r="AT400" s="911" t="s">
        <v>459</v>
      </c>
      <c r="AU400" s="915" t="s">
        <v>459</v>
      </c>
      <c r="AV400" s="915" t="s">
        <v>459</v>
      </c>
      <c r="AW400" s="915" t="s">
        <v>459</v>
      </c>
      <c r="AX400" s="910">
        <v>270280</v>
      </c>
      <c r="AY400" s="427"/>
    </row>
    <row r="401" spans="1:51" ht="18.75" hidden="1" customHeight="1" x14ac:dyDescent="0.25">
      <c r="A401" s="829"/>
      <c r="B401" s="710"/>
      <c r="C401" s="710"/>
      <c r="D401" s="404" t="s">
        <v>343</v>
      </c>
      <c r="E401" s="179"/>
      <c r="F401" s="180"/>
      <c r="G401" s="174"/>
      <c r="H401" s="174"/>
      <c r="I401" s="174"/>
      <c r="J401" s="410"/>
      <c r="K401" s="409"/>
      <c r="L401" s="410"/>
      <c r="M401" s="410"/>
      <c r="N401" s="410"/>
      <c r="O401" s="410"/>
      <c r="P401" s="410"/>
      <c r="Q401" s="410" t="e">
        <f>+Q400*$Q$299/$Q$298</f>
        <v>#VALUE!</v>
      </c>
      <c r="R401" s="410" t="e">
        <f>+R400*$R$299/$R$298</f>
        <v>#VALUE!</v>
      </c>
      <c r="S401" s="411"/>
      <c r="T401" s="167"/>
      <c r="U401" s="167"/>
      <c r="V401" s="167"/>
      <c r="W401" s="415"/>
      <c r="X401" s="411"/>
      <c r="Y401" s="411"/>
      <c r="Z401" s="411"/>
      <c r="AA401" s="433"/>
      <c r="AB401" s="419"/>
      <c r="AC401" s="401"/>
      <c r="AD401" s="409" t="e">
        <f>+AD400*$AD$299/$AD$298</f>
        <v>#VALUE!</v>
      </c>
      <c r="AE401" s="409" t="e">
        <f>+AE400*$AE$299/$AE$298</f>
        <v>#VALUE!</v>
      </c>
      <c r="AF401" s="426"/>
      <c r="AG401" s="829"/>
      <c r="AH401" s="710"/>
      <c r="AI401" s="710"/>
      <c r="AJ401" s="710"/>
      <c r="AK401" s="710"/>
      <c r="AL401" s="710"/>
      <c r="AM401" s="710"/>
      <c r="AN401" s="710"/>
      <c r="AO401" s="710"/>
      <c r="AP401" s="710"/>
      <c r="AQ401" s="710"/>
      <c r="AR401" s="710"/>
      <c r="AS401" s="710"/>
      <c r="AT401" s="710"/>
      <c r="AU401" s="710"/>
      <c r="AV401" s="710"/>
      <c r="AW401" s="710"/>
      <c r="AX401" s="710"/>
      <c r="AY401" s="427"/>
    </row>
    <row r="402" spans="1:51" ht="27.75" hidden="1" customHeight="1" x14ac:dyDescent="0.25">
      <c r="A402" s="829"/>
      <c r="B402" s="710"/>
      <c r="C402" s="710"/>
      <c r="D402" s="408" t="s">
        <v>345</v>
      </c>
      <c r="E402" s="179"/>
      <c r="F402" s="180"/>
      <c r="G402" s="174"/>
      <c r="H402" s="174"/>
      <c r="I402" s="174"/>
      <c r="J402" s="410"/>
      <c r="K402" s="409"/>
      <c r="L402" s="410"/>
      <c r="M402" s="410"/>
      <c r="N402" s="410"/>
      <c r="O402" s="410"/>
      <c r="P402" s="410"/>
      <c r="Q402" s="410"/>
      <c r="R402" s="416"/>
      <c r="S402" s="411"/>
      <c r="T402" s="167"/>
      <c r="U402" s="167"/>
      <c r="V402" s="167"/>
      <c r="W402" s="415"/>
      <c r="X402" s="411"/>
      <c r="Y402" s="411"/>
      <c r="Z402" s="411"/>
      <c r="AA402" s="433"/>
      <c r="AB402" s="419"/>
      <c r="AC402" s="401"/>
      <c r="AD402" s="409"/>
      <c r="AE402" s="420"/>
      <c r="AF402" s="426"/>
      <c r="AG402" s="829"/>
      <c r="AH402" s="710"/>
      <c r="AI402" s="710"/>
      <c r="AJ402" s="710"/>
      <c r="AK402" s="710"/>
      <c r="AL402" s="710"/>
      <c r="AM402" s="710"/>
      <c r="AN402" s="710"/>
      <c r="AO402" s="710"/>
      <c r="AP402" s="710"/>
      <c r="AQ402" s="710"/>
      <c r="AR402" s="710"/>
      <c r="AS402" s="710"/>
      <c r="AT402" s="710"/>
      <c r="AU402" s="710"/>
      <c r="AV402" s="710"/>
      <c r="AW402" s="710"/>
      <c r="AX402" s="710"/>
      <c r="AY402" s="427"/>
    </row>
    <row r="403" spans="1:51" ht="27.75" hidden="1" customHeight="1" x14ac:dyDescent="0.25">
      <c r="A403" s="829"/>
      <c r="B403" s="710"/>
      <c r="C403" s="710"/>
      <c r="D403" s="404" t="s">
        <v>346</v>
      </c>
      <c r="E403" s="179"/>
      <c r="F403" s="180"/>
      <c r="G403" s="174"/>
      <c r="H403" s="174"/>
      <c r="I403" s="174"/>
      <c r="J403" s="410"/>
      <c r="K403" s="409"/>
      <c r="L403" s="410"/>
      <c r="M403" s="410"/>
      <c r="N403" s="410"/>
      <c r="O403" s="410"/>
      <c r="P403" s="410"/>
      <c r="Q403" s="410"/>
      <c r="R403" s="416"/>
      <c r="S403" s="411"/>
      <c r="T403" s="167"/>
      <c r="U403" s="167"/>
      <c r="V403" s="167"/>
      <c r="W403" s="415"/>
      <c r="X403" s="411"/>
      <c r="Y403" s="411"/>
      <c r="Z403" s="411"/>
      <c r="AA403" s="433"/>
      <c r="AB403" s="419"/>
      <c r="AC403" s="401"/>
      <c r="AD403" s="409"/>
      <c r="AE403" s="420"/>
      <c r="AF403" s="426"/>
      <c r="AG403" s="829"/>
      <c r="AH403" s="710"/>
      <c r="AI403" s="710"/>
      <c r="AJ403" s="710"/>
      <c r="AK403" s="710"/>
      <c r="AL403" s="710"/>
      <c r="AM403" s="710"/>
      <c r="AN403" s="710"/>
      <c r="AO403" s="710"/>
      <c r="AP403" s="710"/>
      <c r="AQ403" s="710"/>
      <c r="AR403" s="710"/>
      <c r="AS403" s="710"/>
      <c r="AT403" s="710"/>
      <c r="AU403" s="710"/>
      <c r="AV403" s="710"/>
      <c r="AW403" s="710"/>
      <c r="AX403" s="710"/>
      <c r="AY403" s="427"/>
    </row>
    <row r="404" spans="1:51" ht="27.75" hidden="1" customHeight="1" x14ac:dyDescent="0.25">
      <c r="A404" s="829"/>
      <c r="B404" s="710"/>
      <c r="C404" s="710"/>
      <c r="D404" s="408" t="s">
        <v>347</v>
      </c>
      <c r="E404" s="179"/>
      <c r="F404" s="180"/>
      <c r="G404" s="174"/>
      <c r="H404" s="174"/>
      <c r="I404" s="174"/>
      <c r="J404" s="410"/>
      <c r="K404" s="409"/>
      <c r="L404" s="410"/>
      <c r="M404" s="410"/>
      <c r="N404" s="410"/>
      <c r="O404" s="410"/>
      <c r="P404" s="410"/>
      <c r="Q404" s="410">
        <v>15</v>
      </c>
      <c r="R404" s="416">
        <v>15</v>
      </c>
      <c r="S404" s="411"/>
      <c r="T404" s="167"/>
      <c r="U404" s="167"/>
      <c r="V404" s="167"/>
      <c r="W404" s="415"/>
      <c r="X404" s="411"/>
      <c r="Y404" s="411"/>
      <c r="Z404" s="411"/>
      <c r="AA404" s="433"/>
      <c r="AB404" s="419"/>
      <c r="AC404" s="401"/>
      <c r="AD404" s="409">
        <v>15</v>
      </c>
      <c r="AE404" s="420">
        <v>15</v>
      </c>
      <c r="AF404" s="426"/>
      <c r="AG404" s="829"/>
      <c r="AH404" s="710"/>
      <c r="AI404" s="710"/>
      <c r="AJ404" s="710"/>
      <c r="AK404" s="710"/>
      <c r="AL404" s="710"/>
      <c r="AM404" s="710"/>
      <c r="AN404" s="710"/>
      <c r="AO404" s="710"/>
      <c r="AP404" s="710"/>
      <c r="AQ404" s="710"/>
      <c r="AR404" s="710"/>
      <c r="AS404" s="710"/>
      <c r="AT404" s="710"/>
      <c r="AU404" s="710"/>
      <c r="AV404" s="710"/>
      <c r="AW404" s="710"/>
      <c r="AX404" s="710"/>
      <c r="AY404" s="427"/>
    </row>
    <row r="405" spans="1:51" ht="27.75" hidden="1" customHeight="1" x14ac:dyDescent="0.25">
      <c r="A405" s="829"/>
      <c r="B405" s="710"/>
      <c r="C405" s="731"/>
      <c r="D405" s="412" t="s">
        <v>348</v>
      </c>
      <c r="E405" s="179"/>
      <c r="F405" s="180"/>
      <c r="G405" s="174"/>
      <c r="H405" s="174"/>
      <c r="I405" s="174"/>
      <c r="J405" s="410"/>
      <c r="K405" s="409"/>
      <c r="L405" s="410"/>
      <c r="M405" s="410"/>
      <c r="N405" s="410"/>
      <c r="O405" s="410"/>
      <c r="P405" s="410"/>
      <c r="Q405" s="410" t="e">
        <f>+Q404*$Q$299/$Q$298</f>
        <v>#VALUE!</v>
      </c>
      <c r="R405" s="410" t="e">
        <f>+R404*$R$299/$R$298</f>
        <v>#VALUE!</v>
      </c>
      <c r="S405" s="411"/>
      <c r="T405" s="167"/>
      <c r="U405" s="167"/>
      <c r="V405" s="167"/>
      <c r="W405" s="415"/>
      <c r="X405" s="411"/>
      <c r="Y405" s="411"/>
      <c r="Z405" s="411"/>
      <c r="AA405" s="433"/>
      <c r="AB405" s="419"/>
      <c r="AC405" s="401"/>
      <c r="AD405" s="409" t="e">
        <f>+AD404*$AD$299/$AD$298</f>
        <v>#VALUE!</v>
      </c>
      <c r="AE405" s="409" t="e">
        <f>+AE404*$AE$299/$AE$298</f>
        <v>#VALUE!</v>
      </c>
      <c r="AF405" s="426"/>
      <c r="AG405" s="823"/>
      <c r="AH405" s="731"/>
      <c r="AI405" s="731"/>
      <c r="AJ405" s="731"/>
      <c r="AK405" s="731"/>
      <c r="AL405" s="731"/>
      <c r="AM405" s="731"/>
      <c r="AN405" s="731"/>
      <c r="AO405" s="731"/>
      <c r="AP405" s="731"/>
      <c r="AQ405" s="731"/>
      <c r="AR405" s="731"/>
      <c r="AS405" s="731"/>
      <c r="AT405" s="731"/>
      <c r="AU405" s="731"/>
      <c r="AV405" s="731"/>
      <c r="AW405" s="731"/>
      <c r="AX405" s="731"/>
      <c r="AY405" s="427"/>
    </row>
    <row r="406" spans="1:51" ht="18.75" hidden="1" customHeight="1" x14ac:dyDescent="0.25">
      <c r="A406" s="829"/>
      <c r="B406" s="710"/>
      <c r="C406" s="818" t="s">
        <v>1192</v>
      </c>
      <c r="D406" s="413" t="s">
        <v>340</v>
      </c>
      <c r="E406" s="179"/>
      <c r="F406" s="180"/>
      <c r="G406" s="174"/>
      <c r="H406" s="174"/>
      <c r="I406" s="174"/>
      <c r="J406" s="410"/>
      <c r="K406" s="409"/>
      <c r="L406" s="410"/>
      <c r="M406" s="410"/>
      <c r="N406" s="410"/>
      <c r="O406" s="410"/>
      <c r="P406" s="410"/>
      <c r="Q406" s="410"/>
      <c r="R406" s="416"/>
      <c r="S406" s="411"/>
      <c r="T406" s="167"/>
      <c r="U406" s="167"/>
      <c r="V406" s="167"/>
      <c r="W406" s="415"/>
      <c r="X406" s="411"/>
      <c r="Y406" s="411"/>
      <c r="Z406" s="411"/>
      <c r="AA406" s="433"/>
      <c r="AB406" s="419"/>
      <c r="AC406" s="401"/>
      <c r="AD406" s="409"/>
      <c r="AE406" s="420"/>
      <c r="AF406" s="426"/>
      <c r="AG406" s="913" t="s">
        <v>1192</v>
      </c>
      <c r="AH406" s="813" t="s">
        <v>633</v>
      </c>
      <c r="AI406" s="813" t="s">
        <v>633</v>
      </c>
      <c r="AJ406" s="813" t="s">
        <v>633</v>
      </c>
      <c r="AK406" s="813" t="s">
        <v>457</v>
      </c>
      <c r="AL406" s="813" t="s">
        <v>178</v>
      </c>
      <c r="AM406" s="813" t="s">
        <v>1275</v>
      </c>
      <c r="AN406" s="909">
        <v>140135</v>
      </c>
      <c r="AO406" s="910">
        <v>70844</v>
      </c>
      <c r="AP406" s="910">
        <v>80573</v>
      </c>
      <c r="AQ406" s="911" t="s">
        <v>459</v>
      </c>
      <c r="AR406" s="911" t="s">
        <v>459</v>
      </c>
      <c r="AS406" s="911" t="s">
        <v>459</v>
      </c>
      <c r="AT406" s="911" t="s">
        <v>459</v>
      </c>
      <c r="AU406" s="915" t="s">
        <v>459</v>
      </c>
      <c r="AV406" s="915" t="s">
        <v>459</v>
      </c>
      <c r="AW406" s="915" t="s">
        <v>459</v>
      </c>
      <c r="AX406" s="910">
        <v>140135</v>
      </c>
      <c r="AY406" s="427"/>
    </row>
    <row r="407" spans="1:51" ht="18.75" hidden="1" customHeight="1" x14ac:dyDescent="0.25">
      <c r="A407" s="829"/>
      <c r="B407" s="710"/>
      <c r="C407" s="710"/>
      <c r="D407" s="404" t="s">
        <v>343</v>
      </c>
      <c r="E407" s="179"/>
      <c r="F407" s="180"/>
      <c r="G407" s="174"/>
      <c r="H407" s="174"/>
      <c r="I407" s="174"/>
      <c r="J407" s="410"/>
      <c r="K407" s="409"/>
      <c r="L407" s="410"/>
      <c r="M407" s="410"/>
      <c r="N407" s="410"/>
      <c r="O407" s="410"/>
      <c r="P407" s="410"/>
      <c r="Q407" s="410"/>
      <c r="R407" s="416"/>
      <c r="S407" s="411"/>
      <c r="T407" s="167"/>
      <c r="U407" s="167"/>
      <c r="V407" s="167"/>
      <c r="W407" s="415"/>
      <c r="X407" s="411"/>
      <c r="Y407" s="411"/>
      <c r="Z407" s="411"/>
      <c r="AA407" s="433"/>
      <c r="AB407" s="419"/>
      <c r="AC407" s="401"/>
      <c r="AD407" s="409"/>
      <c r="AE407" s="420"/>
      <c r="AF407" s="426"/>
      <c r="AG407" s="829"/>
      <c r="AH407" s="710"/>
      <c r="AI407" s="710"/>
      <c r="AJ407" s="710"/>
      <c r="AK407" s="710"/>
      <c r="AL407" s="710"/>
      <c r="AM407" s="710"/>
      <c r="AN407" s="710"/>
      <c r="AO407" s="710"/>
      <c r="AP407" s="710"/>
      <c r="AQ407" s="710"/>
      <c r="AR407" s="710"/>
      <c r="AS407" s="710"/>
      <c r="AT407" s="710"/>
      <c r="AU407" s="710"/>
      <c r="AV407" s="710"/>
      <c r="AW407" s="710"/>
      <c r="AX407" s="710"/>
      <c r="AY407" s="427"/>
    </row>
    <row r="408" spans="1:51" ht="27.75" hidden="1" customHeight="1" x14ac:dyDescent="0.25">
      <c r="A408" s="829"/>
      <c r="B408" s="710"/>
      <c r="C408" s="710"/>
      <c r="D408" s="408" t="s">
        <v>345</v>
      </c>
      <c r="E408" s="179"/>
      <c r="F408" s="180"/>
      <c r="G408" s="174"/>
      <c r="H408" s="174"/>
      <c r="I408" s="174"/>
      <c r="J408" s="410"/>
      <c r="K408" s="409"/>
      <c r="L408" s="410"/>
      <c r="M408" s="410"/>
      <c r="N408" s="410"/>
      <c r="O408" s="410"/>
      <c r="P408" s="410"/>
      <c r="Q408" s="410"/>
      <c r="R408" s="416"/>
      <c r="S408" s="411"/>
      <c r="T408" s="167"/>
      <c r="U408" s="167"/>
      <c r="V408" s="167"/>
      <c r="W408" s="415"/>
      <c r="X408" s="411"/>
      <c r="Y408" s="411"/>
      <c r="Z408" s="411"/>
      <c r="AA408" s="433"/>
      <c r="AB408" s="419"/>
      <c r="AC408" s="401"/>
      <c r="AD408" s="409"/>
      <c r="AE408" s="420"/>
      <c r="AF408" s="426"/>
      <c r="AG408" s="829"/>
      <c r="AH408" s="710"/>
      <c r="AI408" s="710"/>
      <c r="AJ408" s="710"/>
      <c r="AK408" s="710"/>
      <c r="AL408" s="710"/>
      <c r="AM408" s="710"/>
      <c r="AN408" s="710"/>
      <c r="AO408" s="710"/>
      <c r="AP408" s="710"/>
      <c r="AQ408" s="710"/>
      <c r="AR408" s="710"/>
      <c r="AS408" s="710"/>
      <c r="AT408" s="710"/>
      <c r="AU408" s="710"/>
      <c r="AV408" s="710"/>
      <c r="AW408" s="710"/>
      <c r="AX408" s="710"/>
      <c r="AY408" s="427"/>
    </row>
    <row r="409" spans="1:51" ht="27.75" hidden="1" customHeight="1" x14ac:dyDescent="0.25">
      <c r="A409" s="829"/>
      <c r="B409" s="710"/>
      <c r="C409" s="710"/>
      <c r="D409" s="404" t="s">
        <v>346</v>
      </c>
      <c r="E409" s="179"/>
      <c r="F409" s="180"/>
      <c r="G409" s="174"/>
      <c r="H409" s="174"/>
      <c r="I409" s="174"/>
      <c r="J409" s="410"/>
      <c r="K409" s="409"/>
      <c r="L409" s="410"/>
      <c r="M409" s="410"/>
      <c r="N409" s="410"/>
      <c r="O409" s="410"/>
      <c r="P409" s="410"/>
      <c r="Q409" s="410"/>
      <c r="R409" s="416"/>
      <c r="S409" s="411"/>
      <c r="T409" s="167"/>
      <c r="U409" s="167"/>
      <c r="V409" s="167"/>
      <c r="W409" s="415"/>
      <c r="X409" s="411"/>
      <c r="Y409" s="411"/>
      <c r="Z409" s="411"/>
      <c r="AA409" s="433"/>
      <c r="AB409" s="419"/>
      <c r="AC409" s="401"/>
      <c r="AD409" s="409"/>
      <c r="AE409" s="420"/>
      <c r="AF409" s="426"/>
      <c r="AG409" s="829"/>
      <c r="AH409" s="710"/>
      <c r="AI409" s="710"/>
      <c r="AJ409" s="710"/>
      <c r="AK409" s="710"/>
      <c r="AL409" s="710"/>
      <c r="AM409" s="710"/>
      <c r="AN409" s="710"/>
      <c r="AO409" s="710"/>
      <c r="AP409" s="710"/>
      <c r="AQ409" s="710"/>
      <c r="AR409" s="710"/>
      <c r="AS409" s="710"/>
      <c r="AT409" s="710"/>
      <c r="AU409" s="710"/>
      <c r="AV409" s="710"/>
      <c r="AW409" s="710"/>
      <c r="AX409" s="710"/>
      <c r="AY409" s="427"/>
    </row>
    <row r="410" spans="1:51" ht="27.75" hidden="1" customHeight="1" x14ac:dyDescent="0.25">
      <c r="A410" s="829"/>
      <c r="B410" s="710"/>
      <c r="C410" s="710"/>
      <c r="D410" s="408" t="s">
        <v>347</v>
      </c>
      <c r="E410" s="179"/>
      <c r="F410" s="180"/>
      <c r="G410" s="174"/>
      <c r="H410" s="174"/>
      <c r="I410" s="174"/>
      <c r="J410" s="410"/>
      <c r="K410" s="409"/>
      <c r="L410" s="410"/>
      <c r="M410" s="410"/>
      <c r="N410" s="410"/>
      <c r="O410" s="410"/>
      <c r="P410" s="410"/>
      <c r="Q410" s="410"/>
      <c r="R410" s="416"/>
      <c r="S410" s="411"/>
      <c r="T410" s="167"/>
      <c r="U410" s="167"/>
      <c r="V410" s="167"/>
      <c r="W410" s="415"/>
      <c r="X410" s="411"/>
      <c r="Y410" s="411"/>
      <c r="Z410" s="411"/>
      <c r="AA410" s="433"/>
      <c r="AB410" s="419"/>
      <c r="AC410" s="401"/>
      <c r="AD410" s="409"/>
      <c r="AE410" s="420"/>
      <c r="AF410" s="426"/>
      <c r="AG410" s="829"/>
      <c r="AH410" s="710"/>
      <c r="AI410" s="710"/>
      <c r="AJ410" s="710"/>
      <c r="AK410" s="710"/>
      <c r="AL410" s="710"/>
      <c r="AM410" s="710"/>
      <c r="AN410" s="710"/>
      <c r="AO410" s="710"/>
      <c r="AP410" s="710"/>
      <c r="AQ410" s="710"/>
      <c r="AR410" s="710"/>
      <c r="AS410" s="710"/>
      <c r="AT410" s="710"/>
      <c r="AU410" s="710"/>
      <c r="AV410" s="710"/>
      <c r="AW410" s="710"/>
      <c r="AX410" s="710"/>
      <c r="AY410" s="427"/>
    </row>
    <row r="411" spans="1:51" ht="27.75" hidden="1" customHeight="1" x14ac:dyDescent="0.25">
      <c r="A411" s="829"/>
      <c r="B411" s="710"/>
      <c r="C411" s="731"/>
      <c r="D411" s="412" t="s">
        <v>348</v>
      </c>
      <c r="E411" s="179"/>
      <c r="F411" s="180"/>
      <c r="G411" s="174"/>
      <c r="H411" s="174"/>
      <c r="I411" s="174"/>
      <c r="J411" s="410"/>
      <c r="K411" s="409"/>
      <c r="L411" s="410"/>
      <c r="M411" s="410"/>
      <c r="N411" s="410"/>
      <c r="O411" s="410"/>
      <c r="P411" s="410"/>
      <c r="Q411" s="410"/>
      <c r="R411" s="416"/>
      <c r="S411" s="411"/>
      <c r="T411" s="167"/>
      <c r="U411" s="167"/>
      <c r="V411" s="167"/>
      <c r="W411" s="415"/>
      <c r="X411" s="411"/>
      <c r="Y411" s="411"/>
      <c r="Z411" s="411"/>
      <c r="AA411" s="433"/>
      <c r="AB411" s="419"/>
      <c r="AC411" s="401"/>
      <c r="AD411" s="409"/>
      <c r="AE411" s="420"/>
      <c r="AF411" s="426"/>
      <c r="AG411" s="823"/>
      <c r="AH411" s="731"/>
      <c r="AI411" s="731"/>
      <c r="AJ411" s="731"/>
      <c r="AK411" s="731"/>
      <c r="AL411" s="731"/>
      <c r="AM411" s="731"/>
      <c r="AN411" s="731"/>
      <c r="AO411" s="731"/>
      <c r="AP411" s="731"/>
      <c r="AQ411" s="731"/>
      <c r="AR411" s="731"/>
      <c r="AS411" s="731"/>
      <c r="AT411" s="731"/>
      <c r="AU411" s="731"/>
      <c r="AV411" s="731"/>
      <c r="AW411" s="731"/>
      <c r="AX411" s="731"/>
      <c r="AY411" s="427"/>
    </row>
    <row r="412" spans="1:51" ht="18.75" customHeight="1" x14ac:dyDescent="0.25">
      <c r="A412" s="829"/>
      <c r="B412" s="710"/>
      <c r="C412" s="818" t="s">
        <v>1317</v>
      </c>
      <c r="D412" s="413" t="s">
        <v>340</v>
      </c>
      <c r="E412" s="179"/>
      <c r="F412" s="180"/>
      <c r="G412" s="174"/>
      <c r="H412" s="174"/>
      <c r="I412" s="174">
        <v>102</v>
      </c>
      <c r="J412" s="410">
        <v>102</v>
      </c>
      <c r="K412" s="414">
        <v>102</v>
      </c>
      <c r="L412" s="410"/>
      <c r="M412" s="410"/>
      <c r="N412" s="410"/>
      <c r="O412" s="410"/>
      <c r="P412" s="410"/>
      <c r="Q412" s="410"/>
      <c r="R412" s="416"/>
      <c r="S412" s="411"/>
      <c r="T412" s="167"/>
      <c r="U412" s="167"/>
      <c r="V412" s="167">
        <v>102</v>
      </c>
      <c r="W412" s="415">
        <v>102</v>
      </c>
      <c r="X412" s="418">
        <v>102</v>
      </c>
      <c r="Y412" s="411"/>
      <c r="Z412" s="411"/>
      <c r="AA412" s="433"/>
      <c r="AB412" s="419"/>
      <c r="AC412" s="401"/>
      <c r="AD412" s="409"/>
      <c r="AE412" s="420"/>
      <c r="AF412" s="916" t="s">
        <v>1318</v>
      </c>
      <c r="AG412" s="913" t="s">
        <v>662</v>
      </c>
      <c r="AH412" s="813" t="s">
        <v>499</v>
      </c>
      <c r="AI412" s="813" t="s">
        <v>1319</v>
      </c>
      <c r="AJ412" s="914" t="s">
        <v>1283</v>
      </c>
      <c r="AK412" s="813" t="s">
        <v>457</v>
      </c>
      <c r="AL412" s="813" t="s">
        <v>178</v>
      </c>
      <c r="AM412" s="813" t="s">
        <v>1275</v>
      </c>
      <c r="AN412" s="909">
        <v>93248</v>
      </c>
      <c r="AO412" s="910">
        <v>37102</v>
      </c>
      <c r="AP412" s="910">
        <v>38674</v>
      </c>
      <c r="AQ412" s="911" t="s">
        <v>459</v>
      </c>
      <c r="AR412" s="911" t="s">
        <v>459</v>
      </c>
      <c r="AS412" s="911" t="s">
        <v>459</v>
      </c>
      <c r="AT412" s="911" t="s">
        <v>459</v>
      </c>
      <c r="AU412" s="915" t="s">
        <v>459</v>
      </c>
      <c r="AV412" s="915" t="s">
        <v>459</v>
      </c>
      <c r="AW412" s="915" t="s">
        <v>459</v>
      </c>
      <c r="AX412" s="910">
        <v>93248</v>
      </c>
      <c r="AY412" s="427"/>
    </row>
    <row r="413" spans="1:51" ht="18.75" customHeight="1" x14ac:dyDescent="0.25">
      <c r="A413" s="829"/>
      <c r="B413" s="710"/>
      <c r="C413" s="710"/>
      <c r="D413" s="404" t="s">
        <v>343</v>
      </c>
      <c r="E413" s="179"/>
      <c r="F413" s="180"/>
      <c r="G413" s="174"/>
      <c r="H413" s="174"/>
      <c r="I413" s="174" t="e">
        <f>+I412*$I$299/$I$298</f>
        <v>#REF!</v>
      </c>
      <c r="J413" s="410" t="e">
        <f>+J412*$J$299/$J$298</f>
        <v>#REF!</v>
      </c>
      <c r="K413" s="409"/>
      <c r="L413" s="410"/>
      <c r="M413" s="410"/>
      <c r="N413" s="410"/>
      <c r="O413" s="410"/>
      <c r="P413" s="410"/>
      <c r="Q413" s="410"/>
      <c r="R413" s="416"/>
      <c r="S413" s="411"/>
      <c r="T413" s="167"/>
      <c r="U413" s="167"/>
      <c r="V413" s="174" t="e">
        <f>+V412*$V$299/$V$298</f>
        <v>#REF!</v>
      </c>
      <c r="W413" s="410" t="e">
        <f>+W412*$W$299/$W$298</f>
        <v>#REF!</v>
      </c>
      <c r="X413" s="411"/>
      <c r="Y413" s="411"/>
      <c r="Z413" s="411"/>
      <c r="AA413" s="433"/>
      <c r="AB413" s="419"/>
      <c r="AC413" s="401"/>
      <c r="AD413" s="409"/>
      <c r="AE413" s="420"/>
      <c r="AF413" s="710"/>
      <c r="AG413" s="829"/>
      <c r="AH413" s="710"/>
      <c r="AI413" s="710"/>
      <c r="AJ413" s="710"/>
      <c r="AK413" s="710"/>
      <c r="AL413" s="710"/>
      <c r="AM413" s="710"/>
      <c r="AN413" s="710"/>
      <c r="AO413" s="710"/>
      <c r="AP413" s="710"/>
      <c r="AQ413" s="710"/>
      <c r="AR413" s="710"/>
      <c r="AS413" s="710"/>
      <c r="AT413" s="710"/>
      <c r="AU413" s="710"/>
      <c r="AV413" s="710"/>
      <c r="AW413" s="710"/>
      <c r="AX413" s="710"/>
      <c r="AY413" s="427"/>
    </row>
    <row r="414" spans="1:51" ht="27.75" customHeight="1" x14ac:dyDescent="0.25">
      <c r="A414" s="829"/>
      <c r="B414" s="710"/>
      <c r="C414" s="710"/>
      <c r="D414" s="408" t="s">
        <v>345</v>
      </c>
      <c r="E414" s="179"/>
      <c r="F414" s="180"/>
      <c r="G414" s="174"/>
      <c r="H414" s="174"/>
      <c r="I414" s="174"/>
      <c r="J414" s="410"/>
      <c r="K414" s="409"/>
      <c r="L414" s="410"/>
      <c r="M414" s="410"/>
      <c r="N414" s="410"/>
      <c r="O414" s="410"/>
      <c r="P414" s="410"/>
      <c r="Q414" s="410"/>
      <c r="R414" s="416"/>
      <c r="S414" s="411"/>
      <c r="T414" s="167"/>
      <c r="U414" s="167"/>
      <c r="V414" s="167"/>
      <c r="W414" s="415"/>
      <c r="X414" s="411"/>
      <c r="Y414" s="411"/>
      <c r="Z414" s="411"/>
      <c r="AA414" s="433"/>
      <c r="AB414" s="419"/>
      <c r="AC414" s="401"/>
      <c r="AD414" s="409"/>
      <c r="AE414" s="420"/>
      <c r="AF414" s="710"/>
      <c r="AG414" s="829"/>
      <c r="AH414" s="710"/>
      <c r="AI414" s="710"/>
      <c r="AJ414" s="710"/>
      <c r="AK414" s="710"/>
      <c r="AL414" s="710"/>
      <c r="AM414" s="710"/>
      <c r="AN414" s="710"/>
      <c r="AO414" s="710"/>
      <c r="AP414" s="710"/>
      <c r="AQ414" s="710"/>
      <c r="AR414" s="710"/>
      <c r="AS414" s="710"/>
      <c r="AT414" s="710"/>
      <c r="AU414" s="710"/>
      <c r="AV414" s="710"/>
      <c r="AW414" s="710"/>
      <c r="AX414" s="710"/>
      <c r="AY414" s="427"/>
    </row>
    <row r="415" spans="1:51" ht="27.75" customHeight="1" x14ac:dyDescent="0.25">
      <c r="A415" s="829"/>
      <c r="B415" s="710"/>
      <c r="C415" s="710"/>
      <c r="D415" s="404" t="s">
        <v>346</v>
      </c>
      <c r="E415" s="179"/>
      <c r="F415" s="180"/>
      <c r="G415" s="174"/>
      <c r="H415" s="174"/>
      <c r="I415" s="174"/>
      <c r="J415" s="410"/>
      <c r="K415" s="409"/>
      <c r="L415" s="410"/>
      <c r="M415" s="410"/>
      <c r="N415" s="410"/>
      <c r="O415" s="410"/>
      <c r="P415" s="410"/>
      <c r="Q415" s="410"/>
      <c r="R415" s="416"/>
      <c r="S415" s="411"/>
      <c r="T415" s="167"/>
      <c r="U415" s="167"/>
      <c r="V415" s="167"/>
      <c r="W415" s="415"/>
      <c r="X415" s="411"/>
      <c r="Y415" s="411"/>
      <c r="Z415" s="411"/>
      <c r="AA415" s="433"/>
      <c r="AB415" s="419"/>
      <c r="AC415" s="401"/>
      <c r="AD415" s="409"/>
      <c r="AE415" s="420"/>
      <c r="AF415" s="710"/>
      <c r="AG415" s="829"/>
      <c r="AH415" s="710"/>
      <c r="AI415" s="710"/>
      <c r="AJ415" s="710"/>
      <c r="AK415" s="710"/>
      <c r="AL415" s="710"/>
      <c r="AM415" s="710"/>
      <c r="AN415" s="710"/>
      <c r="AO415" s="710"/>
      <c r="AP415" s="710"/>
      <c r="AQ415" s="710"/>
      <c r="AR415" s="710"/>
      <c r="AS415" s="710"/>
      <c r="AT415" s="710"/>
      <c r="AU415" s="710"/>
      <c r="AV415" s="710"/>
      <c r="AW415" s="710"/>
      <c r="AX415" s="710"/>
      <c r="AY415" s="427"/>
    </row>
    <row r="416" spans="1:51" ht="27.75" customHeight="1" x14ac:dyDescent="0.25">
      <c r="A416" s="829"/>
      <c r="B416" s="710"/>
      <c r="C416" s="710"/>
      <c r="D416" s="408" t="s">
        <v>347</v>
      </c>
      <c r="E416" s="179"/>
      <c r="F416" s="180"/>
      <c r="G416" s="174"/>
      <c r="H416" s="174"/>
      <c r="I416" s="174">
        <v>102</v>
      </c>
      <c r="J416" s="410">
        <v>102</v>
      </c>
      <c r="K416" s="409"/>
      <c r="L416" s="410"/>
      <c r="M416" s="410"/>
      <c r="N416" s="410"/>
      <c r="O416" s="410"/>
      <c r="P416" s="410"/>
      <c r="Q416" s="410"/>
      <c r="R416" s="416"/>
      <c r="S416" s="411"/>
      <c r="T416" s="167"/>
      <c r="U416" s="167"/>
      <c r="V416" s="174">
        <v>102</v>
      </c>
      <c r="W416" s="410">
        <v>102</v>
      </c>
      <c r="X416" s="411"/>
      <c r="Y416" s="411"/>
      <c r="Z416" s="411"/>
      <c r="AA416" s="433"/>
      <c r="AB416" s="419"/>
      <c r="AC416" s="401"/>
      <c r="AD416" s="409"/>
      <c r="AE416" s="420"/>
      <c r="AF416" s="710"/>
      <c r="AG416" s="829"/>
      <c r="AH416" s="710"/>
      <c r="AI416" s="710"/>
      <c r="AJ416" s="710"/>
      <c r="AK416" s="710"/>
      <c r="AL416" s="710"/>
      <c r="AM416" s="710"/>
      <c r="AN416" s="710"/>
      <c r="AO416" s="710"/>
      <c r="AP416" s="710"/>
      <c r="AQ416" s="710"/>
      <c r="AR416" s="710"/>
      <c r="AS416" s="710"/>
      <c r="AT416" s="710"/>
      <c r="AU416" s="710"/>
      <c r="AV416" s="710"/>
      <c r="AW416" s="710"/>
      <c r="AX416" s="710"/>
      <c r="AY416" s="427"/>
    </row>
    <row r="417" spans="1:51" ht="27.75" customHeight="1" x14ac:dyDescent="0.25">
      <c r="A417" s="829"/>
      <c r="B417" s="710"/>
      <c r="C417" s="731"/>
      <c r="D417" s="412" t="s">
        <v>348</v>
      </c>
      <c r="E417" s="179"/>
      <c r="F417" s="180"/>
      <c r="G417" s="174"/>
      <c r="H417" s="174"/>
      <c r="I417" s="174" t="e">
        <f>+I416*$I$299/$I$298</f>
        <v>#REF!</v>
      </c>
      <c r="J417" s="410" t="e">
        <f>+J416*$J$299/$J$298</f>
        <v>#REF!</v>
      </c>
      <c r="K417" s="409"/>
      <c r="L417" s="410"/>
      <c r="M417" s="410"/>
      <c r="N417" s="410"/>
      <c r="O417" s="410"/>
      <c r="P417" s="410"/>
      <c r="Q417" s="410"/>
      <c r="R417" s="416"/>
      <c r="S417" s="411"/>
      <c r="T417" s="167"/>
      <c r="U417" s="167"/>
      <c r="V417" s="174" t="e">
        <f>+V416*$V$299/$V$298</f>
        <v>#REF!</v>
      </c>
      <c r="W417" s="410" t="e">
        <f>+W416*$W$299/$W$298</f>
        <v>#REF!</v>
      </c>
      <c r="X417" s="411"/>
      <c r="Y417" s="411"/>
      <c r="Z417" s="411"/>
      <c r="AA417" s="433"/>
      <c r="AB417" s="419"/>
      <c r="AC417" s="401"/>
      <c r="AD417" s="409"/>
      <c r="AE417" s="420"/>
      <c r="AF417" s="731"/>
      <c r="AG417" s="823"/>
      <c r="AH417" s="731"/>
      <c r="AI417" s="731"/>
      <c r="AJ417" s="731"/>
      <c r="AK417" s="731"/>
      <c r="AL417" s="731"/>
      <c r="AM417" s="731"/>
      <c r="AN417" s="731"/>
      <c r="AO417" s="731"/>
      <c r="AP417" s="731"/>
      <c r="AQ417" s="731"/>
      <c r="AR417" s="731"/>
      <c r="AS417" s="731"/>
      <c r="AT417" s="731"/>
      <c r="AU417" s="731"/>
      <c r="AV417" s="731"/>
      <c r="AW417" s="731"/>
      <c r="AX417" s="731"/>
      <c r="AY417" s="427"/>
    </row>
    <row r="418" spans="1:51" ht="18.75" customHeight="1" x14ac:dyDescent="0.25">
      <c r="A418" s="829"/>
      <c r="B418" s="710"/>
      <c r="C418" s="818" t="s">
        <v>1320</v>
      </c>
      <c r="D418" s="413" t="s">
        <v>340</v>
      </c>
      <c r="E418" s="179"/>
      <c r="F418" s="180"/>
      <c r="G418" s="174"/>
      <c r="H418" s="174"/>
      <c r="I418" s="174">
        <v>52</v>
      </c>
      <c r="J418" s="410">
        <v>52</v>
      </c>
      <c r="K418" s="414">
        <v>52</v>
      </c>
      <c r="L418" s="410"/>
      <c r="M418" s="410"/>
      <c r="N418" s="410"/>
      <c r="O418" s="410"/>
      <c r="P418" s="410"/>
      <c r="Q418" s="410"/>
      <c r="R418" s="416"/>
      <c r="S418" s="411"/>
      <c r="T418" s="167"/>
      <c r="U418" s="167"/>
      <c r="V418" s="167">
        <v>52</v>
      </c>
      <c r="W418" s="415">
        <v>52</v>
      </c>
      <c r="X418" s="418">
        <v>52</v>
      </c>
      <c r="Y418" s="411"/>
      <c r="Z418" s="411"/>
      <c r="AA418" s="433"/>
      <c r="AB418" s="419"/>
      <c r="AC418" s="401"/>
      <c r="AD418" s="409"/>
      <c r="AE418" s="420"/>
      <c r="AF418" s="916" t="s">
        <v>1321</v>
      </c>
      <c r="AG418" s="913" t="s">
        <v>662</v>
      </c>
      <c r="AH418" s="813" t="s">
        <v>499</v>
      </c>
      <c r="AI418" s="813" t="s">
        <v>1322</v>
      </c>
      <c r="AJ418" s="914" t="s">
        <v>1283</v>
      </c>
      <c r="AK418" s="813" t="s">
        <v>457</v>
      </c>
      <c r="AL418" s="813" t="s">
        <v>178</v>
      </c>
      <c r="AM418" s="813" t="s">
        <v>1275</v>
      </c>
      <c r="AN418" s="909">
        <v>93248</v>
      </c>
      <c r="AO418" s="910">
        <v>37102</v>
      </c>
      <c r="AP418" s="910">
        <v>38674</v>
      </c>
      <c r="AQ418" s="911" t="s">
        <v>459</v>
      </c>
      <c r="AR418" s="911" t="s">
        <v>459</v>
      </c>
      <c r="AS418" s="911" t="s">
        <v>459</v>
      </c>
      <c r="AT418" s="911" t="s">
        <v>459</v>
      </c>
      <c r="AU418" s="915" t="s">
        <v>459</v>
      </c>
      <c r="AV418" s="915" t="s">
        <v>459</v>
      </c>
      <c r="AW418" s="915" t="s">
        <v>459</v>
      </c>
      <c r="AX418" s="910">
        <v>93248</v>
      </c>
      <c r="AY418" s="427"/>
    </row>
    <row r="419" spans="1:51" ht="18.75" customHeight="1" x14ac:dyDescent="0.25">
      <c r="A419" s="829"/>
      <c r="B419" s="710"/>
      <c r="C419" s="710"/>
      <c r="D419" s="404" t="s">
        <v>343</v>
      </c>
      <c r="E419" s="179"/>
      <c r="F419" s="180"/>
      <c r="G419" s="174"/>
      <c r="H419" s="174"/>
      <c r="I419" s="174" t="e">
        <f>+I418*$I$299/$I$298</f>
        <v>#REF!</v>
      </c>
      <c r="J419" s="410" t="e">
        <f>+J418*$J$299/$J$298</f>
        <v>#REF!</v>
      </c>
      <c r="K419" s="409"/>
      <c r="L419" s="410"/>
      <c r="M419" s="410"/>
      <c r="N419" s="410"/>
      <c r="O419" s="410"/>
      <c r="P419" s="410"/>
      <c r="Q419" s="410"/>
      <c r="R419" s="416"/>
      <c r="S419" s="411"/>
      <c r="T419" s="167"/>
      <c r="U419" s="167"/>
      <c r="V419" s="174" t="e">
        <f>+V418*$V$299/$V$298</f>
        <v>#REF!</v>
      </c>
      <c r="W419" s="410" t="e">
        <f>+W418*$W$299/$W$298</f>
        <v>#REF!</v>
      </c>
      <c r="X419" s="411"/>
      <c r="Y419" s="411"/>
      <c r="Z419" s="411"/>
      <c r="AA419" s="433"/>
      <c r="AB419" s="419"/>
      <c r="AC419" s="401"/>
      <c r="AD419" s="409"/>
      <c r="AE419" s="420"/>
      <c r="AF419" s="710"/>
      <c r="AG419" s="829"/>
      <c r="AH419" s="710"/>
      <c r="AI419" s="710"/>
      <c r="AJ419" s="710"/>
      <c r="AK419" s="710"/>
      <c r="AL419" s="710"/>
      <c r="AM419" s="710"/>
      <c r="AN419" s="710"/>
      <c r="AO419" s="710"/>
      <c r="AP419" s="710"/>
      <c r="AQ419" s="710"/>
      <c r="AR419" s="710"/>
      <c r="AS419" s="710"/>
      <c r="AT419" s="710"/>
      <c r="AU419" s="710"/>
      <c r="AV419" s="710"/>
      <c r="AW419" s="710"/>
      <c r="AX419" s="710"/>
      <c r="AY419" s="427"/>
    </row>
    <row r="420" spans="1:51" ht="27.75" customHeight="1" x14ac:dyDescent="0.25">
      <c r="A420" s="829"/>
      <c r="B420" s="710"/>
      <c r="C420" s="710"/>
      <c r="D420" s="408" t="s">
        <v>345</v>
      </c>
      <c r="E420" s="179"/>
      <c r="F420" s="180"/>
      <c r="G420" s="174"/>
      <c r="H420" s="174"/>
      <c r="I420" s="174"/>
      <c r="J420" s="410"/>
      <c r="K420" s="409"/>
      <c r="L420" s="410"/>
      <c r="M420" s="410"/>
      <c r="N420" s="410"/>
      <c r="O420" s="410"/>
      <c r="P420" s="410"/>
      <c r="Q420" s="410"/>
      <c r="R420" s="416"/>
      <c r="S420" s="411"/>
      <c r="T420" s="167"/>
      <c r="U420" s="167"/>
      <c r="V420" s="167"/>
      <c r="W420" s="415"/>
      <c r="X420" s="411"/>
      <c r="Y420" s="411"/>
      <c r="Z420" s="411"/>
      <c r="AA420" s="433"/>
      <c r="AB420" s="419"/>
      <c r="AC420" s="401"/>
      <c r="AD420" s="409"/>
      <c r="AE420" s="420"/>
      <c r="AF420" s="710"/>
      <c r="AG420" s="829"/>
      <c r="AH420" s="710"/>
      <c r="AI420" s="710"/>
      <c r="AJ420" s="710"/>
      <c r="AK420" s="710"/>
      <c r="AL420" s="710"/>
      <c r="AM420" s="710"/>
      <c r="AN420" s="710"/>
      <c r="AO420" s="710"/>
      <c r="AP420" s="710"/>
      <c r="AQ420" s="710"/>
      <c r="AR420" s="710"/>
      <c r="AS420" s="710"/>
      <c r="AT420" s="710"/>
      <c r="AU420" s="710"/>
      <c r="AV420" s="710"/>
      <c r="AW420" s="710"/>
      <c r="AX420" s="710"/>
      <c r="AY420" s="427"/>
    </row>
    <row r="421" spans="1:51" ht="27.75" customHeight="1" x14ac:dyDescent="0.25">
      <c r="A421" s="829"/>
      <c r="B421" s="710"/>
      <c r="C421" s="710"/>
      <c r="D421" s="404" t="s">
        <v>346</v>
      </c>
      <c r="E421" s="179"/>
      <c r="F421" s="180"/>
      <c r="G421" s="174"/>
      <c r="H421" s="174"/>
      <c r="I421" s="174"/>
      <c r="J421" s="410"/>
      <c r="K421" s="409"/>
      <c r="L421" s="410"/>
      <c r="M421" s="410"/>
      <c r="N421" s="410"/>
      <c r="O421" s="410"/>
      <c r="P421" s="410"/>
      <c r="Q421" s="410"/>
      <c r="R421" s="416"/>
      <c r="S421" s="411"/>
      <c r="T421" s="167"/>
      <c r="U421" s="167"/>
      <c r="V421" s="167"/>
      <c r="W421" s="415"/>
      <c r="X421" s="411"/>
      <c r="Y421" s="411"/>
      <c r="Z421" s="411"/>
      <c r="AA421" s="433"/>
      <c r="AB421" s="419"/>
      <c r="AC421" s="401"/>
      <c r="AD421" s="409"/>
      <c r="AE421" s="420"/>
      <c r="AF421" s="710"/>
      <c r="AG421" s="829"/>
      <c r="AH421" s="710"/>
      <c r="AI421" s="710"/>
      <c r="AJ421" s="710"/>
      <c r="AK421" s="710"/>
      <c r="AL421" s="710"/>
      <c r="AM421" s="710"/>
      <c r="AN421" s="710"/>
      <c r="AO421" s="710"/>
      <c r="AP421" s="710"/>
      <c r="AQ421" s="710"/>
      <c r="AR421" s="710"/>
      <c r="AS421" s="710"/>
      <c r="AT421" s="710"/>
      <c r="AU421" s="710"/>
      <c r="AV421" s="710"/>
      <c r="AW421" s="710"/>
      <c r="AX421" s="710"/>
      <c r="AY421" s="427"/>
    </row>
    <row r="422" spans="1:51" ht="27.75" customHeight="1" x14ac:dyDescent="0.25">
      <c r="A422" s="829"/>
      <c r="B422" s="710"/>
      <c r="C422" s="710"/>
      <c r="D422" s="408" t="s">
        <v>347</v>
      </c>
      <c r="E422" s="179"/>
      <c r="F422" s="180"/>
      <c r="G422" s="174"/>
      <c r="H422" s="174"/>
      <c r="I422" s="174">
        <v>52</v>
      </c>
      <c r="J422" s="410">
        <v>52</v>
      </c>
      <c r="K422" s="409"/>
      <c r="L422" s="410"/>
      <c r="M422" s="410"/>
      <c r="N422" s="410"/>
      <c r="O422" s="410"/>
      <c r="P422" s="410"/>
      <c r="Q422" s="410"/>
      <c r="R422" s="416"/>
      <c r="S422" s="411"/>
      <c r="T422" s="167"/>
      <c r="U422" s="167"/>
      <c r="V422" s="174">
        <v>52</v>
      </c>
      <c r="W422" s="410">
        <v>52</v>
      </c>
      <c r="X422" s="411"/>
      <c r="Y422" s="411"/>
      <c r="Z422" s="411"/>
      <c r="AA422" s="433"/>
      <c r="AB422" s="419"/>
      <c r="AC422" s="401"/>
      <c r="AD422" s="409"/>
      <c r="AE422" s="420"/>
      <c r="AF422" s="710"/>
      <c r="AG422" s="829"/>
      <c r="AH422" s="710"/>
      <c r="AI422" s="710"/>
      <c r="AJ422" s="710"/>
      <c r="AK422" s="710"/>
      <c r="AL422" s="710"/>
      <c r="AM422" s="710"/>
      <c r="AN422" s="710"/>
      <c r="AO422" s="710"/>
      <c r="AP422" s="710"/>
      <c r="AQ422" s="710"/>
      <c r="AR422" s="710"/>
      <c r="AS422" s="710"/>
      <c r="AT422" s="710"/>
      <c r="AU422" s="710"/>
      <c r="AV422" s="710"/>
      <c r="AW422" s="710"/>
      <c r="AX422" s="710"/>
      <c r="AY422" s="427"/>
    </row>
    <row r="423" spans="1:51" ht="27.75" customHeight="1" x14ac:dyDescent="0.25">
      <c r="A423" s="829"/>
      <c r="B423" s="710"/>
      <c r="C423" s="731"/>
      <c r="D423" s="412" t="s">
        <v>348</v>
      </c>
      <c r="E423" s="179"/>
      <c r="F423" s="180"/>
      <c r="G423" s="174"/>
      <c r="H423" s="174"/>
      <c r="I423" s="174" t="e">
        <f>+I422*$I$299/$I$298</f>
        <v>#REF!</v>
      </c>
      <c r="J423" s="410" t="e">
        <f>+J422*$J$299/$J$298</f>
        <v>#REF!</v>
      </c>
      <c r="K423" s="409"/>
      <c r="L423" s="410"/>
      <c r="M423" s="410"/>
      <c r="N423" s="410"/>
      <c r="O423" s="410"/>
      <c r="P423" s="410"/>
      <c r="Q423" s="410"/>
      <c r="R423" s="416"/>
      <c r="S423" s="411"/>
      <c r="T423" s="167"/>
      <c r="U423" s="167"/>
      <c r="V423" s="174" t="e">
        <f>+V422*$V$299/$V$298</f>
        <v>#REF!</v>
      </c>
      <c r="W423" s="410" t="e">
        <f>+W422*$W$299/$W$298</f>
        <v>#REF!</v>
      </c>
      <c r="X423" s="411"/>
      <c r="Y423" s="411"/>
      <c r="Z423" s="411"/>
      <c r="AA423" s="433"/>
      <c r="AB423" s="419"/>
      <c r="AC423" s="401"/>
      <c r="AD423" s="409"/>
      <c r="AE423" s="420"/>
      <c r="AF423" s="731"/>
      <c r="AG423" s="823"/>
      <c r="AH423" s="731"/>
      <c r="AI423" s="731"/>
      <c r="AJ423" s="731"/>
      <c r="AK423" s="731"/>
      <c r="AL423" s="731"/>
      <c r="AM423" s="731"/>
      <c r="AN423" s="731"/>
      <c r="AO423" s="731"/>
      <c r="AP423" s="731"/>
      <c r="AQ423" s="731"/>
      <c r="AR423" s="731"/>
      <c r="AS423" s="731"/>
      <c r="AT423" s="731"/>
      <c r="AU423" s="731"/>
      <c r="AV423" s="731"/>
      <c r="AW423" s="731"/>
      <c r="AX423" s="731"/>
      <c r="AY423" s="427"/>
    </row>
    <row r="424" spans="1:51" ht="18.75" hidden="1" customHeight="1" x14ac:dyDescent="0.25">
      <c r="A424" s="829"/>
      <c r="B424" s="710"/>
      <c r="C424" s="818" t="s">
        <v>666</v>
      </c>
      <c r="D424" s="413" t="s">
        <v>340</v>
      </c>
      <c r="E424" s="179"/>
      <c r="F424" s="180"/>
      <c r="G424" s="174"/>
      <c r="H424" s="174"/>
      <c r="I424" s="174"/>
      <c r="J424" s="410"/>
      <c r="K424" s="409"/>
      <c r="L424" s="410"/>
      <c r="M424" s="410"/>
      <c r="N424" s="410"/>
      <c r="O424" s="410"/>
      <c r="P424" s="410"/>
      <c r="Q424" s="410"/>
      <c r="R424" s="416"/>
      <c r="S424" s="411"/>
      <c r="T424" s="167"/>
      <c r="U424" s="167"/>
      <c r="V424" s="167"/>
      <c r="W424" s="415"/>
      <c r="X424" s="411"/>
      <c r="Y424" s="411"/>
      <c r="Z424" s="411"/>
      <c r="AA424" s="433"/>
      <c r="AB424" s="419"/>
      <c r="AC424" s="401"/>
      <c r="AD424" s="409"/>
      <c r="AE424" s="420"/>
      <c r="AF424" s="426"/>
      <c r="AG424" s="913" t="s">
        <v>666</v>
      </c>
      <c r="AH424" s="813" t="s">
        <v>633</v>
      </c>
      <c r="AI424" s="813" t="s">
        <v>633</v>
      </c>
      <c r="AJ424" s="813" t="s">
        <v>633</v>
      </c>
      <c r="AK424" s="813" t="s">
        <v>457</v>
      </c>
      <c r="AL424" s="813" t="s">
        <v>178</v>
      </c>
      <c r="AM424" s="813" t="s">
        <v>1275</v>
      </c>
      <c r="AN424" s="909">
        <v>109254</v>
      </c>
      <c r="AO424" s="910">
        <v>39611</v>
      </c>
      <c r="AP424" s="910">
        <v>43209</v>
      </c>
      <c r="AQ424" s="911" t="s">
        <v>459</v>
      </c>
      <c r="AR424" s="911" t="s">
        <v>459</v>
      </c>
      <c r="AS424" s="911" t="s">
        <v>459</v>
      </c>
      <c r="AT424" s="911" t="s">
        <v>459</v>
      </c>
      <c r="AU424" s="915" t="s">
        <v>459</v>
      </c>
      <c r="AV424" s="915" t="s">
        <v>459</v>
      </c>
      <c r="AW424" s="915" t="s">
        <v>459</v>
      </c>
      <c r="AX424" s="910">
        <v>109254</v>
      </c>
      <c r="AY424" s="427"/>
    </row>
    <row r="425" spans="1:51" ht="18.75" hidden="1" customHeight="1" x14ac:dyDescent="0.25">
      <c r="A425" s="829"/>
      <c r="B425" s="710"/>
      <c r="C425" s="710"/>
      <c r="D425" s="404" t="s">
        <v>343</v>
      </c>
      <c r="E425" s="179"/>
      <c r="F425" s="180"/>
      <c r="G425" s="174"/>
      <c r="H425" s="174"/>
      <c r="I425" s="174"/>
      <c r="J425" s="410"/>
      <c r="K425" s="409"/>
      <c r="L425" s="410"/>
      <c r="M425" s="410"/>
      <c r="N425" s="410"/>
      <c r="O425" s="410"/>
      <c r="P425" s="410"/>
      <c r="Q425" s="410"/>
      <c r="R425" s="416"/>
      <c r="S425" s="411"/>
      <c r="T425" s="167"/>
      <c r="U425" s="167"/>
      <c r="V425" s="167"/>
      <c r="W425" s="415"/>
      <c r="X425" s="411"/>
      <c r="Y425" s="411"/>
      <c r="Z425" s="411"/>
      <c r="AA425" s="433"/>
      <c r="AB425" s="419"/>
      <c r="AC425" s="401"/>
      <c r="AD425" s="409"/>
      <c r="AE425" s="420"/>
      <c r="AF425" s="426"/>
      <c r="AG425" s="829"/>
      <c r="AH425" s="710"/>
      <c r="AI425" s="710"/>
      <c r="AJ425" s="710"/>
      <c r="AK425" s="710"/>
      <c r="AL425" s="710"/>
      <c r="AM425" s="710"/>
      <c r="AN425" s="710"/>
      <c r="AO425" s="710"/>
      <c r="AP425" s="710"/>
      <c r="AQ425" s="710"/>
      <c r="AR425" s="710"/>
      <c r="AS425" s="710"/>
      <c r="AT425" s="710"/>
      <c r="AU425" s="710"/>
      <c r="AV425" s="710"/>
      <c r="AW425" s="710"/>
      <c r="AX425" s="710"/>
      <c r="AY425" s="427"/>
    </row>
    <row r="426" spans="1:51" ht="27.75" hidden="1" customHeight="1" x14ac:dyDescent="0.25">
      <c r="A426" s="829"/>
      <c r="B426" s="710"/>
      <c r="C426" s="710"/>
      <c r="D426" s="408" t="s">
        <v>345</v>
      </c>
      <c r="E426" s="179"/>
      <c r="F426" s="180"/>
      <c r="G426" s="174"/>
      <c r="H426" s="174"/>
      <c r="I426" s="174"/>
      <c r="J426" s="410"/>
      <c r="K426" s="409"/>
      <c r="L426" s="410"/>
      <c r="M426" s="410"/>
      <c r="N426" s="410"/>
      <c r="O426" s="410"/>
      <c r="P426" s="410"/>
      <c r="Q426" s="410"/>
      <c r="R426" s="416"/>
      <c r="S426" s="411"/>
      <c r="T426" s="167"/>
      <c r="U426" s="167"/>
      <c r="V426" s="167"/>
      <c r="W426" s="415"/>
      <c r="X426" s="411"/>
      <c r="Y426" s="411"/>
      <c r="Z426" s="411"/>
      <c r="AA426" s="433"/>
      <c r="AB426" s="419"/>
      <c r="AC426" s="401"/>
      <c r="AD426" s="409"/>
      <c r="AE426" s="420"/>
      <c r="AF426" s="426"/>
      <c r="AG426" s="829"/>
      <c r="AH426" s="710"/>
      <c r="AI426" s="710"/>
      <c r="AJ426" s="710"/>
      <c r="AK426" s="710"/>
      <c r="AL426" s="710"/>
      <c r="AM426" s="710"/>
      <c r="AN426" s="710"/>
      <c r="AO426" s="710"/>
      <c r="AP426" s="710"/>
      <c r="AQ426" s="710"/>
      <c r="AR426" s="710"/>
      <c r="AS426" s="710"/>
      <c r="AT426" s="710"/>
      <c r="AU426" s="710"/>
      <c r="AV426" s="710"/>
      <c r="AW426" s="710"/>
      <c r="AX426" s="710"/>
      <c r="AY426" s="427"/>
    </row>
    <row r="427" spans="1:51" ht="27.75" hidden="1" customHeight="1" x14ac:dyDescent="0.25">
      <c r="A427" s="829"/>
      <c r="B427" s="710"/>
      <c r="C427" s="710"/>
      <c r="D427" s="404" t="s">
        <v>346</v>
      </c>
      <c r="E427" s="179"/>
      <c r="F427" s="180"/>
      <c r="G427" s="174"/>
      <c r="H427" s="174"/>
      <c r="I427" s="174"/>
      <c r="J427" s="410"/>
      <c r="K427" s="409"/>
      <c r="L427" s="410"/>
      <c r="M427" s="410"/>
      <c r="N427" s="410"/>
      <c r="O427" s="410"/>
      <c r="P427" s="410"/>
      <c r="Q427" s="410"/>
      <c r="R427" s="416"/>
      <c r="S427" s="411"/>
      <c r="T427" s="167"/>
      <c r="U427" s="167"/>
      <c r="V427" s="167"/>
      <c r="W427" s="415"/>
      <c r="X427" s="411"/>
      <c r="Y427" s="411"/>
      <c r="Z427" s="411"/>
      <c r="AA427" s="433"/>
      <c r="AB427" s="419"/>
      <c r="AC427" s="401"/>
      <c r="AD427" s="409"/>
      <c r="AE427" s="420"/>
      <c r="AF427" s="426"/>
      <c r="AG427" s="829"/>
      <c r="AH427" s="710"/>
      <c r="AI427" s="710"/>
      <c r="AJ427" s="710"/>
      <c r="AK427" s="710"/>
      <c r="AL427" s="710"/>
      <c r="AM427" s="710"/>
      <c r="AN427" s="710"/>
      <c r="AO427" s="710"/>
      <c r="AP427" s="710"/>
      <c r="AQ427" s="710"/>
      <c r="AR427" s="710"/>
      <c r="AS427" s="710"/>
      <c r="AT427" s="710"/>
      <c r="AU427" s="710"/>
      <c r="AV427" s="710"/>
      <c r="AW427" s="710"/>
      <c r="AX427" s="710"/>
      <c r="AY427" s="427"/>
    </row>
    <row r="428" spans="1:51" ht="27.75" hidden="1" customHeight="1" x14ac:dyDescent="0.25">
      <c r="A428" s="829"/>
      <c r="B428" s="710"/>
      <c r="C428" s="710"/>
      <c r="D428" s="408" t="s">
        <v>347</v>
      </c>
      <c r="E428" s="179"/>
      <c r="F428" s="180"/>
      <c r="G428" s="174"/>
      <c r="H428" s="174"/>
      <c r="I428" s="174"/>
      <c r="J428" s="410"/>
      <c r="K428" s="409"/>
      <c r="L428" s="410"/>
      <c r="M428" s="410"/>
      <c r="N428" s="410"/>
      <c r="O428" s="410"/>
      <c r="P428" s="410"/>
      <c r="Q428" s="410"/>
      <c r="R428" s="416"/>
      <c r="S428" s="411"/>
      <c r="T428" s="167"/>
      <c r="U428" s="167"/>
      <c r="V428" s="167"/>
      <c r="W428" s="415"/>
      <c r="X428" s="411"/>
      <c r="Y428" s="411"/>
      <c r="Z428" s="411"/>
      <c r="AA428" s="433"/>
      <c r="AB428" s="419"/>
      <c r="AC428" s="401"/>
      <c r="AD428" s="409"/>
      <c r="AE428" s="420"/>
      <c r="AF428" s="426"/>
      <c r="AG428" s="829"/>
      <c r="AH428" s="710"/>
      <c r="AI428" s="710"/>
      <c r="AJ428" s="710"/>
      <c r="AK428" s="710"/>
      <c r="AL428" s="710"/>
      <c r="AM428" s="710"/>
      <c r="AN428" s="710"/>
      <c r="AO428" s="710"/>
      <c r="AP428" s="710"/>
      <c r="AQ428" s="710"/>
      <c r="AR428" s="710"/>
      <c r="AS428" s="710"/>
      <c r="AT428" s="710"/>
      <c r="AU428" s="710"/>
      <c r="AV428" s="710"/>
      <c r="AW428" s="710"/>
      <c r="AX428" s="710"/>
      <c r="AY428" s="427"/>
    </row>
    <row r="429" spans="1:51" ht="27.75" hidden="1" customHeight="1" x14ac:dyDescent="0.25">
      <c r="A429" s="829"/>
      <c r="B429" s="710"/>
      <c r="C429" s="731"/>
      <c r="D429" s="412" t="s">
        <v>348</v>
      </c>
      <c r="E429" s="179"/>
      <c r="F429" s="180"/>
      <c r="G429" s="174"/>
      <c r="H429" s="174"/>
      <c r="I429" s="174"/>
      <c r="J429" s="410"/>
      <c r="K429" s="409"/>
      <c r="L429" s="410"/>
      <c r="M429" s="410"/>
      <c r="N429" s="410"/>
      <c r="O429" s="410"/>
      <c r="P429" s="410"/>
      <c r="Q429" s="410"/>
      <c r="R429" s="416"/>
      <c r="S429" s="411"/>
      <c r="T429" s="167"/>
      <c r="U429" s="167"/>
      <c r="V429" s="167"/>
      <c r="W429" s="415"/>
      <c r="X429" s="411"/>
      <c r="Y429" s="411"/>
      <c r="Z429" s="411"/>
      <c r="AA429" s="433"/>
      <c r="AB429" s="419"/>
      <c r="AC429" s="401"/>
      <c r="AD429" s="409"/>
      <c r="AE429" s="420"/>
      <c r="AF429" s="426"/>
      <c r="AG429" s="823"/>
      <c r="AH429" s="731"/>
      <c r="AI429" s="731"/>
      <c r="AJ429" s="731"/>
      <c r="AK429" s="731"/>
      <c r="AL429" s="731"/>
      <c r="AM429" s="731"/>
      <c r="AN429" s="731"/>
      <c r="AO429" s="731"/>
      <c r="AP429" s="731"/>
      <c r="AQ429" s="731"/>
      <c r="AR429" s="731"/>
      <c r="AS429" s="731"/>
      <c r="AT429" s="731"/>
      <c r="AU429" s="731"/>
      <c r="AV429" s="731"/>
      <c r="AW429" s="731"/>
      <c r="AX429" s="731"/>
      <c r="AY429" s="427"/>
    </row>
    <row r="430" spans="1:51" ht="18.75" hidden="1" customHeight="1" x14ac:dyDescent="0.25">
      <c r="A430" s="829"/>
      <c r="B430" s="710"/>
      <c r="C430" s="818" t="s">
        <v>670</v>
      </c>
      <c r="D430" s="413" t="s">
        <v>340</v>
      </c>
      <c r="E430" s="179"/>
      <c r="F430" s="180"/>
      <c r="G430" s="174"/>
      <c r="H430" s="174"/>
      <c r="I430" s="174"/>
      <c r="J430" s="410"/>
      <c r="K430" s="409"/>
      <c r="L430" s="410"/>
      <c r="M430" s="410"/>
      <c r="N430" s="410"/>
      <c r="O430" s="410"/>
      <c r="P430" s="410"/>
      <c r="Q430" s="410"/>
      <c r="R430" s="416"/>
      <c r="S430" s="411"/>
      <c r="T430" s="167"/>
      <c r="U430" s="167"/>
      <c r="V430" s="167"/>
      <c r="W430" s="415"/>
      <c r="X430" s="411"/>
      <c r="Y430" s="411"/>
      <c r="Z430" s="411"/>
      <c r="AA430" s="433"/>
      <c r="AB430" s="419"/>
      <c r="AC430" s="401"/>
      <c r="AD430" s="409"/>
      <c r="AE430" s="420"/>
      <c r="AF430" s="426"/>
      <c r="AG430" s="913" t="s">
        <v>1250</v>
      </c>
      <c r="AH430" s="813" t="s">
        <v>633</v>
      </c>
      <c r="AI430" s="813" t="s">
        <v>633</v>
      </c>
      <c r="AJ430" s="813" t="s">
        <v>633</v>
      </c>
      <c r="AK430" s="813" t="s">
        <v>457</v>
      </c>
      <c r="AL430" s="813" t="s">
        <v>178</v>
      </c>
      <c r="AM430" s="813" t="s">
        <v>1275</v>
      </c>
      <c r="AN430" s="909">
        <v>22438</v>
      </c>
      <c r="AO430" s="910">
        <v>118748</v>
      </c>
      <c r="AP430" s="910">
        <v>132822</v>
      </c>
      <c r="AQ430" s="911" t="s">
        <v>459</v>
      </c>
      <c r="AR430" s="911" t="s">
        <v>459</v>
      </c>
      <c r="AS430" s="911" t="s">
        <v>459</v>
      </c>
      <c r="AT430" s="911" t="s">
        <v>459</v>
      </c>
      <c r="AU430" s="915" t="s">
        <v>459</v>
      </c>
      <c r="AV430" s="915" t="s">
        <v>459</v>
      </c>
      <c r="AW430" s="915" t="s">
        <v>459</v>
      </c>
      <c r="AX430" s="910">
        <v>22438</v>
      </c>
      <c r="AY430" s="427"/>
    </row>
    <row r="431" spans="1:51" ht="18.75" hidden="1" customHeight="1" x14ac:dyDescent="0.25">
      <c r="A431" s="829"/>
      <c r="B431" s="710"/>
      <c r="C431" s="710"/>
      <c r="D431" s="404" t="s">
        <v>343</v>
      </c>
      <c r="E431" s="179"/>
      <c r="F431" s="180"/>
      <c r="G431" s="174"/>
      <c r="H431" s="174"/>
      <c r="I431" s="174"/>
      <c r="J431" s="410"/>
      <c r="K431" s="409"/>
      <c r="L431" s="410"/>
      <c r="M431" s="410"/>
      <c r="N431" s="410"/>
      <c r="O431" s="410"/>
      <c r="P431" s="410"/>
      <c r="Q431" s="410"/>
      <c r="R431" s="416"/>
      <c r="S431" s="411"/>
      <c r="T431" s="167"/>
      <c r="U431" s="167"/>
      <c r="V431" s="167"/>
      <c r="W431" s="415"/>
      <c r="X431" s="411"/>
      <c r="Y431" s="411"/>
      <c r="Z431" s="411"/>
      <c r="AA431" s="433"/>
      <c r="AB431" s="419"/>
      <c r="AC431" s="401"/>
      <c r="AD431" s="409"/>
      <c r="AE431" s="420"/>
      <c r="AF431" s="426"/>
      <c r="AG431" s="829"/>
      <c r="AH431" s="710"/>
      <c r="AI431" s="710"/>
      <c r="AJ431" s="710"/>
      <c r="AK431" s="710"/>
      <c r="AL431" s="710"/>
      <c r="AM431" s="710"/>
      <c r="AN431" s="710"/>
      <c r="AO431" s="710"/>
      <c r="AP431" s="710"/>
      <c r="AQ431" s="710"/>
      <c r="AR431" s="710"/>
      <c r="AS431" s="710"/>
      <c r="AT431" s="710"/>
      <c r="AU431" s="710"/>
      <c r="AV431" s="710"/>
      <c r="AW431" s="710"/>
      <c r="AX431" s="710"/>
      <c r="AY431" s="427"/>
    </row>
    <row r="432" spans="1:51" ht="27.75" hidden="1" customHeight="1" x14ac:dyDescent="0.25">
      <c r="A432" s="829"/>
      <c r="B432" s="710"/>
      <c r="C432" s="710"/>
      <c r="D432" s="408" t="s">
        <v>345</v>
      </c>
      <c r="E432" s="179"/>
      <c r="F432" s="180"/>
      <c r="G432" s="174"/>
      <c r="H432" s="174"/>
      <c r="I432" s="174"/>
      <c r="J432" s="410"/>
      <c r="K432" s="409"/>
      <c r="L432" s="410"/>
      <c r="M432" s="410"/>
      <c r="N432" s="410"/>
      <c r="O432" s="410"/>
      <c r="P432" s="410"/>
      <c r="Q432" s="410"/>
      <c r="R432" s="416"/>
      <c r="S432" s="411"/>
      <c r="T432" s="167"/>
      <c r="U432" s="167"/>
      <c r="V432" s="167"/>
      <c r="W432" s="415"/>
      <c r="X432" s="411"/>
      <c r="Y432" s="411"/>
      <c r="Z432" s="411"/>
      <c r="AA432" s="433"/>
      <c r="AB432" s="419"/>
      <c r="AC432" s="401"/>
      <c r="AD432" s="409"/>
      <c r="AE432" s="420"/>
      <c r="AF432" s="426"/>
      <c r="AG432" s="829"/>
      <c r="AH432" s="710"/>
      <c r="AI432" s="710"/>
      <c r="AJ432" s="710"/>
      <c r="AK432" s="710"/>
      <c r="AL432" s="710"/>
      <c r="AM432" s="710"/>
      <c r="AN432" s="710"/>
      <c r="AO432" s="710"/>
      <c r="AP432" s="710"/>
      <c r="AQ432" s="710"/>
      <c r="AR432" s="710"/>
      <c r="AS432" s="710"/>
      <c r="AT432" s="710"/>
      <c r="AU432" s="710"/>
      <c r="AV432" s="710"/>
      <c r="AW432" s="710"/>
      <c r="AX432" s="710"/>
      <c r="AY432" s="427"/>
    </row>
    <row r="433" spans="1:51" ht="27.75" hidden="1" customHeight="1" x14ac:dyDescent="0.25">
      <c r="A433" s="829"/>
      <c r="B433" s="710"/>
      <c r="C433" s="710"/>
      <c r="D433" s="404" t="s">
        <v>346</v>
      </c>
      <c r="E433" s="179"/>
      <c r="F433" s="180"/>
      <c r="G433" s="174"/>
      <c r="H433" s="174"/>
      <c r="I433" s="174"/>
      <c r="J433" s="410"/>
      <c r="K433" s="409"/>
      <c r="L433" s="410"/>
      <c r="M433" s="410"/>
      <c r="N433" s="410"/>
      <c r="O433" s="410"/>
      <c r="P433" s="410"/>
      <c r="Q433" s="410"/>
      <c r="R433" s="416"/>
      <c r="S433" s="411"/>
      <c r="T433" s="167"/>
      <c r="U433" s="167"/>
      <c r="V433" s="167"/>
      <c r="W433" s="415"/>
      <c r="X433" s="411"/>
      <c r="Y433" s="411"/>
      <c r="Z433" s="411"/>
      <c r="AA433" s="433"/>
      <c r="AB433" s="419"/>
      <c r="AC433" s="401"/>
      <c r="AD433" s="409"/>
      <c r="AE433" s="420"/>
      <c r="AF433" s="426"/>
      <c r="AG433" s="829"/>
      <c r="AH433" s="710"/>
      <c r="AI433" s="710"/>
      <c r="AJ433" s="710"/>
      <c r="AK433" s="710"/>
      <c r="AL433" s="710"/>
      <c r="AM433" s="710"/>
      <c r="AN433" s="710"/>
      <c r="AO433" s="710"/>
      <c r="AP433" s="710"/>
      <c r="AQ433" s="710"/>
      <c r="AR433" s="710"/>
      <c r="AS433" s="710"/>
      <c r="AT433" s="710"/>
      <c r="AU433" s="710"/>
      <c r="AV433" s="710"/>
      <c r="AW433" s="710"/>
      <c r="AX433" s="710"/>
      <c r="AY433" s="427"/>
    </row>
    <row r="434" spans="1:51" ht="27.75" hidden="1" customHeight="1" x14ac:dyDescent="0.25">
      <c r="A434" s="829"/>
      <c r="B434" s="710"/>
      <c r="C434" s="710"/>
      <c r="D434" s="408" t="s">
        <v>347</v>
      </c>
      <c r="E434" s="179"/>
      <c r="F434" s="180"/>
      <c r="G434" s="174"/>
      <c r="H434" s="174"/>
      <c r="I434" s="174"/>
      <c r="J434" s="410"/>
      <c r="K434" s="409"/>
      <c r="L434" s="410"/>
      <c r="M434" s="410"/>
      <c r="N434" s="410"/>
      <c r="O434" s="410"/>
      <c r="P434" s="410"/>
      <c r="Q434" s="410"/>
      <c r="R434" s="416"/>
      <c r="S434" s="411"/>
      <c r="T434" s="167"/>
      <c r="U434" s="167"/>
      <c r="V434" s="167"/>
      <c r="W434" s="415"/>
      <c r="X434" s="411"/>
      <c r="Y434" s="411"/>
      <c r="Z434" s="411"/>
      <c r="AA434" s="433"/>
      <c r="AB434" s="419"/>
      <c r="AC434" s="401"/>
      <c r="AD434" s="409"/>
      <c r="AE434" s="420"/>
      <c r="AF434" s="426"/>
      <c r="AG434" s="829"/>
      <c r="AH434" s="710"/>
      <c r="AI434" s="710"/>
      <c r="AJ434" s="710"/>
      <c r="AK434" s="710"/>
      <c r="AL434" s="710"/>
      <c r="AM434" s="710"/>
      <c r="AN434" s="710"/>
      <c r="AO434" s="710"/>
      <c r="AP434" s="710"/>
      <c r="AQ434" s="710"/>
      <c r="AR434" s="710"/>
      <c r="AS434" s="710"/>
      <c r="AT434" s="710"/>
      <c r="AU434" s="710"/>
      <c r="AV434" s="710"/>
      <c r="AW434" s="710"/>
      <c r="AX434" s="710"/>
      <c r="AY434" s="427"/>
    </row>
    <row r="435" spans="1:51" ht="27.75" hidden="1" customHeight="1" x14ac:dyDescent="0.25">
      <c r="A435" s="829"/>
      <c r="B435" s="710"/>
      <c r="C435" s="731"/>
      <c r="D435" s="412" t="s">
        <v>348</v>
      </c>
      <c r="E435" s="179"/>
      <c r="F435" s="180"/>
      <c r="G435" s="174"/>
      <c r="H435" s="174"/>
      <c r="I435" s="174"/>
      <c r="J435" s="410"/>
      <c r="K435" s="409"/>
      <c r="L435" s="410"/>
      <c r="M435" s="410"/>
      <c r="N435" s="410"/>
      <c r="O435" s="410"/>
      <c r="P435" s="410"/>
      <c r="Q435" s="410"/>
      <c r="R435" s="416"/>
      <c r="S435" s="411"/>
      <c r="T435" s="167"/>
      <c r="U435" s="167"/>
      <c r="V435" s="167"/>
      <c r="W435" s="415"/>
      <c r="X435" s="411"/>
      <c r="Y435" s="411"/>
      <c r="Z435" s="411"/>
      <c r="AA435" s="433"/>
      <c r="AB435" s="419"/>
      <c r="AC435" s="401"/>
      <c r="AD435" s="409"/>
      <c r="AE435" s="420"/>
      <c r="AF435" s="426"/>
      <c r="AG435" s="823"/>
      <c r="AH435" s="731"/>
      <c r="AI435" s="731"/>
      <c r="AJ435" s="731"/>
      <c r="AK435" s="731"/>
      <c r="AL435" s="731"/>
      <c r="AM435" s="731"/>
      <c r="AN435" s="731"/>
      <c r="AO435" s="731"/>
      <c r="AP435" s="731"/>
      <c r="AQ435" s="731"/>
      <c r="AR435" s="731"/>
      <c r="AS435" s="731"/>
      <c r="AT435" s="731"/>
      <c r="AU435" s="731"/>
      <c r="AV435" s="731"/>
      <c r="AW435" s="731"/>
      <c r="AX435" s="731"/>
      <c r="AY435" s="427"/>
    </row>
    <row r="436" spans="1:51" ht="18.75" hidden="1" customHeight="1" x14ac:dyDescent="0.25">
      <c r="A436" s="829"/>
      <c r="B436" s="710"/>
      <c r="C436" s="818" t="s">
        <v>1192</v>
      </c>
      <c r="D436" s="413" t="s">
        <v>340</v>
      </c>
      <c r="E436" s="179"/>
      <c r="F436" s="180"/>
      <c r="G436" s="174"/>
      <c r="H436" s="174"/>
      <c r="I436" s="174"/>
      <c r="J436" s="410"/>
      <c r="K436" s="409"/>
      <c r="L436" s="410"/>
      <c r="M436" s="410"/>
      <c r="N436" s="410"/>
      <c r="O436" s="410"/>
      <c r="P436" s="410">
        <v>16</v>
      </c>
      <c r="Q436" s="410">
        <v>93</v>
      </c>
      <c r="R436" s="416">
        <v>93</v>
      </c>
      <c r="S436" s="411"/>
      <c r="T436" s="167"/>
      <c r="U436" s="167"/>
      <c r="V436" s="167"/>
      <c r="W436" s="415"/>
      <c r="X436" s="411"/>
      <c r="Y436" s="411"/>
      <c r="Z436" s="411"/>
      <c r="AA436" s="433"/>
      <c r="AB436" s="419"/>
      <c r="AC436" s="409">
        <v>16</v>
      </c>
      <c r="AD436" s="409">
        <v>93</v>
      </c>
      <c r="AE436" s="420">
        <v>93</v>
      </c>
      <c r="AF436" s="426"/>
      <c r="AG436" s="913" t="s">
        <v>1192</v>
      </c>
      <c r="AH436" s="813" t="s">
        <v>1323</v>
      </c>
      <c r="AI436" s="813" t="s">
        <v>1324</v>
      </c>
      <c r="AJ436" s="914" t="s">
        <v>1315</v>
      </c>
      <c r="AK436" s="813" t="s">
        <v>457</v>
      </c>
      <c r="AL436" s="813" t="s">
        <v>178</v>
      </c>
      <c r="AM436" s="813" t="s">
        <v>1275</v>
      </c>
      <c r="AN436" s="909">
        <v>140135</v>
      </c>
      <c r="AO436" s="910">
        <v>70844</v>
      </c>
      <c r="AP436" s="910">
        <v>80573</v>
      </c>
      <c r="AQ436" s="911" t="s">
        <v>459</v>
      </c>
      <c r="AR436" s="911" t="s">
        <v>459</v>
      </c>
      <c r="AS436" s="911" t="s">
        <v>459</v>
      </c>
      <c r="AT436" s="911" t="s">
        <v>459</v>
      </c>
      <c r="AU436" s="915" t="s">
        <v>459</v>
      </c>
      <c r="AV436" s="915" t="s">
        <v>459</v>
      </c>
      <c r="AW436" s="915" t="s">
        <v>459</v>
      </c>
      <c r="AX436" s="910">
        <v>140135</v>
      </c>
      <c r="AY436" s="427"/>
    </row>
    <row r="437" spans="1:51" ht="18.75" hidden="1" customHeight="1" x14ac:dyDescent="0.25">
      <c r="A437" s="829"/>
      <c r="B437" s="710"/>
      <c r="C437" s="710"/>
      <c r="D437" s="404" t="s">
        <v>343</v>
      </c>
      <c r="E437" s="179"/>
      <c r="F437" s="180"/>
      <c r="G437" s="174"/>
      <c r="H437" s="174"/>
      <c r="I437" s="174"/>
      <c r="J437" s="410"/>
      <c r="K437" s="409"/>
      <c r="L437" s="410"/>
      <c r="M437" s="410"/>
      <c r="N437" s="410"/>
      <c r="O437" s="410"/>
      <c r="P437" s="410" t="e">
        <f>+P436*$P$299/$P$298</f>
        <v>#VALUE!</v>
      </c>
      <c r="Q437" s="410" t="e">
        <f>+Q436*$Q$299/$Q$298</f>
        <v>#VALUE!</v>
      </c>
      <c r="R437" s="410" t="e">
        <f>+R436*$R$299/$R$298</f>
        <v>#VALUE!</v>
      </c>
      <c r="S437" s="411"/>
      <c r="T437" s="167"/>
      <c r="U437" s="167"/>
      <c r="V437" s="167"/>
      <c r="W437" s="415"/>
      <c r="X437" s="411"/>
      <c r="Y437" s="411"/>
      <c r="Z437" s="411"/>
      <c r="AA437" s="433"/>
      <c r="AB437" s="419"/>
      <c r="AC437" s="409" t="e">
        <f>+AC436*$AC$299/$AC$298</f>
        <v>#VALUE!</v>
      </c>
      <c r="AD437" s="409" t="e">
        <f>+AD436*$AD$299/$AD$298</f>
        <v>#VALUE!</v>
      </c>
      <c r="AE437" s="409" t="e">
        <f>+AE436*$AE$299/$AE$298</f>
        <v>#VALUE!</v>
      </c>
      <c r="AF437" s="426"/>
      <c r="AG437" s="829"/>
      <c r="AH437" s="710"/>
      <c r="AI437" s="710"/>
      <c r="AJ437" s="710"/>
      <c r="AK437" s="710"/>
      <c r="AL437" s="710"/>
      <c r="AM437" s="710"/>
      <c r="AN437" s="710"/>
      <c r="AO437" s="710"/>
      <c r="AP437" s="710"/>
      <c r="AQ437" s="710"/>
      <c r="AR437" s="710"/>
      <c r="AS437" s="710"/>
      <c r="AT437" s="710"/>
      <c r="AU437" s="710"/>
      <c r="AV437" s="710"/>
      <c r="AW437" s="710"/>
      <c r="AX437" s="710"/>
      <c r="AY437" s="427"/>
    </row>
    <row r="438" spans="1:51" ht="27.75" hidden="1" customHeight="1" x14ac:dyDescent="0.25">
      <c r="A438" s="829"/>
      <c r="B438" s="710"/>
      <c r="C438" s="710"/>
      <c r="D438" s="408" t="s">
        <v>345</v>
      </c>
      <c r="E438" s="179"/>
      <c r="F438" s="180"/>
      <c r="G438" s="174"/>
      <c r="H438" s="174"/>
      <c r="I438" s="174"/>
      <c r="J438" s="410"/>
      <c r="K438" s="409"/>
      <c r="L438" s="410"/>
      <c r="M438" s="410"/>
      <c r="N438" s="410"/>
      <c r="O438" s="410"/>
      <c r="P438" s="410"/>
      <c r="Q438" s="410"/>
      <c r="R438" s="416"/>
      <c r="S438" s="411"/>
      <c r="T438" s="167"/>
      <c r="U438" s="167"/>
      <c r="V438" s="167"/>
      <c r="W438" s="415"/>
      <c r="X438" s="411"/>
      <c r="Y438" s="411"/>
      <c r="Z438" s="411"/>
      <c r="AA438" s="433"/>
      <c r="AB438" s="419"/>
      <c r="AC438" s="409"/>
      <c r="AD438" s="409"/>
      <c r="AE438" s="420"/>
      <c r="AF438" s="426"/>
      <c r="AG438" s="829"/>
      <c r="AH438" s="710"/>
      <c r="AI438" s="710"/>
      <c r="AJ438" s="710"/>
      <c r="AK438" s="710"/>
      <c r="AL438" s="710"/>
      <c r="AM438" s="710"/>
      <c r="AN438" s="710"/>
      <c r="AO438" s="710"/>
      <c r="AP438" s="710"/>
      <c r="AQ438" s="710"/>
      <c r="AR438" s="710"/>
      <c r="AS438" s="710"/>
      <c r="AT438" s="710"/>
      <c r="AU438" s="710"/>
      <c r="AV438" s="710"/>
      <c r="AW438" s="710"/>
      <c r="AX438" s="710"/>
      <c r="AY438" s="427"/>
    </row>
    <row r="439" spans="1:51" ht="27.75" hidden="1" customHeight="1" x14ac:dyDescent="0.25">
      <c r="A439" s="829"/>
      <c r="B439" s="710"/>
      <c r="C439" s="710"/>
      <c r="D439" s="404" t="s">
        <v>346</v>
      </c>
      <c r="E439" s="179"/>
      <c r="F439" s="180"/>
      <c r="G439" s="174"/>
      <c r="H439" s="174"/>
      <c r="I439" s="174"/>
      <c r="J439" s="410"/>
      <c r="K439" s="409"/>
      <c r="L439" s="410"/>
      <c r="M439" s="410"/>
      <c r="N439" s="410"/>
      <c r="O439" s="410"/>
      <c r="P439" s="410"/>
      <c r="Q439" s="410"/>
      <c r="R439" s="416"/>
      <c r="S439" s="411"/>
      <c r="T439" s="167"/>
      <c r="U439" s="167"/>
      <c r="V439" s="167"/>
      <c r="W439" s="415"/>
      <c r="X439" s="411"/>
      <c r="Y439" s="411"/>
      <c r="Z439" s="411"/>
      <c r="AA439" s="433"/>
      <c r="AB439" s="419"/>
      <c r="AC439" s="409"/>
      <c r="AD439" s="409"/>
      <c r="AE439" s="420"/>
      <c r="AF439" s="426"/>
      <c r="AG439" s="829"/>
      <c r="AH439" s="710"/>
      <c r="AI439" s="710"/>
      <c r="AJ439" s="710"/>
      <c r="AK439" s="710"/>
      <c r="AL439" s="710"/>
      <c r="AM439" s="710"/>
      <c r="AN439" s="710"/>
      <c r="AO439" s="710"/>
      <c r="AP439" s="710"/>
      <c r="AQ439" s="710"/>
      <c r="AR439" s="710"/>
      <c r="AS439" s="710"/>
      <c r="AT439" s="710"/>
      <c r="AU439" s="710"/>
      <c r="AV439" s="710"/>
      <c r="AW439" s="710"/>
      <c r="AX439" s="710"/>
      <c r="AY439" s="427"/>
    </row>
    <row r="440" spans="1:51" ht="27.75" hidden="1" customHeight="1" x14ac:dyDescent="0.25">
      <c r="A440" s="829"/>
      <c r="B440" s="710"/>
      <c r="C440" s="710"/>
      <c r="D440" s="408" t="s">
        <v>347</v>
      </c>
      <c r="E440" s="179"/>
      <c r="F440" s="180"/>
      <c r="G440" s="174"/>
      <c r="H440" s="174"/>
      <c r="I440" s="174"/>
      <c r="J440" s="410"/>
      <c r="K440" s="409"/>
      <c r="L440" s="410"/>
      <c r="M440" s="410"/>
      <c r="N440" s="410"/>
      <c r="O440" s="410"/>
      <c r="P440" s="410">
        <v>16</v>
      </c>
      <c r="Q440" s="410">
        <v>93</v>
      </c>
      <c r="R440" s="416">
        <v>93</v>
      </c>
      <c r="S440" s="411"/>
      <c r="T440" s="167"/>
      <c r="U440" s="167"/>
      <c r="V440" s="167"/>
      <c r="W440" s="415"/>
      <c r="X440" s="411"/>
      <c r="Y440" s="411"/>
      <c r="Z440" s="411"/>
      <c r="AA440" s="433"/>
      <c r="AB440" s="419"/>
      <c r="AC440" s="409">
        <v>16</v>
      </c>
      <c r="AD440" s="409">
        <v>93</v>
      </c>
      <c r="AE440" s="420">
        <v>93</v>
      </c>
      <c r="AF440" s="426"/>
      <c r="AG440" s="829"/>
      <c r="AH440" s="710"/>
      <c r="AI440" s="710"/>
      <c r="AJ440" s="710"/>
      <c r="AK440" s="710"/>
      <c r="AL440" s="710"/>
      <c r="AM440" s="710"/>
      <c r="AN440" s="710"/>
      <c r="AO440" s="710"/>
      <c r="AP440" s="710"/>
      <c r="AQ440" s="710"/>
      <c r="AR440" s="710"/>
      <c r="AS440" s="710"/>
      <c r="AT440" s="710"/>
      <c r="AU440" s="710"/>
      <c r="AV440" s="710"/>
      <c r="AW440" s="710"/>
      <c r="AX440" s="710"/>
      <c r="AY440" s="427"/>
    </row>
    <row r="441" spans="1:51" ht="27.75" hidden="1" customHeight="1" x14ac:dyDescent="0.25">
      <c r="A441" s="829"/>
      <c r="B441" s="710"/>
      <c r="C441" s="731"/>
      <c r="D441" s="412" t="s">
        <v>348</v>
      </c>
      <c r="E441" s="179"/>
      <c r="F441" s="180"/>
      <c r="G441" s="174"/>
      <c r="H441" s="174"/>
      <c r="I441" s="174"/>
      <c r="J441" s="410"/>
      <c r="K441" s="409"/>
      <c r="L441" s="410"/>
      <c r="M441" s="410"/>
      <c r="N441" s="410"/>
      <c r="O441" s="410"/>
      <c r="P441" s="410" t="e">
        <f>+P440*$P$299/$P$298</f>
        <v>#VALUE!</v>
      </c>
      <c r="Q441" s="410" t="e">
        <f>+Q440*$Q$299/$Q$298</f>
        <v>#VALUE!</v>
      </c>
      <c r="R441" s="410" t="e">
        <f>+R440*$R$299/$R$298</f>
        <v>#VALUE!</v>
      </c>
      <c r="S441" s="411"/>
      <c r="T441" s="167"/>
      <c r="U441" s="167"/>
      <c r="V441" s="167"/>
      <c r="W441" s="415"/>
      <c r="X441" s="411"/>
      <c r="Y441" s="411"/>
      <c r="Z441" s="411"/>
      <c r="AA441" s="433"/>
      <c r="AB441" s="419"/>
      <c r="AC441" s="409" t="e">
        <f>+AC440*$AC$299/$AC$298</f>
        <v>#VALUE!</v>
      </c>
      <c r="AD441" s="409" t="e">
        <f>+AD440*$AD$299/$AD$298</f>
        <v>#VALUE!</v>
      </c>
      <c r="AE441" s="409" t="e">
        <f>+AE440*$AE$299/$AE$298</f>
        <v>#VALUE!</v>
      </c>
      <c r="AF441" s="426"/>
      <c r="AG441" s="823"/>
      <c r="AH441" s="731"/>
      <c r="AI441" s="731"/>
      <c r="AJ441" s="731"/>
      <c r="AK441" s="731"/>
      <c r="AL441" s="731"/>
      <c r="AM441" s="731"/>
      <c r="AN441" s="731"/>
      <c r="AO441" s="731"/>
      <c r="AP441" s="731"/>
      <c r="AQ441" s="731"/>
      <c r="AR441" s="731"/>
      <c r="AS441" s="731"/>
      <c r="AT441" s="731"/>
      <c r="AU441" s="731"/>
      <c r="AV441" s="731"/>
      <c r="AW441" s="731"/>
      <c r="AX441" s="731"/>
      <c r="AY441" s="427"/>
    </row>
    <row r="442" spans="1:51" ht="18.75" hidden="1" customHeight="1" x14ac:dyDescent="0.25">
      <c r="A442" s="829"/>
      <c r="B442" s="710"/>
      <c r="C442" s="818" t="s">
        <v>662</v>
      </c>
      <c r="D442" s="413" t="s">
        <v>340</v>
      </c>
      <c r="E442" s="179"/>
      <c r="F442" s="180"/>
      <c r="G442" s="174"/>
      <c r="H442" s="174"/>
      <c r="I442" s="174"/>
      <c r="J442" s="410"/>
      <c r="K442" s="409"/>
      <c r="L442" s="410"/>
      <c r="M442" s="410"/>
      <c r="N442" s="410"/>
      <c r="O442" s="410"/>
      <c r="P442" s="410"/>
      <c r="Q442" s="410"/>
      <c r="R442" s="416"/>
      <c r="S442" s="411"/>
      <c r="T442" s="167"/>
      <c r="U442" s="167"/>
      <c r="V442" s="167"/>
      <c r="W442" s="415"/>
      <c r="X442" s="411"/>
      <c r="Y442" s="411"/>
      <c r="Z442" s="411"/>
      <c r="AA442" s="433"/>
      <c r="AB442" s="419"/>
      <c r="AC442" s="409"/>
      <c r="AD442" s="409"/>
      <c r="AE442" s="420"/>
      <c r="AF442" s="426"/>
      <c r="AG442" s="913" t="s">
        <v>662</v>
      </c>
      <c r="AH442" s="813" t="s">
        <v>633</v>
      </c>
      <c r="AI442" s="813" t="s">
        <v>633</v>
      </c>
      <c r="AJ442" s="914" t="s">
        <v>1315</v>
      </c>
      <c r="AK442" s="813" t="s">
        <v>457</v>
      </c>
      <c r="AL442" s="813" t="s">
        <v>178</v>
      </c>
      <c r="AM442" s="813" t="s">
        <v>1275</v>
      </c>
      <c r="AN442" s="909">
        <v>93248</v>
      </c>
      <c r="AO442" s="910">
        <v>37102</v>
      </c>
      <c r="AP442" s="910">
        <v>38674</v>
      </c>
      <c r="AQ442" s="911" t="s">
        <v>459</v>
      </c>
      <c r="AR442" s="911" t="s">
        <v>459</v>
      </c>
      <c r="AS442" s="911" t="s">
        <v>459</v>
      </c>
      <c r="AT442" s="911" t="s">
        <v>459</v>
      </c>
      <c r="AU442" s="915" t="s">
        <v>459</v>
      </c>
      <c r="AV442" s="915" t="s">
        <v>459</v>
      </c>
      <c r="AW442" s="915" t="s">
        <v>459</v>
      </c>
      <c r="AX442" s="910">
        <v>93248</v>
      </c>
      <c r="AY442" s="427"/>
    </row>
    <row r="443" spans="1:51" ht="18.75" hidden="1" customHeight="1" x14ac:dyDescent="0.25">
      <c r="A443" s="829"/>
      <c r="B443" s="710"/>
      <c r="C443" s="710"/>
      <c r="D443" s="404" t="s">
        <v>343</v>
      </c>
      <c r="E443" s="179"/>
      <c r="F443" s="180"/>
      <c r="G443" s="174"/>
      <c r="H443" s="174"/>
      <c r="I443" s="174"/>
      <c r="J443" s="410"/>
      <c r="K443" s="409"/>
      <c r="L443" s="410"/>
      <c r="M443" s="410"/>
      <c r="N443" s="410"/>
      <c r="O443" s="410"/>
      <c r="P443" s="410"/>
      <c r="Q443" s="410"/>
      <c r="R443" s="416"/>
      <c r="S443" s="411"/>
      <c r="T443" s="167"/>
      <c r="U443" s="167"/>
      <c r="V443" s="167"/>
      <c r="W443" s="415"/>
      <c r="X443" s="411"/>
      <c r="Y443" s="411"/>
      <c r="Z443" s="411"/>
      <c r="AA443" s="433"/>
      <c r="AB443" s="419"/>
      <c r="AC443" s="409"/>
      <c r="AD443" s="409"/>
      <c r="AE443" s="420"/>
      <c r="AF443" s="426"/>
      <c r="AG443" s="829"/>
      <c r="AH443" s="710"/>
      <c r="AI443" s="710"/>
      <c r="AJ443" s="710"/>
      <c r="AK443" s="710"/>
      <c r="AL443" s="710"/>
      <c r="AM443" s="710"/>
      <c r="AN443" s="710"/>
      <c r="AO443" s="710"/>
      <c r="AP443" s="710"/>
      <c r="AQ443" s="710"/>
      <c r="AR443" s="710"/>
      <c r="AS443" s="710"/>
      <c r="AT443" s="710"/>
      <c r="AU443" s="710"/>
      <c r="AV443" s="710"/>
      <c r="AW443" s="710"/>
      <c r="AX443" s="710"/>
      <c r="AY443" s="427"/>
    </row>
    <row r="444" spans="1:51" ht="27.75" hidden="1" customHeight="1" x14ac:dyDescent="0.25">
      <c r="A444" s="829"/>
      <c r="B444" s="710"/>
      <c r="C444" s="710"/>
      <c r="D444" s="408" t="s">
        <v>345</v>
      </c>
      <c r="E444" s="179"/>
      <c r="F444" s="180"/>
      <c r="G444" s="174"/>
      <c r="H444" s="174"/>
      <c r="I444" s="174"/>
      <c r="J444" s="410"/>
      <c r="K444" s="409"/>
      <c r="L444" s="410"/>
      <c r="M444" s="410"/>
      <c r="N444" s="410"/>
      <c r="O444" s="410"/>
      <c r="P444" s="410"/>
      <c r="Q444" s="410"/>
      <c r="R444" s="416"/>
      <c r="S444" s="411"/>
      <c r="T444" s="167"/>
      <c r="U444" s="167"/>
      <c r="V444" s="167"/>
      <c r="W444" s="415"/>
      <c r="X444" s="411"/>
      <c r="Y444" s="411"/>
      <c r="Z444" s="411"/>
      <c r="AA444" s="433"/>
      <c r="AB444" s="419"/>
      <c r="AC444" s="409"/>
      <c r="AD444" s="409"/>
      <c r="AE444" s="420"/>
      <c r="AF444" s="426"/>
      <c r="AG444" s="829"/>
      <c r="AH444" s="710"/>
      <c r="AI444" s="710"/>
      <c r="AJ444" s="710"/>
      <c r="AK444" s="710"/>
      <c r="AL444" s="710"/>
      <c r="AM444" s="710"/>
      <c r="AN444" s="710"/>
      <c r="AO444" s="710"/>
      <c r="AP444" s="710"/>
      <c r="AQ444" s="710"/>
      <c r="AR444" s="710"/>
      <c r="AS444" s="710"/>
      <c r="AT444" s="710"/>
      <c r="AU444" s="710"/>
      <c r="AV444" s="710"/>
      <c r="AW444" s="710"/>
      <c r="AX444" s="710"/>
      <c r="AY444" s="427"/>
    </row>
    <row r="445" spans="1:51" ht="27.75" hidden="1" customHeight="1" x14ac:dyDescent="0.25">
      <c r="A445" s="829"/>
      <c r="B445" s="710"/>
      <c r="C445" s="710"/>
      <c r="D445" s="404" t="s">
        <v>346</v>
      </c>
      <c r="E445" s="179"/>
      <c r="F445" s="180"/>
      <c r="G445" s="174"/>
      <c r="H445" s="174"/>
      <c r="I445" s="174"/>
      <c r="J445" s="410"/>
      <c r="K445" s="409"/>
      <c r="L445" s="410"/>
      <c r="M445" s="410"/>
      <c r="N445" s="410"/>
      <c r="O445" s="410"/>
      <c r="P445" s="410"/>
      <c r="Q445" s="410"/>
      <c r="R445" s="416"/>
      <c r="S445" s="411"/>
      <c r="T445" s="167"/>
      <c r="U445" s="167"/>
      <c r="V445" s="167"/>
      <c r="W445" s="415"/>
      <c r="X445" s="411"/>
      <c r="Y445" s="411"/>
      <c r="Z445" s="411"/>
      <c r="AA445" s="433"/>
      <c r="AB445" s="419"/>
      <c r="AC445" s="409"/>
      <c r="AD445" s="409"/>
      <c r="AE445" s="420"/>
      <c r="AF445" s="426"/>
      <c r="AG445" s="829"/>
      <c r="AH445" s="710"/>
      <c r="AI445" s="710"/>
      <c r="AJ445" s="710"/>
      <c r="AK445" s="710"/>
      <c r="AL445" s="710"/>
      <c r="AM445" s="710"/>
      <c r="AN445" s="710"/>
      <c r="AO445" s="710"/>
      <c r="AP445" s="710"/>
      <c r="AQ445" s="710"/>
      <c r="AR445" s="710"/>
      <c r="AS445" s="710"/>
      <c r="AT445" s="710"/>
      <c r="AU445" s="710"/>
      <c r="AV445" s="710"/>
      <c r="AW445" s="710"/>
      <c r="AX445" s="710"/>
      <c r="AY445" s="427"/>
    </row>
    <row r="446" spans="1:51" ht="27.75" hidden="1" customHeight="1" x14ac:dyDescent="0.25">
      <c r="A446" s="829"/>
      <c r="B446" s="710"/>
      <c r="C446" s="710"/>
      <c r="D446" s="408" t="s">
        <v>347</v>
      </c>
      <c r="E446" s="179"/>
      <c r="F446" s="180"/>
      <c r="G446" s="174"/>
      <c r="H446" s="174"/>
      <c r="I446" s="174"/>
      <c r="J446" s="410"/>
      <c r="K446" s="409"/>
      <c r="L446" s="410"/>
      <c r="M446" s="410"/>
      <c r="N446" s="410"/>
      <c r="O446" s="410"/>
      <c r="P446" s="410"/>
      <c r="Q446" s="410"/>
      <c r="R446" s="416"/>
      <c r="S446" s="411"/>
      <c r="T446" s="167"/>
      <c r="U446" s="167"/>
      <c r="V446" s="167"/>
      <c r="W446" s="415"/>
      <c r="X446" s="411"/>
      <c r="Y446" s="411"/>
      <c r="Z446" s="411"/>
      <c r="AA446" s="433"/>
      <c r="AB446" s="419"/>
      <c r="AC446" s="409"/>
      <c r="AD446" s="409"/>
      <c r="AE446" s="420"/>
      <c r="AF446" s="426"/>
      <c r="AG446" s="829"/>
      <c r="AH446" s="710"/>
      <c r="AI446" s="710"/>
      <c r="AJ446" s="710"/>
      <c r="AK446" s="710"/>
      <c r="AL446" s="710"/>
      <c r="AM446" s="710"/>
      <c r="AN446" s="710"/>
      <c r="AO446" s="710"/>
      <c r="AP446" s="710"/>
      <c r="AQ446" s="710"/>
      <c r="AR446" s="710"/>
      <c r="AS446" s="710"/>
      <c r="AT446" s="710"/>
      <c r="AU446" s="710"/>
      <c r="AV446" s="710"/>
      <c r="AW446" s="710"/>
      <c r="AX446" s="710"/>
      <c r="AY446" s="427"/>
    </row>
    <row r="447" spans="1:51" ht="27.75" hidden="1" customHeight="1" x14ac:dyDescent="0.25">
      <c r="A447" s="829"/>
      <c r="B447" s="710"/>
      <c r="C447" s="731"/>
      <c r="D447" s="412" t="s">
        <v>348</v>
      </c>
      <c r="E447" s="179"/>
      <c r="F447" s="180"/>
      <c r="G447" s="174"/>
      <c r="H447" s="174"/>
      <c r="I447" s="174"/>
      <c r="J447" s="410"/>
      <c r="K447" s="409"/>
      <c r="L447" s="410"/>
      <c r="M447" s="410"/>
      <c r="N447" s="410"/>
      <c r="O447" s="410"/>
      <c r="P447" s="410"/>
      <c r="Q447" s="410"/>
      <c r="R447" s="416"/>
      <c r="S447" s="411"/>
      <c r="T447" s="167"/>
      <c r="U447" s="167"/>
      <c r="V447" s="167"/>
      <c r="W447" s="415"/>
      <c r="X447" s="411"/>
      <c r="Y447" s="411"/>
      <c r="Z447" s="411"/>
      <c r="AA447" s="433"/>
      <c r="AB447" s="419"/>
      <c r="AC447" s="409"/>
      <c r="AD447" s="409"/>
      <c r="AE447" s="420"/>
      <c r="AF447" s="426"/>
      <c r="AG447" s="823"/>
      <c r="AH447" s="731"/>
      <c r="AI447" s="731"/>
      <c r="AJ447" s="731"/>
      <c r="AK447" s="731"/>
      <c r="AL447" s="731"/>
      <c r="AM447" s="731"/>
      <c r="AN447" s="731"/>
      <c r="AO447" s="731"/>
      <c r="AP447" s="731"/>
      <c r="AQ447" s="731"/>
      <c r="AR447" s="731"/>
      <c r="AS447" s="731"/>
      <c r="AT447" s="731"/>
      <c r="AU447" s="731"/>
      <c r="AV447" s="731"/>
      <c r="AW447" s="731"/>
      <c r="AX447" s="731"/>
      <c r="AY447" s="427"/>
    </row>
    <row r="448" spans="1:51" ht="18.75" hidden="1" customHeight="1" x14ac:dyDescent="0.25">
      <c r="A448" s="829"/>
      <c r="B448" s="710"/>
      <c r="C448" s="818" t="s">
        <v>666</v>
      </c>
      <c r="D448" s="413" t="s">
        <v>340</v>
      </c>
      <c r="E448" s="179"/>
      <c r="F448" s="180"/>
      <c r="G448" s="174"/>
      <c r="H448" s="174"/>
      <c r="I448" s="174"/>
      <c r="J448" s="410"/>
      <c r="K448" s="409"/>
      <c r="L448" s="410"/>
      <c r="M448" s="410"/>
      <c r="N448" s="410"/>
      <c r="O448" s="410"/>
      <c r="P448" s="410"/>
      <c r="Q448" s="410"/>
      <c r="R448" s="416"/>
      <c r="S448" s="411"/>
      <c r="T448" s="167"/>
      <c r="U448" s="167"/>
      <c r="V448" s="167"/>
      <c r="W448" s="415"/>
      <c r="X448" s="411"/>
      <c r="Y448" s="411"/>
      <c r="Z448" s="411"/>
      <c r="AA448" s="433"/>
      <c r="AB448" s="419"/>
      <c r="AC448" s="409"/>
      <c r="AD448" s="409"/>
      <c r="AE448" s="420"/>
      <c r="AF448" s="426"/>
      <c r="AG448" s="913" t="s">
        <v>666</v>
      </c>
      <c r="AH448" s="813" t="s">
        <v>633</v>
      </c>
      <c r="AI448" s="813" t="s">
        <v>633</v>
      </c>
      <c r="AJ448" s="914" t="s">
        <v>1315</v>
      </c>
      <c r="AK448" s="813" t="s">
        <v>457</v>
      </c>
      <c r="AL448" s="813" t="s">
        <v>178</v>
      </c>
      <c r="AM448" s="813" t="s">
        <v>1275</v>
      </c>
      <c r="AN448" s="909">
        <v>109254</v>
      </c>
      <c r="AO448" s="910">
        <v>39611</v>
      </c>
      <c r="AP448" s="910">
        <v>43209</v>
      </c>
      <c r="AQ448" s="911" t="s">
        <v>459</v>
      </c>
      <c r="AR448" s="911" t="s">
        <v>459</v>
      </c>
      <c r="AS448" s="911" t="s">
        <v>459</v>
      </c>
      <c r="AT448" s="911" t="s">
        <v>459</v>
      </c>
      <c r="AU448" s="915" t="s">
        <v>459</v>
      </c>
      <c r="AV448" s="915" t="s">
        <v>459</v>
      </c>
      <c r="AW448" s="915" t="s">
        <v>459</v>
      </c>
      <c r="AX448" s="910">
        <v>109254</v>
      </c>
      <c r="AY448" s="427"/>
    </row>
    <row r="449" spans="1:51" ht="18.75" hidden="1" customHeight="1" x14ac:dyDescent="0.25">
      <c r="A449" s="829"/>
      <c r="B449" s="710"/>
      <c r="C449" s="710"/>
      <c r="D449" s="404" t="s">
        <v>343</v>
      </c>
      <c r="E449" s="179"/>
      <c r="F449" s="180"/>
      <c r="G449" s="174"/>
      <c r="H449" s="174"/>
      <c r="I449" s="174"/>
      <c r="J449" s="410"/>
      <c r="K449" s="409"/>
      <c r="L449" s="410"/>
      <c r="M449" s="410"/>
      <c r="N449" s="410"/>
      <c r="O449" s="410"/>
      <c r="P449" s="410"/>
      <c r="Q449" s="410"/>
      <c r="R449" s="416"/>
      <c r="S449" s="411"/>
      <c r="T449" s="167"/>
      <c r="U449" s="167"/>
      <c r="V449" s="167"/>
      <c r="W449" s="415"/>
      <c r="X449" s="411"/>
      <c r="Y449" s="411"/>
      <c r="Z449" s="411"/>
      <c r="AA449" s="433"/>
      <c r="AB449" s="419"/>
      <c r="AC449" s="409"/>
      <c r="AD449" s="409"/>
      <c r="AE449" s="420"/>
      <c r="AF449" s="426"/>
      <c r="AG449" s="829"/>
      <c r="AH449" s="710"/>
      <c r="AI449" s="710"/>
      <c r="AJ449" s="710"/>
      <c r="AK449" s="710"/>
      <c r="AL449" s="710"/>
      <c r="AM449" s="710"/>
      <c r="AN449" s="710"/>
      <c r="AO449" s="710"/>
      <c r="AP449" s="710"/>
      <c r="AQ449" s="710"/>
      <c r="AR449" s="710"/>
      <c r="AS449" s="710"/>
      <c r="AT449" s="710"/>
      <c r="AU449" s="710"/>
      <c r="AV449" s="710"/>
      <c r="AW449" s="710"/>
      <c r="AX449" s="710"/>
      <c r="AY449" s="427"/>
    </row>
    <row r="450" spans="1:51" ht="27.75" hidden="1" customHeight="1" x14ac:dyDescent="0.25">
      <c r="A450" s="829"/>
      <c r="B450" s="710"/>
      <c r="C450" s="710"/>
      <c r="D450" s="408" t="s">
        <v>345</v>
      </c>
      <c r="E450" s="179"/>
      <c r="F450" s="180"/>
      <c r="G450" s="174"/>
      <c r="H450" s="174"/>
      <c r="I450" s="174"/>
      <c r="J450" s="410"/>
      <c r="K450" s="409"/>
      <c r="L450" s="410"/>
      <c r="M450" s="410"/>
      <c r="N450" s="410"/>
      <c r="O450" s="410"/>
      <c r="P450" s="410"/>
      <c r="Q450" s="410"/>
      <c r="R450" s="416"/>
      <c r="S450" s="411"/>
      <c r="T450" s="167"/>
      <c r="U450" s="167"/>
      <c r="V450" s="167"/>
      <c r="W450" s="415"/>
      <c r="X450" s="411"/>
      <c r="Y450" s="411"/>
      <c r="Z450" s="411"/>
      <c r="AA450" s="433"/>
      <c r="AB450" s="419"/>
      <c r="AC450" s="409"/>
      <c r="AD450" s="409"/>
      <c r="AE450" s="420"/>
      <c r="AF450" s="426"/>
      <c r="AG450" s="829"/>
      <c r="AH450" s="710"/>
      <c r="AI450" s="710"/>
      <c r="AJ450" s="710"/>
      <c r="AK450" s="710"/>
      <c r="AL450" s="710"/>
      <c r="AM450" s="710"/>
      <c r="AN450" s="710"/>
      <c r="AO450" s="710"/>
      <c r="AP450" s="710"/>
      <c r="AQ450" s="710"/>
      <c r="AR450" s="710"/>
      <c r="AS450" s="710"/>
      <c r="AT450" s="710"/>
      <c r="AU450" s="710"/>
      <c r="AV450" s="710"/>
      <c r="AW450" s="710"/>
      <c r="AX450" s="710"/>
      <c r="AY450" s="427"/>
    </row>
    <row r="451" spans="1:51" ht="27.75" hidden="1" customHeight="1" x14ac:dyDescent="0.25">
      <c r="A451" s="829"/>
      <c r="B451" s="710"/>
      <c r="C451" s="710"/>
      <c r="D451" s="404" t="s">
        <v>346</v>
      </c>
      <c r="E451" s="179"/>
      <c r="F451" s="180"/>
      <c r="G451" s="174"/>
      <c r="H451" s="174"/>
      <c r="I451" s="174"/>
      <c r="J451" s="410"/>
      <c r="K451" s="409"/>
      <c r="L451" s="410"/>
      <c r="M451" s="410"/>
      <c r="N451" s="410"/>
      <c r="O451" s="410"/>
      <c r="P451" s="410"/>
      <c r="Q451" s="410"/>
      <c r="R451" s="416"/>
      <c r="S451" s="411"/>
      <c r="T451" s="167"/>
      <c r="U451" s="167"/>
      <c r="V451" s="167"/>
      <c r="W451" s="415"/>
      <c r="X451" s="411"/>
      <c r="Y451" s="411"/>
      <c r="Z451" s="411"/>
      <c r="AA451" s="433"/>
      <c r="AB451" s="419"/>
      <c r="AC451" s="409"/>
      <c r="AD451" s="409"/>
      <c r="AE451" s="420"/>
      <c r="AF451" s="426"/>
      <c r="AG451" s="829"/>
      <c r="AH451" s="710"/>
      <c r="AI451" s="710"/>
      <c r="AJ451" s="710"/>
      <c r="AK451" s="710"/>
      <c r="AL451" s="710"/>
      <c r="AM451" s="710"/>
      <c r="AN451" s="710"/>
      <c r="AO451" s="710"/>
      <c r="AP451" s="710"/>
      <c r="AQ451" s="710"/>
      <c r="AR451" s="710"/>
      <c r="AS451" s="710"/>
      <c r="AT451" s="710"/>
      <c r="AU451" s="710"/>
      <c r="AV451" s="710"/>
      <c r="AW451" s="710"/>
      <c r="AX451" s="710"/>
      <c r="AY451" s="427"/>
    </row>
    <row r="452" spans="1:51" ht="27.75" hidden="1" customHeight="1" x14ac:dyDescent="0.25">
      <c r="A452" s="829"/>
      <c r="B452" s="710"/>
      <c r="C452" s="710"/>
      <c r="D452" s="408" t="s">
        <v>347</v>
      </c>
      <c r="E452" s="179"/>
      <c r="F452" s="180"/>
      <c r="G452" s="174"/>
      <c r="H452" s="174"/>
      <c r="I452" s="174"/>
      <c r="J452" s="410"/>
      <c r="K452" s="409"/>
      <c r="L452" s="410"/>
      <c r="M452" s="410"/>
      <c r="N452" s="410"/>
      <c r="O452" s="410"/>
      <c r="P452" s="410"/>
      <c r="Q452" s="410"/>
      <c r="R452" s="416"/>
      <c r="S452" s="411"/>
      <c r="T452" s="167"/>
      <c r="U452" s="167"/>
      <c r="V452" s="167"/>
      <c r="W452" s="415"/>
      <c r="X452" s="411"/>
      <c r="Y452" s="411"/>
      <c r="Z452" s="411"/>
      <c r="AA452" s="433"/>
      <c r="AB452" s="419"/>
      <c r="AC452" s="409"/>
      <c r="AD452" s="409"/>
      <c r="AE452" s="420"/>
      <c r="AF452" s="426"/>
      <c r="AG452" s="829"/>
      <c r="AH452" s="710"/>
      <c r="AI452" s="710"/>
      <c r="AJ452" s="710"/>
      <c r="AK452" s="710"/>
      <c r="AL452" s="710"/>
      <c r="AM452" s="710"/>
      <c r="AN452" s="710"/>
      <c r="AO452" s="710"/>
      <c r="AP452" s="710"/>
      <c r="AQ452" s="710"/>
      <c r="AR452" s="710"/>
      <c r="AS452" s="710"/>
      <c r="AT452" s="710"/>
      <c r="AU452" s="710"/>
      <c r="AV452" s="710"/>
      <c r="AW452" s="710"/>
      <c r="AX452" s="710"/>
      <c r="AY452" s="427"/>
    </row>
    <row r="453" spans="1:51" ht="27.75" hidden="1" customHeight="1" x14ac:dyDescent="0.25">
      <c r="A453" s="829"/>
      <c r="B453" s="710"/>
      <c r="C453" s="731"/>
      <c r="D453" s="412" t="s">
        <v>348</v>
      </c>
      <c r="E453" s="179"/>
      <c r="F453" s="180"/>
      <c r="G453" s="174"/>
      <c r="H453" s="174"/>
      <c r="I453" s="174"/>
      <c r="J453" s="410"/>
      <c r="K453" s="409"/>
      <c r="L453" s="410"/>
      <c r="M453" s="410"/>
      <c r="N453" s="410"/>
      <c r="O453" s="410"/>
      <c r="P453" s="410"/>
      <c r="Q453" s="410"/>
      <c r="R453" s="416"/>
      <c r="S453" s="411"/>
      <c r="T453" s="167"/>
      <c r="U453" s="167"/>
      <c r="V453" s="167"/>
      <c r="W453" s="415"/>
      <c r="X453" s="411"/>
      <c r="Y453" s="411"/>
      <c r="Z453" s="411"/>
      <c r="AA453" s="433"/>
      <c r="AB453" s="419"/>
      <c r="AC453" s="409"/>
      <c r="AD453" s="409"/>
      <c r="AE453" s="420"/>
      <c r="AF453" s="426"/>
      <c r="AG453" s="823"/>
      <c r="AH453" s="731"/>
      <c r="AI453" s="731"/>
      <c r="AJ453" s="731"/>
      <c r="AK453" s="731"/>
      <c r="AL453" s="731"/>
      <c r="AM453" s="731"/>
      <c r="AN453" s="731"/>
      <c r="AO453" s="731"/>
      <c r="AP453" s="731"/>
      <c r="AQ453" s="731"/>
      <c r="AR453" s="731"/>
      <c r="AS453" s="731"/>
      <c r="AT453" s="731"/>
      <c r="AU453" s="731"/>
      <c r="AV453" s="731"/>
      <c r="AW453" s="731"/>
      <c r="AX453" s="731"/>
      <c r="AY453" s="427"/>
    </row>
    <row r="454" spans="1:51" ht="18.75" hidden="1" customHeight="1" x14ac:dyDescent="0.25">
      <c r="A454" s="829"/>
      <c r="B454" s="710"/>
      <c r="C454" s="818" t="s">
        <v>670</v>
      </c>
      <c r="D454" s="413" t="s">
        <v>340</v>
      </c>
      <c r="E454" s="179"/>
      <c r="F454" s="180"/>
      <c r="G454" s="174"/>
      <c r="H454" s="174"/>
      <c r="I454" s="174"/>
      <c r="J454" s="410"/>
      <c r="K454" s="409"/>
      <c r="L454" s="410"/>
      <c r="M454" s="410"/>
      <c r="N454" s="410"/>
      <c r="O454" s="410"/>
      <c r="P454" s="410">
        <v>300</v>
      </c>
      <c r="Q454" s="410">
        <v>300</v>
      </c>
      <c r="R454" s="416">
        <v>390</v>
      </c>
      <c r="S454" s="411"/>
      <c r="T454" s="167"/>
      <c r="U454" s="167"/>
      <c r="V454" s="167"/>
      <c r="W454" s="415"/>
      <c r="X454" s="411"/>
      <c r="Y454" s="411"/>
      <c r="Z454" s="411"/>
      <c r="AA454" s="433"/>
      <c r="AB454" s="419"/>
      <c r="AC454" s="409">
        <v>300</v>
      </c>
      <c r="AD454" s="409">
        <v>300</v>
      </c>
      <c r="AE454" s="420">
        <v>390</v>
      </c>
      <c r="AF454" s="426"/>
      <c r="AG454" s="913" t="s">
        <v>1250</v>
      </c>
      <c r="AH454" s="813" t="s">
        <v>1325</v>
      </c>
      <c r="AI454" s="813" t="s">
        <v>1326</v>
      </c>
      <c r="AJ454" s="914" t="s">
        <v>1315</v>
      </c>
      <c r="AK454" s="813" t="s">
        <v>457</v>
      </c>
      <c r="AL454" s="813" t="s">
        <v>178</v>
      </c>
      <c r="AM454" s="813" t="s">
        <v>1275</v>
      </c>
      <c r="AN454" s="909">
        <v>22438</v>
      </c>
      <c r="AO454" s="910">
        <v>118748</v>
      </c>
      <c r="AP454" s="910">
        <v>132822</v>
      </c>
      <c r="AQ454" s="911" t="s">
        <v>459</v>
      </c>
      <c r="AR454" s="911" t="s">
        <v>459</v>
      </c>
      <c r="AS454" s="911" t="s">
        <v>459</v>
      </c>
      <c r="AT454" s="911" t="s">
        <v>459</v>
      </c>
      <c r="AU454" s="915" t="s">
        <v>459</v>
      </c>
      <c r="AV454" s="915" t="s">
        <v>459</v>
      </c>
      <c r="AW454" s="915" t="s">
        <v>459</v>
      </c>
      <c r="AX454" s="910">
        <v>22438</v>
      </c>
      <c r="AY454" s="427"/>
    </row>
    <row r="455" spans="1:51" ht="18.75" hidden="1" customHeight="1" x14ac:dyDescent="0.25">
      <c r="A455" s="829"/>
      <c r="B455" s="710"/>
      <c r="C455" s="710"/>
      <c r="D455" s="404" t="s">
        <v>343</v>
      </c>
      <c r="E455" s="179"/>
      <c r="F455" s="180"/>
      <c r="G455" s="174"/>
      <c r="H455" s="174"/>
      <c r="I455" s="174"/>
      <c r="J455" s="410"/>
      <c r="K455" s="409"/>
      <c r="L455" s="410"/>
      <c r="M455" s="410"/>
      <c r="N455" s="410"/>
      <c r="O455" s="410"/>
      <c r="P455" s="410" t="e">
        <f>+P454*$P$299/$P$298</f>
        <v>#VALUE!</v>
      </c>
      <c r="Q455" s="410" t="e">
        <f>+Q454*$Q$299/$Q$298</f>
        <v>#VALUE!</v>
      </c>
      <c r="R455" s="410" t="e">
        <f>+R454*$R$299/$R$298</f>
        <v>#VALUE!</v>
      </c>
      <c r="S455" s="411"/>
      <c r="T455" s="167"/>
      <c r="U455" s="167"/>
      <c r="V455" s="167"/>
      <c r="W455" s="415"/>
      <c r="X455" s="411"/>
      <c r="Y455" s="411"/>
      <c r="Z455" s="411"/>
      <c r="AA455" s="433"/>
      <c r="AB455" s="419"/>
      <c r="AC455" s="409" t="e">
        <f>+AC454*$AC$299/$AC$298</f>
        <v>#VALUE!</v>
      </c>
      <c r="AD455" s="409" t="e">
        <f>+AD454*$AD$299/$AD$298</f>
        <v>#VALUE!</v>
      </c>
      <c r="AE455" s="409" t="e">
        <f>+AE454*$AE$299/$AE$298</f>
        <v>#VALUE!</v>
      </c>
      <c r="AF455" s="426"/>
      <c r="AG455" s="829"/>
      <c r="AH455" s="710"/>
      <c r="AI455" s="710"/>
      <c r="AJ455" s="710"/>
      <c r="AK455" s="710"/>
      <c r="AL455" s="710"/>
      <c r="AM455" s="710"/>
      <c r="AN455" s="710"/>
      <c r="AO455" s="710"/>
      <c r="AP455" s="710"/>
      <c r="AQ455" s="710"/>
      <c r="AR455" s="710"/>
      <c r="AS455" s="710"/>
      <c r="AT455" s="710"/>
      <c r="AU455" s="710"/>
      <c r="AV455" s="710"/>
      <c r="AW455" s="710"/>
      <c r="AX455" s="710"/>
      <c r="AY455" s="427"/>
    </row>
    <row r="456" spans="1:51" ht="27.75" hidden="1" customHeight="1" x14ac:dyDescent="0.25">
      <c r="A456" s="829"/>
      <c r="B456" s="710"/>
      <c r="C456" s="710"/>
      <c r="D456" s="408" t="s">
        <v>345</v>
      </c>
      <c r="E456" s="179"/>
      <c r="F456" s="180"/>
      <c r="G456" s="174"/>
      <c r="H456" s="174"/>
      <c r="I456" s="174"/>
      <c r="J456" s="410"/>
      <c r="K456" s="409"/>
      <c r="L456" s="410"/>
      <c r="M456" s="410"/>
      <c r="N456" s="410"/>
      <c r="O456" s="410"/>
      <c r="P456" s="410"/>
      <c r="Q456" s="410"/>
      <c r="R456" s="416"/>
      <c r="S456" s="411"/>
      <c r="T456" s="167"/>
      <c r="U456" s="167"/>
      <c r="V456" s="167"/>
      <c r="W456" s="415"/>
      <c r="X456" s="411"/>
      <c r="Y456" s="411"/>
      <c r="Z456" s="411"/>
      <c r="AA456" s="433"/>
      <c r="AB456" s="419"/>
      <c r="AC456" s="409"/>
      <c r="AD456" s="409"/>
      <c r="AE456" s="420"/>
      <c r="AF456" s="426"/>
      <c r="AG456" s="829"/>
      <c r="AH456" s="710"/>
      <c r="AI456" s="710"/>
      <c r="AJ456" s="710"/>
      <c r="AK456" s="710"/>
      <c r="AL456" s="710"/>
      <c r="AM456" s="710"/>
      <c r="AN456" s="710"/>
      <c r="AO456" s="710"/>
      <c r="AP456" s="710"/>
      <c r="AQ456" s="710"/>
      <c r="AR456" s="710"/>
      <c r="AS456" s="710"/>
      <c r="AT456" s="710"/>
      <c r="AU456" s="710"/>
      <c r="AV456" s="710"/>
      <c r="AW456" s="710"/>
      <c r="AX456" s="710"/>
      <c r="AY456" s="427"/>
    </row>
    <row r="457" spans="1:51" ht="27.75" hidden="1" customHeight="1" x14ac:dyDescent="0.25">
      <c r="A457" s="829"/>
      <c r="B457" s="710"/>
      <c r="C457" s="710"/>
      <c r="D457" s="404" t="s">
        <v>346</v>
      </c>
      <c r="E457" s="179"/>
      <c r="F457" s="180"/>
      <c r="G457" s="174"/>
      <c r="H457" s="174"/>
      <c r="I457" s="174"/>
      <c r="J457" s="410"/>
      <c r="K457" s="409"/>
      <c r="L457" s="410"/>
      <c r="M457" s="410"/>
      <c r="N457" s="410"/>
      <c r="O457" s="410"/>
      <c r="P457" s="410"/>
      <c r="Q457" s="410"/>
      <c r="R457" s="416"/>
      <c r="S457" s="411"/>
      <c r="T457" s="167"/>
      <c r="U457" s="167"/>
      <c r="V457" s="167"/>
      <c r="W457" s="415"/>
      <c r="X457" s="411"/>
      <c r="Y457" s="411"/>
      <c r="Z457" s="411"/>
      <c r="AA457" s="433"/>
      <c r="AB457" s="419"/>
      <c r="AC457" s="409"/>
      <c r="AD457" s="409"/>
      <c r="AE457" s="420"/>
      <c r="AF457" s="426"/>
      <c r="AG457" s="829"/>
      <c r="AH457" s="710"/>
      <c r="AI457" s="710"/>
      <c r="AJ457" s="710"/>
      <c r="AK457" s="710"/>
      <c r="AL457" s="710"/>
      <c r="AM457" s="710"/>
      <c r="AN457" s="710"/>
      <c r="AO457" s="710"/>
      <c r="AP457" s="710"/>
      <c r="AQ457" s="710"/>
      <c r="AR457" s="710"/>
      <c r="AS457" s="710"/>
      <c r="AT457" s="710"/>
      <c r="AU457" s="710"/>
      <c r="AV457" s="710"/>
      <c r="AW457" s="710"/>
      <c r="AX457" s="710"/>
      <c r="AY457" s="427"/>
    </row>
    <row r="458" spans="1:51" ht="27.75" hidden="1" customHeight="1" x14ac:dyDescent="0.25">
      <c r="A458" s="829"/>
      <c r="B458" s="710"/>
      <c r="C458" s="710"/>
      <c r="D458" s="408" t="s">
        <v>347</v>
      </c>
      <c r="E458" s="179"/>
      <c r="F458" s="180"/>
      <c r="G458" s="174"/>
      <c r="H458" s="174"/>
      <c r="I458" s="174"/>
      <c r="J458" s="410"/>
      <c r="K458" s="409"/>
      <c r="L458" s="410"/>
      <c r="M458" s="410"/>
      <c r="N458" s="410"/>
      <c r="O458" s="410"/>
      <c r="P458" s="410">
        <v>300</v>
      </c>
      <c r="Q458" s="410">
        <v>300</v>
      </c>
      <c r="R458" s="416">
        <v>390</v>
      </c>
      <c r="S458" s="411"/>
      <c r="T458" s="167"/>
      <c r="U458" s="167"/>
      <c r="V458" s="167"/>
      <c r="W458" s="415"/>
      <c r="X458" s="411"/>
      <c r="Y458" s="411"/>
      <c r="Z458" s="411"/>
      <c r="AA458" s="433"/>
      <c r="AB458" s="419"/>
      <c r="AC458" s="409">
        <v>300</v>
      </c>
      <c r="AD458" s="409">
        <v>300</v>
      </c>
      <c r="AE458" s="420">
        <v>390</v>
      </c>
      <c r="AF458" s="426"/>
      <c r="AG458" s="829"/>
      <c r="AH458" s="710"/>
      <c r="AI458" s="710"/>
      <c r="AJ458" s="710"/>
      <c r="AK458" s="710"/>
      <c r="AL458" s="710"/>
      <c r="AM458" s="710"/>
      <c r="AN458" s="710"/>
      <c r="AO458" s="710"/>
      <c r="AP458" s="710"/>
      <c r="AQ458" s="710"/>
      <c r="AR458" s="710"/>
      <c r="AS458" s="710"/>
      <c r="AT458" s="710"/>
      <c r="AU458" s="710"/>
      <c r="AV458" s="710"/>
      <c r="AW458" s="710"/>
      <c r="AX458" s="710"/>
      <c r="AY458" s="427"/>
    </row>
    <row r="459" spans="1:51" ht="27.75" hidden="1" customHeight="1" x14ac:dyDescent="0.25">
      <c r="A459" s="829"/>
      <c r="B459" s="710"/>
      <c r="C459" s="731"/>
      <c r="D459" s="412" t="s">
        <v>348</v>
      </c>
      <c r="E459" s="179"/>
      <c r="F459" s="180"/>
      <c r="G459" s="174"/>
      <c r="H459" s="174"/>
      <c r="I459" s="174"/>
      <c r="J459" s="410"/>
      <c r="K459" s="409"/>
      <c r="L459" s="410"/>
      <c r="M459" s="410"/>
      <c r="N459" s="410"/>
      <c r="O459" s="410"/>
      <c r="P459" s="410" t="e">
        <f>+P458*$P$299/$P$298</f>
        <v>#VALUE!</v>
      </c>
      <c r="Q459" s="410" t="e">
        <f>+Q458*$Q$299/$Q$298</f>
        <v>#VALUE!</v>
      </c>
      <c r="R459" s="410" t="e">
        <f>+R458*$R$299/$R$298</f>
        <v>#VALUE!</v>
      </c>
      <c r="S459" s="411"/>
      <c r="T459" s="167"/>
      <c r="U459" s="167"/>
      <c r="V459" s="167"/>
      <c r="W459" s="415"/>
      <c r="X459" s="411"/>
      <c r="Y459" s="411"/>
      <c r="Z459" s="411"/>
      <c r="AA459" s="433"/>
      <c r="AB459" s="419"/>
      <c r="AC459" s="409" t="e">
        <f>+AC458*$AC$299/$AC$298</f>
        <v>#VALUE!</v>
      </c>
      <c r="AD459" s="409" t="e">
        <f>+AD458*$AD$299/$AD$298</f>
        <v>#VALUE!</v>
      </c>
      <c r="AE459" s="409" t="e">
        <f>+AE458*$AE$299/$AE$298</f>
        <v>#VALUE!</v>
      </c>
      <c r="AF459" s="426"/>
      <c r="AG459" s="823"/>
      <c r="AH459" s="731"/>
      <c r="AI459" s="731"/>
      <c r="AJ459" s="731"/>
      <c r="AK459" s="731"/>
      <c r="AL459" s="731"/>
      <c r="AM459" s="731"/>
      <c r="AN459" s="731"/>
      <c r="AO459" s="731"/>
      <c r="AP459" s="731"/>
      <c r="AQ459" s="731"/>
      <c r="AR459" s="731"/>
      <c r="AS459" s="731"/>
      <c r="AT459" s="731"/>
      <c r="AU459" s="731"/>
      <c r="AV459" s="731"/>
      <c r="AW459" s="731"/>
      <c r="AX459" s="731"/>
      <c r="AY459" s="427"/>
    </row>
    <row r="460" spans="1:51" ht="18.75" hidden="1" customHeight="1" x14ac:dyDescent="0.25">
      <c r="A460" s="829"/>
      <c r="B460" s="710"/>
      <c r="C460" s="818" t="s">
        <v>1146</v>
      </c>
      <c r="D460" s="413" t="s">
        <v>340</v>
      </c>
      <c r="E460" s="179"/>
      <c r="F460" s="180"/>
      <c r="G460" s="174"/>
      <c r="H460" s="174"/>
      <c r="I460" s="174"/>
      <c r="J460" s="410"/>
      <c r="K460" s="409"/>
      <c r="L460" s="410"/>
      <c r="M460" s="410"/>
      <c r="N460" s="410">
        <v>98</v>
      </c>
      <c r="O460" s="410">
        <v>98</v>
      </c>
      <c r="P460" s="410">
        <v>98</v>
      </c>
      <c r="Q460" s="410">
        <v>98</v>
      </c>
      <c r="R460" s="416">
        <v>98</v>
      </c>
      <c r="S460" s="411"/>
      <c r="T460" s="167"/>
      <c r="U460" s="167"/>
      <c r="V460" s="167"/>
      <c r="W460" s="415"/>
      <c r="X460" s="411"/>
      <c r="Y460" s="411"/>
      <c r="Z460" s="411"/>
      <c r="AA460" s="433">
        <v>98</v>
      </c>
      <c r="AB460" s="419">
        <v>38</v>
      </c>
      <c r="AC460" s="401">
        <v>98</v>
      </c>
      <c r="AD460" s="409">
        <v>98</v>
      </c>
      <c r="AE460" s="420">
        <v>98</v>
      </c>
      <c r="AF460" s="426"/>
      <c r="AG460" s="913" t="s">
        <v>1146</v>
      </c>
      <c r="AH460" s="813" t="s">
        <v>1147</v>
      </c>
      <c r="AI460" s="813" t="s">
        <v>1327</v>
      </c>
      <c r="AJ460" s="914" t="s">
        <v>1315</v>
      </c>
      <c r="AK460" s="813" t="s">
        <v>457</v>
      </c>
      <c r="AL460" s="813" t="s">
        <v>178</v>
      </c>
      <c r="AM460" s="813" t="s">
        <v>1275</v>
      </c>
      <c r="AN460" s="909">
        <v>18703</v>
      </c>
      <c r="AO460" s="910">
        <v>9562</v>
      </c>
      <c r="AP460" s="910">
        <v>9141</v>
      </c>
      <c r="AQ460" s="911" t="s">
        <v>459</v>
      </c>
      <c r="AR460" s="911" t="s">
        <v>459</v>
      </c>
      <c r="AS460" s="911" t="s">
        <v>459</v>
      </c>
      <c r="AT460" s="911" t="s">
        <v>459</v>
      </c>
      <c r="AU460" s="915" t="s">
        <v>459</v>
      </c>
      <c r="AV460" s="915" t="s">
        <v>459</v>
      </c>
      <c r="AW460" s="915" t="s">
        <v>459</v>
      </c>
      <c r="AX460" s="910">
        <v>18703</v>
      </c>
      <c r="AY460" s="427"/>
    </row>
    <row r="461" spans="1:51" ht="18" hidden="1" customHeight="1" x14ac:dyDescent="0.25">
      <c r="A461" s="829"/>
      <c r="B461" s="710"/>
      <c r="C461" s="710"/>
      <c r="D461" s="404" t="s">
        <v>343</v>
      </c>
      <c r="E461" s="179"/>
      <c r="F461" s="180"/>
      <c r="G461" s="174"/>
      <c r="H461" s="174"/>
      <c r="I461" s="174"/>
      <c r="J461" s="410"/>
      <c r="K461" s="409"/>
      <c r="L461" s="410"/>
      <c r="M461" s="410"/>
      <c r="N461" s="410">
        <f>+N460*$N$299/$N$298</f>
        <v>962203.2</v>
      </c>
      <c r="O461" s="410">
        <f>+O460*$O$299/$O$298</f>
        <v>962203.2</v>
      </c>
      <c r="P461" s="410" t="e">
        <f>+P460*$P$299/$P$298</f>
        <v>#VALUE!</v>
      </c>
      <c r="Q461" s="410" t="e">
        <f>+Q460*$Q$299/$Q$298</f>
        <v>#VALUE!</v>
      </c>
      <c r="R461" s="410" t="e">
        <f>+R460*$R$299/$R$298</f>
        <v>#VALUE!</v>
      </c>
      <c r="S461" s="411"/>
      <c r="T461" s="167"/>
      <c r="U461" s="167"/>
      <c r="V461" s="167"/>
      <c r="W461" s="415"/>
      <c r="X461" s="411"/>
      <c r="Y461" s="411"/>
      <c r="Z461" s="411"/>
      <c r="AA461" s="409">
        <f>+AA460*$AA$299/$AA$298</f>
        <v>1405063.4278002698</v>
      </c>
      <c r="AB461" s="409">
        <f>+AB460*$AB$299/$AB$298</f>
        <v>321171.04216388229</v>
      </c>
      <c r="AC461" s="409" t="e">
        <f>+AC460*$AC$299/$AC$298</f>
        <v>#VALUE!</v>
      </c>
      <c r="AD461" s="409" t="e">
        <f>+AD460*$AD$299/$AD$298</f>
        <v>#VALUE!</v>
      </c>
      <c r="AE461" s="409" t="e">
        <f>+AE460*$AE$299/$AE$298</f>
        <v>#VALUE!</v>
      </c>
      <c r="AF461" s="426"/>
      <c r="AG461" s="829"/>
      <c r="AH461" s="710"/>
      <c r="AI461" s="710"/>
      <c r="AJ461" s="710"/>
      <c r="AK461" s="710"/>
      <c r="AL461" s="710"/>
      <c r="AM461" s="710"/>
      <c r="AN461" s="710"/>
      <c r="AO461" s="710"/>
      <c r="AP461" s="710"/>
      <c r="AQ461" s="710"/>
      <c r="AR461" s="710"/>
      <c r="AS461" s="710"/>
      <c r="AT461" s="710"/>
      <c r="AU461" s="710"/>
      <c r="AV461" s="710"/>
      <c r="AW461" s="710"/>
      <c r="AX461" s="710"/>
      <c r="AY461" s="427"/>
    </row>
    <row r="462" spans="1:51" ht="27" hidden="1" customHeight="1" x14ac:dyDescent="0.25">
      <c r="A462" s="829"/>
      <c r="B462" s="710"/>
      <c r="C462" s="710"/>
      <c r="D462" s="408" t="s">
        <v>345</v>
      </c>
      <c r="E462" s="179"/>
      <c r="F462" s="180"/>
      <c r="G462" s="174"/>
      <c r="H462" s="174"/>
      <c r="I462" s="174"/>
      <c r="J462" s="410"/>
      <c r="K462" s="409"/>
      <c r="L462" s="410"/>
      <c r="M462" s="410"/>
      <c r="N462" s="410"/>
      <c r="O462" s="410"/>
      <c r="P462" s="410"/>
      <c r="Q462" s="410"/>
      <c r="R462" s="416"/>
      <c r="S462" s="411"/>
      <c r="T462" s="167"/>
      <c r="U462" s="167"/>
      <c r="V462" s="167"/>
      <c r="W462" s="415"/>
      <c r="X462" s="411"/>
      <c r="Y462" s="411"/>
      <c r="Z462" s="411"/>
      <c r="AA462" s="433"/>
      <c r="AB462" s="419"/>
      <c r="AC462" s="401"/>
      <c r="AD462" s="409"/>
      <c r="AE462" s="420"/>
      <c r="AF462" s="426"/>
      <c r="AG462" s="829"/>
      <c r="AH462" s="710"/>
      <c r="AI462" s="710"/>
      <c r="AJ462" s="710"/>
      <c r="AK462" s="710"/>
      <c r="AL462" s="710"/>
      <c r="AM462" s="710"/>
      <c r="AN462" s="710"/>
      <c r="AO462" s="710"/>
      <c r="AP462" s="710"/>
      <c r="AQ462" s="710"/>
      <c r="AR462" s="710"/>
      <c r="AS462" s="710"/>
      <c r="AT462" s="710"/>
      <c r="AU462" s="710"/>
      <c r="AV462" s="710"/>
      <c r="AW462" s="710"/>
      <c r="AX462" s="710"/>
      <c r="AY462" s="427"/>
    </row>
    <row r="463" spans="1:51" ht="27" hidden="1" customHeight="1" x14ac:dyDescent="0.25">
      <c r="A463" s="829"/>
      <c r="B463" s="710"/>
      <c r="C463" s="710"/>
      <c r="D463" s="404" t="s">
        <v>346</v>
      </c>
      <c r="E463" s="179"/>
      <c r="F463" s="180"/>
      <c r="G463" s="174"/>
      <c r="H463" s="174"/>
      <c r="I463" s="174"/>
      <c r="J463" s="410"/>
      <c r="K463" s="409"/>
      <c r="L463" s="410"/>
      <c r="M463" s="410"/>
      <c r="N463" s="410"/>
      <c r="O463" s="410"/>
      <c r="P463" s="410"/>
      <c r="Q463" s="410"/>
      <c r="R463" s="416"/>
      <c r="S463" s="411"/>
      <c r="T463" s="167"/>
      <c r="U463" s="167"/>
      <c r="V463" s="167"/>
      <c r="W463" s="415"/>
      <c r="X463" s="411"/>
      <c r="Y463" s="411"/>
      <c r="Z463" s="411"/>
      <c r="AA463" s="433"/>
      <c r="AB463" s="419"/>
      <c r="AC463" s="401"/>
      <c r="AD463" s="409"/>
      <c r="AE463" s="420"/>
      <c r="AF463" s="426"/>
      <c r="AG463" s="829"/>
      <c r="AH463" s="710"/>
      <c r="AI463" s="710"/>
      <c r="AJ463" s="710"/>
      <c r="AK463" s="710"/>
      <c r="AL463" s="710"/>
      <c r="AM463" s="710"/>
      <c r="AN463" s="710"/>
      <c r="AO463" s="710"/>
      <c r="AP463" s="710"/>
      <c r="AQ463" s="710"/>
      <c r="AR463" s="710"/>
      <c r="AS463" s="710"/>
      <c r="AT463" s="710"/>
      <c r="AU463" s="710"/>
      <c r="AV463" s="710"/>
      <c r="AW463" s="710"/>
      <c r="AX463" s="710"/>
      <c r="AY463" s="427"/>
    </row>
    <row r="464" spans="1:51" ht="27" hidden="1" customHeight="1" x14ac:dyDescent="0.25">
      <c r="A464" s="829"/>
      <c r="B464" s="710"/>
      <c r="C464" s="710"/>
      <c r="D464" s="408" t="s">
        <v>347</v>
      </c>
      <c r="E464" s="179"/>
      <c r="F464" s="180"/>
      <c r="G464" s="174"/>
      <c r="H464" s="174"/>
      <c r="I464" s="174"/>
      <c r="J464" s="410"/>
      <c r="K464" s="409"/>
      <c r="L464" s="410"/>
      <c r="M464" s="410"/>
      <c r="N464" s="410"/>
      <c r="O464" s="410">
        <f>+O460</f>
        <v>98</v>
      </c>
      <c r="P464" s="410">
        <v>98</v>
      </c>
      <c r="Q464" s="410">
        <v>98</v>
      </c>
      <c r="R464" s="416">
        <v>98</v>
      </c>
      <c r="S464" s="411"/>
      <c r="T464" s="167"/>
      <c r="U464" s="167"/>
      <c r="V464" s="167"/>
      <c r="W464" s="415"/>
      <c r="X464" s="411"/>
      <c r="Y464" s="411"/>
      <c r="Z464" s="411"/>
      <c r="AA464" s="433"/>
      <c r="AB464" s="409">
        <f>+AB460</f>
        <v>38</v>
      </c>
      <c r="AC464" s="401">
        <v>98</v>
      </c>
      <c r="AD464" s="409">
        <v>98</v>
      </c>
      <c r="AE464" s="420">
        <v>98</v>
      </c>
      <c r="AF464" s="426"/>
      <c r="AG464" s="829"/>
      <c r="AH464" s="710"/>
      <c r="AI464" s="710"/>
      <c r="AJ464" s="710"/>
      <c r="AK464" s="710"/>
      <c r="AL464" s="710"/>
      <c r="AM464" s="710"/>
      <c r="AN464" s="710"/>
      <c r="AO464" s="710"/>
      <c r="AP464" s="710"/>
      <c r="AQ464" s="710"/>
      <c r="AR464" s="710"/>
      <c r="AS464" s="710"/>
      <c r="AT464" s="710"/>
      <c r="AU464" s="710"/>
      <c r="AV464" s="710"/>
      <c r="AW464" s="710"/>
      <c r="AX464" s="710"/>
      <c r="AY464" s="427"/>
    </row>
    <row r="465" spans="1:51" ht="27.75" hidden="1" customHeight="1" x14ac:dyDescent="0.25">
      <c r="A465" s="829"/>
      <c r="B465" s="710"/>
      <c r="C465" s="731"/>
      <c r="D465" s="412" t="s">
        <v>348</v>
      </c>
      <c r="E465" s="179"/>
      <c r="F465" s="180"/>
      <c r="G465" s="174"/>
      <c r="H465" s="174"/>
      <c r="I465" s="174"/>
      <c r="J465" s="410"/>
      <c r="K465" s="409"/>
      <c r="L465" s="410"/>
      <c r="M465" s="410"/>
      <c r="N465" s="410"/>
      <c r="O465" s="410">
        <f>+O461</f>
        <v>962203.2</v>
      </c>
      <c r="P465" s="410" t="e">
        <f>+P464*$P$299/$P$298</f>
        <v>#VALUE!</v>
      </c>
      <c r="Q465" s="410" t="e">
        <f>+Q464*$Q$299/$Q$298</f>
        <v>#VALUE!</v>
      </c>
      <c r="R465" s="410" t="e">
        <f>+R464*$R$299/$R$298</f>
        <v>#VALUE!</v>
      </c>
      <c r="S465" s="411"/>
      <c r="T465" s="167"/>
      <c r="U465" s="167"/>
      <c r="V465" s="167"/>
      <c r="W465" s="415"/>
      <c r="X465" s="411"/>
      <c r="Y465" s="411"/>
      <c r="Z465" s="411"/>
      <c r="AA465" s="433"/>
      <c r="AB465" s="409">
        <f>+AB461</f>
        <v>321171.04216388229</v>
      </c>
      <c r="AC465" s="409" t="e">
        <f>+AC464*$AC$299/$AC$298</f>
        <v>#VALUE!</v>
      </c>
      <c r="AD465" s="409" t="e">
        <f>+AD464*$AD$299/$AD$298</f>
        <v>#VALUE!</v>
      </c>
      <c r="AE465" s="409" t="e">
        <f>+AE464*$AE$299/$AE$298</f>
        <v>#VALUE!</v>
      </c>
      <c r="AF465" s="435"/>
      <c r="AG465" s="823"/>
      <c r="AH465" s="731"/>
      <c r="AI465" s="731"/>
      <c r="AJ465" s="731"/>
      <c r="AK465" s="731"/>
      <c r="AL465" s="731"/>
      <c r="AM465" s="731"/>
      <c r="AN465" s="731"/>
      <c r="AO465" s="731"/>
      <c r="AP465" s="731"/>
      <c r="AQ465" s="731"/>
      <c r="AR465" s="731"/>
      <c r="AS465" s="731"/>
      <c r="AT465" s="731"/>
      <c r="AU465" s="731"/>
      <c r="AV465" s="731"/>
      <c r="AW465" s="731"/>
      <c r="AX465" s="731"/>
      <c r="AY465" s="427"/>
    </row>
    <row r="466" spans="1:51" ht="18.75" hidden="1" customHeight="1" x14ac:dyDescent="0.25">
      <c r="A466" s="829"/>
      <c r="B466" s="710"/>
      <c r="C466" s="818" t="s">
        <v>1201</v>
      </c>
      <c r="D466" s="413" t="s">
        <v>340</v>
      </c>
      <c r="E466" s="179"/>
      <c r="F466" s="180"/>
      <c r="G466" s="174"/>
      <c r="H466" s="174"/>
      <c r="I466" s="174"/>
      <c r="J466" s="410"/>
      <c r="K466" s="409"/>
      <c r="L466" s="410"/>
      <c r="M466" s="410"/>
      <c r="N466" s="410"/>
      <c r="O466" s="410"/>
      <c r="P466" s="410"/>
      <c r="Q466" s="410"/>
      <c r="R466" s="416"/>
      <c r="S466" s="411"/>
      <c r="T466" s="167"/>
      <c r="U466" s="167"/>
      <c r="V466" s="167"/>
      <c r="W466" s="415"/>
      <c r="X466" s="411"/>
      <c r="Y466" s="411"/>
      <c r="Z466" s="411"/>
      <c r="AA466" s="433"/>
      <c r="AB466" s="419"/>
      <c r="AC466" s="401"/>
      <c r="AD466" s="431"/>
      <c r="AE466" s="420"/>
      <c r="AF466" s="467"/>
      <c r="AG466" s="913" t="s">
        <v>1201</v>
      </c>
      <c r="AH466" s="813" t="s">
        <v>633</v>
      </c>
      <c r="AI466" s="813" t="s">
        <v>633</v>
      </c>
      <c r="AJ466" s="914" t="s">
        <v>1315</v>
      </c>
      <c r="AK466" s="813" t="s">
        <v>457</v>
      </c>
      <c r="AL466" s="813" t="s">
        <v>178</v>
      </c>
      <c r="AM466" s="813" t="s">
        <v>1275</v>
      </c>
      <c r="AN466" s="909">
        <v>348023</v>
      </c>
      <c r="AO466" s="910">
        <v>179866</v>
      </c>
      <c r="AP466" s="910">
        <v>192751</v>
      </c>
      <c r="AQ466" s="911" t="s">
        <v>459</v>
      </c>
      <c r="AR466" s="911" t="s">
        <v>459</v>
      </c>
      <c r="AS466" s="911" t="s">
        <v>459</v>
      </c>
      <c r="AT466" s="911" t="s">
        <v>459</v>
      </c>
      <c r="AU466" s="915" t="s">
        <v>459</v>
      </c>
      <c r="AV466" s="915" t="s">
        <v>459</v>
      </c>
      <c r="AW466" s="915" t="s">
        <v>459</v>
      </c>
      <c r="AX466" s="910">
        <v>348023</v>
      </c>
      <c r="AY466" s="427"/>
    </row>
    <row r="467" spans="1:51" ht="18.75" hidden="1" customHeight="1" x14ac:dyDescent="0.25">
      <c r="A467" s="829"/>
      <c r="B467" s="710"/>
      <c r="C467" s="710"/>
      <c r="D467" s="404" t="s">
        <v>343</v>
      </c>
      <c r="E467" s="179"/>
      <c r="F467" s="180"/>
      <c r="G467" s="174"/>
      <c r="H467" s="174"/>
      <c r="I467" s="174"/>
      <c r="J467" s="410"/>
      <c r="K467" s="409"/>
      <c r="L467" s="410"/>
      <c r="M467" s="410"/>
      <c r="N467" s="410"/>
      <c r="O467" s="410"/>
      <c r="P467" s="410"/>
      <c r="Q467" s="410"/>
      <c r="R467" s="416"/>
      <c r="S467" s="411"/>
      <c r="T467" s="167"/>
      <c r="U467" s="167"/>
      <c r="V467" s="167"/>
      <c r="W467" s="415"/>
      <c r="X467" s="411"/>
      <c r="Y467" s="411"/>
      <c r="Z467" s="411"/>
      <c r="AA467" s="433"/>
      <c r="AB467" s="419"/>
      <c r="AC467" s="401"/>
      <c r="AD467" s="431"/>
      <c r="AE467" s="420"/>
      <c r="AF467" s="467"/>
      <c r="AG467" s="829"/>
      <c r="AH467" s="710"/>
      <c r="AI467" s="710"/>
      <c r="AJ467" s="710"/>
      <c r="AK467" s="710"/>
      <c r="AL467" s="710"/>
      <c r="AM467" s="710"/>
      <c r="AN467" s="710"/>
      <c r="AO467" s="710"/>
      <c r="AP467" s="710"/>
      <c r="AQ467" s="710"/>
      <c r="AR467" s="710"/>
      <c r="AS467" s="710"/>
      <c r="AT467" s="710"/>
      <c r="AU467" s="710"/>
      <c r="AV467" s="710"/>
      <c r="AW467" s="710"/>
      <c r="AX467" s="710"/>
      <c r="AY467" s="427"/>
    </row>
    <row r="468" spans="1:51" ht="27.75" hidden="1" customHeight="1" x14ac:dyDescent="0.25">
      <c r="A468" s="829"/>
      <c r="B468" s="710"/>
      <c r="C468" s="710"/>
      <c r="D468" s="408" t="s">
        <v>345</v>
      </c>
      <c r="E468" s="179"/>
      <c r="F468" s="180"/>
      <c r="G468" s="174"/>
      <c r="H468" s="174"/>
      <c r="I468" s="174"/>
      <c r="J468" s="410"/>
      <c r="K468" s="409"/>
      <c r="L468" s="410"/>
      <c r="M468" s="410"/>
      <c r="N468" s="410"/>
      <c r="O468" s="410"/>
      <c r="P468" s="410"/>
      <c r="Q468" s="410"/>
      <c r="R468" s="416"/>
      <c r="S468" s="411"/>
      <c r="T468" s="167"/>
      <c r="U468" s="167"/>
      <c r="V468" s="167"/>
      <c r="W468" s="415"/>
      <c r="X468" s="411"/>
      <c r="Y468" s="411"/>
      <c r="Z468" s="411"/>
      <c r="AA468" s="433"/>
      <c r="AB468" s="419"/>
      <c r="AC468" s="401"/>
      <c r="AD468" s="431"/>
      <c r="AE468" s="420"/>
      <c r="AF468" s="467"/>
      <c r="AG468" s="829"/>
      <c r="AH468" s="710"/>
      <c r="AI468" s="710"/>
      <c r="AJ468" s="710"/>
      <c r="AK468" s="710"/>
      <c r="AL468" s="710"/>
      <c r="AM468" s="710"/>
      <c r="AN468" s="710"/>
      <c r="AO468" s="710"/>
      <c r="AP468" s="710"/>
      <c r="AQ468" s="710"/>
      <c r="AR468" s="710"/>
      <c r="AS468" s="710"/>
      <c r="AT468" s="710"/>
      <c r="AU468" s="710"/>
      <c r="AV468" s="710"/>
      <c r="AW468" s="710"/>
      <c r="AX468" s="710"/>
      <c r="AY468" s="427"/>
    </row>
    <row r="469" spans="1:51" ht="27.75" hidden="1" customHeight="1" x14ac:dyDescent="0.25">
      <c r="A469" s="829"/>
      <c r="B469" s="710"/>
      <c r="C469" s="710"/>
      <c r="D469" s="404" t="s">
        <v>346</v>
      </c>
      <c r="E469" s="179"/>
      <c r="F469" s="180"/>
      <c r="G469" s="174"/>
      <c r="H469" s="174"/>
      <c r="I469" s="174"/>
      <c r="J469" s="410"/>
      <c r="K469" s="409"/>
      <c r="L469" s="410"/>
      <c r="M469" s="410"/>
      <c r="N469" s="410"/>
      <c r="O469" s="410"/>
      <c r="P469" s="410"/>
      <c r="Q469" s="410"/>
      <c r="R469" s="416"/>
      <c r="S469" s="411"/>
      <c r="T469" s="167"/>
      <c r="U469" s="167"/>
      <c r="V469" s="167"/>
      <c r="W469" s="415"/>
      <c r="X469" s="411"/>
      <c r="Y469" s="411"/>
      <c r="Z469" s="411"/>
      <c r="AA469" s="433"/>
      <c r="AB469" s="419"/>
      <c r="AC469" s="401"/>
      <c r="AD469" s="431"/>
      <c r="AE469" s="420"/>
      <c r="AF469" s="467"/>
      <c r="AG469" s="829"/>
      <c r="AH469" s="710"/>
      <c r="AI469" s="710"/>
      <c r="AJ469" s="710"/>
      <c r="AK469" s="710"/>
      <c r="AL469" s="710"/>
      <c r="AM469" s="710"/>
      <c r="AN469" s="710"/>
      <c r="AO469" s="710"/>
      <c r="AP469" s="710"/>
      <c r="AQ469" s="710"/>
      <c r="AR469" s="710"/>
      <c r="AS469" s="710"/>
      <c r="AT469" s="710"/>
      <c r="AU469" s="710"/>
      <c r="AV469" s="710"/>
      <c r="AW469" s="710"/>
      <c r="AX469" s="710"/>
      <c r="AY469" s="427"/>
    </row>
    <row r="470" spans="1:51" ht="27.75" hidden="1" customHeight="1" x14ac:dyDescent="0.25">
      <c r="A470" s="829"/>
      <c r="B470" s="710"/>
      <c r="C470" s="710"/>
      <c r="D470" s="408" t="s">
        <v>347</v>
      </c>
      <c r="E470" s="179"/>
      <c r="F470" s="180"/>
      <c r="G470" s="174"/>
      <c r="H470" s="174"/>
      <c r="I470" s="174"/>
      <c r="J470" s="410"/>
      <c r="K470" s="409"/>
      <c r="L470" s="410"/>
      <c r="M470" s="410"/>
      <c r="N470" s="410"/>
      <c r="O470" s="410"/>
      <c r="P470" s="410"/>
      <c r="Q470" s="410"/>
      <c r="R470" s="416"/>
      <c r="S470" s="411"/>
      <c r="T470" s="167"/>
      <c r="U470" s="167"/>
      <c r="V470" s="167"/>
      <c r="W470" s="415"/>
      <c r="X470" s="411"/>
      <c r="Y470" s="411"/>
      <c r="Z470" s="411"/>
      <c r="AA470" s="433"/>
      <c r="AB470" s="419"/>
      <c r="AC470" s="401"/>
      <c r="AD470" s="431"/>
      <c r="AE470" s="420"/>
      <c r="AF470" s="467"/>
      <c r="AG470" s="829"/>
      <c r="AH470" s="710"/>
      <c r="AI470" s="710"/>
      <c r="AJ470" s="710"/>
      <c r="AK470" s="710"/>
      <c r="AL470" s="710"/>
      <c r="AM470" s="710"/>
      <c r="AN470" s="710"/>
      <c r="AO470" s="710"/>
      <c r="AP470" s="710"/>
      <c r="AQ470" s="710"/>
      <c r="AR470" s="710"/>
      <c r="AS470" s="710"/>
      <c r="AT470" s="710"/>
      <c r="AU470" s="710"/>
      <c r="AV470" s="710"/>
      <c r="AW470" s="710"/>
      <c r="AX470" s="710"/>
      <c r="AY470" s="427"/>
    </row>
    <row r="471" spans="1:51" ht="27.75" hidden="1" customHeight="1" x14ac:dyDescent="0.25">
      <c r="A471" s="829"/>
      <c r="B471" s="710"/>
      <c r="C471" s="731"/>
      <c r="D471" s="412" t="s">
        <v>348</v>
      </c>
      <c r="E471" s="179"/>
      <c r="F471" s="180"/>
      <c r="G471" s="174"/>
      <c r="H471" s="174"/>
      <c r="I471" s="174"/>
      <c r="J471" s="410"/>
      <c r="K471" s="409"/>
      <c r="L471" s="410"/>
      <c r="M471" s="410"/>
      <c r="N471" s="410"/>
      <c r="O471" s="410"/>
      <c r="P471" s="410"/>
      <c r="Q471" s="410"/>
      <c r="R471" s="416"/>
      <c r="S471" s="411"/>
      <c r="T471" s="167"/>
      <c r="U471" s="167"/>
      <c r="V471" s="167"/>
      <c r="W471" s="415"/>
      <c r="X471" s="411"/>
      <c r="Y471" s="411"/>
      <c r="Z471" s="411"/>
      <c r="AA471" s="433"/>
      <c r="AB471" s="419"/>
      <c r="AC471" s="401"/>
      <c r="AD471" s="431"/>
      <c r="AE471" s="420"/>
      <c r="AF471" s="467"/>
      <c r="AG471" s="823"/>
      <c r="AH471" s="731"/>
      <c r="AI471" s="731"/>
      <c r="AJ471" s="731"/>
      <c r="AK471" s="731"/>
      <c r="AL471" s="731"/>
      <c r="AM471" s="731"/>
      <c r="AN471" s="731"/>
      <c r="AO471" s="731"/>
      <c r="AP471" s="731"/>
      <c r="AQ471" s="731"/>
      <c r="AR471" s="731"/>
      <c r="AS471" s="731"/>
      <c r="AT471" s="731"/>
      <c r="AU471" s="731"/>
      <c r="AV471" s="731"/>
      <c r="AW471" s="731"/>
      <c r="AX471" s="731"/>
      <c r="AY471" s="427"/>
    </row>
    <row r="472" spans="1:51" ht="18.75" hidden="1" customHeight="1" x14ac:dyDescent="0.25">
      <c r="A472" s="829"/>
      <c r="B472" s="710"/>
      <c r="C472" s="818" t="s">
        <v>1207</v>
      </c>
      <c r="D472" s="413" t="s">
        <v>340</v>
      </c>
      <c r="E472" s="179"/>
      <c r="F472" s="180"/>
      <c r="G472" s="174"/>
      <c r="H472" s="174"/>
      <c r="I472" s="174"/>
      <c r="J472" s="410"/>
      <c r="K472" s="409"/>
      <c r="L472" s="410"/>
      <c r="M472" s="410"/>
      <c r="N472" s="410"/>
      <c r="O472" s="410"/>
      <c r="P472" s="410"/>
      <c r="Q472" s="410"/>
      <c r="R472" s="416"/>
      <c r="S472" s="411"/>
      <c r="T472" s="167"/>
      <c r="U472" s="167"/>
      <c r="V472" s="167"/>
      <c r="W472" s="415"/>
      <c r="X472" s="411"/>
      <c r="Y472" s="411"/>
      <c r="Z472" s="411"/>
      <c r="AA472" s="433"/>
      <c r="AB472" s="419"/>
      <c r="AC472" s="401"/>
      <c r="AD472" s="431"/>
      <c r="AE472" s="420"/>
      <c r="AF472" s="467"/>
      <c r="AG472" s="913" t="s">
        <v>1207</v>
      </c>
      <c r="AH472" s="813" t="s">
        <v>633</v>
      </c>
      <c r="AI472" s="813" t="s">
        <v>633</v>
      </c>
      <c r="AJ472" s="914" t="s">
        <v>1315</v>
      </c>
      <c r="AK472" s="813" t="s">
        <v>457</v>
      </c>
      <c r="AL472" s="813" t="s">
        <v>178</v>
      </c>
      <c r="AM472" s="813" t="s">
        <v>1275</v>
      </c>
      <c r="AN472" s="909">
        <v>392220</v>
      </c>
      <c r="AO472" s="910">
        <v>303282</v>
      </c>
      <c r="AP472" s="910">
        <v>318086</v>
      </c>
      <c r="AQ472" s="911" t="s">
        <v>459</v>
      </c>
      <c r="AR472" s="911" t="s">
        <v>459</v>
      </c>
      <c r="AS472" s="911" t="s">
        <v>459</v>
      </c>
      <c r="AT472" s="911" t="s">
        <v>459</v>
      </c>
      <c r="AU472" s="915" t="s">
        <v>459</v>
      </c>
      <c r="AV472" s="915" t="s">
        <v>459</v>
      </c>
      <c r="AW472" s="915" t="s">
        <v>459</v>
      </c>
      <c r="AX472" s="910">
        <v>392220</v>
      </c>
      <c r="AY472" s="427"/>
    </row>
    <row r="473" spans="1:51" ht="18.75" hidden="1" customHeight="1" x14ac:dyDescent="0.25">
      <c r="A473" s="829"/>
      <c r="B473" s="710"/>
      <c r="C473" s="710"/>
      <c r="D473" s="404" t="s">
        <v>343</v>
      </c>
      <c r="E473" s="179"/>
      <c r="F473" s="180"/>
      <c r="G473" s="174"/>
      <c r="H473" s="174"/>
      <c r="I473" s="174"/>
      <c r="J473" s="410"/>
      <c r="K473" s="409"/>
      <c r="L473" s="410"/>
      <c r="M473" s="410"/>
      <c r="N473" s="410"/>
      <c r="O473" s="410"/>
      <c r="P473" s="410"/>
      <c r="Q473" s="410"/>
      <c r="R473" s="416"/>
      <c r="S473" s="411"/>
      <c r="T473" s="167"/>
      <c r="U473" s="167"/>
      <c r="V473" s="167"/>
      <c r="W473" s="415"/>
      <c r="X473" s="411"/>
      <c r="Y473" s="411"/>
      <c r="Z473" s="411"/>
      <c r="AA473" s="433"/>
      <c r="AB473" s="419"/>
      <c r="AC473" s="401"/>
      <c r="AD473" s="431"/>
      <c r="AE473" s="420"/>
      <c r="AF473" s="467"/>
      <c r="AG473" s="829"/>
      <c r="AH473" s="710"/>
      <c r="AI473" s="710"/>
      <c r="AJ473" s="710"/>
      <c r="AK473" s="710"/>
      <c r="AL473" s="710"/>
      <c r="AM473" s="710"/>
      <c r="AN473" s="710"/>
      <c r="AO473" s="710"/>
      <c r="AP473" s="710"/>
      <c r="AQ473" s="710"/>
      <c r="AR473" s="710"/>
      <c r="AS473" s="710"/>
      <c r="AT473" s="710"/>
      <c r="AU473" s="710"/>
      <c r="AV473" s="710"/>
      <c r="AW473" s="710"/>
      <c r="AX473" s="710"/>
      <c r="AY473" s="427"/>
    </row>
    <row r="474" spans="1:51" ht="27.75" hidden="1" customHeight="1" x14ac:dyDescent="0.25">
      <c r="A474" s="829"/>
      <c r="B474" s="710"/>
      <c r="C474" s="710"/>
      <c r="D474" s="408" t="s">
        <v>345</v>
      </c>
      <c r="E474" s="179"/>
      <c r="F474" s="180"/>
      <c r="G474" s="174"/>
      <c r="H474" s="174"/>
      <c r="I474" s="174"/>
      <c r="J474" s="410"/>
      <c r="K474" s="409"/>
      <c r="L474" s="410"/>
      <c r="M474" s="410"/>
      <c r="N474" s="410"/>
      <c r="O474" s="410"/>
      <c r="P474" s="410"/>
      <c r="Q474" s="410"/>
      <c r="R474" s="416"/>
      <c r="S474" s="411"/>
      <c r="T474" s="167"/>
      <c r="U474" s="167"/>
      <c r="V474" s="167"/>
      <c r="W474" s="415"/>
      <c r="X474" s="411"/>
      <c r="Y474" s="411"/>
      <c r="Z474" s="411"/>
      <c r="AA474" s="433"/>
      <c r="AB474" s="419"/>
      <c r="AC474" s="401"/>
      <c r="AD474" s="431"/>
      <c r="AE474" s="420"/>
      <c r="AF474" s="467"/>
      <c r="AG474" s="829"/>
      <c r="AH474" s="710"/>
      <c r="AI474" s="710"/>
      <c r="AJ474" s="710"/>
      <c r="AK474" s="710"/>
      <c r="AL474" s="710"/>
      <c r="AM474" s="710"/>
      <c r="AN474" s="710"/>
      <c r="AO474" s="710"/>
      <c r="AP474" s="710"/>
      <c r="AQ474" s="710"/>
      <c r="AR474" s="710"/>
      <c r="AS474" s="710"/>
      <c r="AT474" s="710"/>
      <c r="AU474" s="710"/>
      <c r="AV474" s="710"/>
      <c r="AW474" s="710"/>
      <c r="AX474" s="710"/>
      <c r="AY474" s="427"/>
    </row>
    <row r="475" spans="1:51" ht="27.75" hidden="1" customHeight="1" x14ac:dyDescent="0.25">
      <c r="A475" s="829"/>
      <c r="B475" s="710"/>
      <c r="C475" s="710"/>
      <c r="D475" s="404" t="s">
        <v>346</v>
      </c>
      <c r="E475" s="179"/>
      <c r="F475" s="180"/>
      <c r="G475" s="174"/>
      <c r="H475" s="174"/>
      <c r="I475" s="174"/>
      <c r="J475" s="410"/>
      <c r="K475" s="409"/>
      <c r="L475" s="410"/>
      <c r="M475" s="410"/>
      <c r="N475" s="410"/>
      <c r="O475" s="410"/>
      <c r="P475" s="410"/>
      <c r="Q475" s="410"/>
      <c r="R475" s="416"/>
      <c r="S475" s="411"/>
      <c r="T475" s="167"/>
      <c r="U475" s="167"/>
      <c r="V475" s="167"/>
      <c r="W475" s="415"/>
      <c r="X475" s="411"/>
      <c r="Y475" s="411"/>
      <c r="Z475" s="411"/>
      <c r="AA475" s="433"/>
      <c r="AB475" s="419"/>
      <c r="AC475" s="401"/>
      <c r="AD475" s="431"/>
      <c r="AE475" s="420"/>
      <c r="AF475" s="467"/>
      <c r="AG475" s="829"/>
      <c r="AH475" s="710"/>
      <c r="AI475" s="710"/>
      <c r="AJ475" s="710"/>
      <c r="AK475" s="710"/>
      <c r="AL475" s="710"/>
      <c r="AM475" s="710"/>
      <c r="AN475" s="710"/>
      <c r="AO475" s="710"/>
      <c r="AP475" s="710"/>
      <c r="AQ475" s="710"/>
      <c r="AR475" s="710"/>
      <c r="AS475" s="710"/>
      <c r="AT475" s="710"/>
      <c r="AU475" s="710"/>
      <c r="AV475" s="710"/>
      <c r="AW475" s="710"/>
      <c r="AX475" s="710"/>
      <c r="AY475" s="427"/>
    </row>
    <row r="476" spans="1:51" ht="27.75" hidden="1" customHeight="1" x14ac:dyDescent="0.25">
      <c r="A476" s="829"/>
      <c r="B476" s="710"/>
      <c r="C476" s="710"/>
      <c r="D476" s="408" t="s">
        <v>347</v>
      </c>
      <c r="E476" s="179"/>
      <c r="F476" s="180"/>
      <c r="G476" s="174"/>
      <c r="H476" s="174"/>
      <c r="I476" s="174"/>
      <c r="J476" s="410"/>
      <c r="K476" s="409"/>
      <c r="L476" s="410"/>
      <c r="M476" s="410"/>
      <c r="N476" s="410"/>
      <c r="O476" s="410"/>
      <c r="P476" s="410"/>
      <c r="Q476" s="410"/>
      <c r="R476" s="416"/>
      <c r="S476" s="411"/>
      <c r="T476" s="167"/>
      <c r="U476" s="167"/>
      <c r="V476" s="167"/>
      <c r="W476" s="415"/>
      <c r="X476" s="411"/>
      <c r="Y476" s="411"/>
      <c r="Z476" s="411"/>
      <c r="AA476" s="433"/>
      <c r="AB476" s="419"/>
      <c r="AC476" s="401"/>
      <c r="AD476" s="431"/>
      <c r="AE476" s="420"/>
      <c r="AF476" s="467"/>
      <c r="AG476" s="829"/>
      <c r="AH476" s="710"/>
      <c r="AI476" s="710"/>
      <c r="AJ476" s="710"/>
      <c r="AK476" s="710"/>
      <c r="AL476" s="710"/>
      <c r="AM476" s="710"/>
      <c r="AN476" s="710"/>
      <c r="AO476" s="710"/>
      <c r="AP476" s="710"/>
      <c r="AQ476" s="710"/>
      <c r="AR476" s="710"/>
      <c r="AS476" s="710"/>
      <c r="AT476" s="710"/>
      <c r="AU476" s="710"/>
      <c r="AV476" s="710"/>
      <c r="AW476" s="710"/>
      <c r="AX476" s="710"/>
      <c r="AY476" s="427"/>
    </row>
    <row r="477" spans="1:51" ht="27.75" hidden="1" customHeight="1" x14ac:dyDescent="0.25">
      <c r="A477" s="829"/>
      <c r="B477" s="710"/>
      <c r="C477" s="731"/>
      <c r="D477" s="412" t="s">
        <v>348</v>
      </c>
      <c r="E477" s="179"/>
      <c r="F477" s="180"/>
      <c r="G477" s="174"/>
      <c r="H477" s="174"/>
      <c r="I477" s="174"/>
      <c r="J477" s="410"/>
      <c r="K477" s="409"/>
      <c r="L477" s="410"/>
      <c r="M477" s="410"/>
      <c r="N477" s="410"/>
      <c r="O477" s="410"/>
      <c r="P477" s="410"/>
      <c r="Q477" s="410"/>
      <c r="R477" s="416"/>
      <c r="S477" s="169"/>
      <c r="T477" s="167"/>
      <c r="U477" s="167"/>
      <c r="V477" s="167"/>
      <c r="W477" s="415"/>
      <c r="X477" s="411"/>
      <c r="Y477" s="411"/>
      <c r="Z477" s="411"/>
      <c r="AA477" s="433"/>
      <c r="AB477" s="419"/>
      <c r="AC477" s="401"/>
      <c r="AD477" s="431"/>
      <c r="AE477" s="420"/>
      <c r="AF477" s="467"/>
      <c r="AG477" s="823"/>
      <c r="AH477" s="731"/>
      <c r="AI477" s="731"/>
      <c r="AJ477" s="731"/>
      <c r="AK477" s="731"/>
      <c r="AL477" s="731"/>
      <c r="AM477" s="731"/>
      <c r="AN477" s="731"/>
      <c r="AO477" s="731"/>
      <c r="AP477" s="731"/>
      <c r="AQ477" s="731"/>
      <c r="AR477" s="731"/>
      <c r="AS477" s="731"/>
      <c r="AT477" s="731"/>
      <c r="AU477" s="731"/>
      <c r="AV477" s="731"/>
      <c r="AW477" s="731"/>
      <c r="AX477" s="731"/>
      <c r="AY477" s="427"/>
    </row>
    <row r="478" spans="1:51" ht="18.75" customHeight="1" x14ac:dyDescent="0.25">
      <c r="A478" s="829"/>
      <c r="B478" s="710"/>
      <c r="C478" s="818" t="s">
        <v>511</v>
      </c>
      <c r="D478" s="413" t="s">
        <v>340</v>
      </c>
      <c r="E478" s="179"/>
      <c r="F478" s="180"/>
      <c r="G478" s="174">
        <v>3254</v>
      </c>
      <c r="H478" s="423">
        <v>2953</v>
      </c>
      <c r="I478" s="174">
        <v>2657</v>
      </c>
      <c r="J478" s="410">
        <v>2357</v>
      </c>
      <c r="K478" s="414">
        <v>2037</v>
      </c>
      <c r="L478" s="410"/>
      <c r="M478" s="410"/>
      <c r="N478" s="410">
        <v>1759</v>
      </c>
      <c r="O478" s="410">
        <v>1243</v>
      </c>
      <c r="P478" s="410">
        <v>592</v>
      </c>
      <c r="Q478" s="410">
        <v>290</v>
      </c>
      <c r="R478" s="416">
        <v>0</v>
      </c>
      <c r="S478" s="411"/>
      <c r="T478" s="167"/>
      <c r="U478" s="167"/>
      <c r="V478" s="167"/>
      <c r="W478" s="415"/>
      <c r="X478" s="411"/>
      <c r="Y478" s="411"/>
      <c r="Z478" s="411"/>
      <c r="AA478" s="433"/>
      <c r="AB478" s="454"/>
      <c r="AC478" s="401"/>
      <c r="AD478" s="431"/>
      <c r="AE478" s="420"/>
      <c r="AF478" s="467"/>
      <c r="AG478" s="913"/>
      <c r="AH478" s="813"/>
      <c r="AI478" s="813"/>
      <c r="AJ478" s="914"/>
      <c r="AK478" s="813"/>
      <c r="AL478" s="813"/>
      <c r="AM478" s="813"/>
      <c r="AN478" s="910">
        <v>7804660</v>
      </c>
      <c r="AO478" s="910">
        <v>3721767</v>
      </c>
      <c r="AP478" s="910">
        <v>4082893</v>
      </c>
      <c r="AQ478" s="911" t="s">
        <v>459</v>
      </c>
      <c r="AR478" s="911" t="s">
        <v>459</v>
      </c>
      <c r="AS478" s="911" t="s">
        <v>459</v>
      </c>
      <c r="AT478" s="911" t="s">
        <v>459</v>
      </c>
      <c r="AU478" s="915" t="s">
        <v>459</v>
      </c>
      <c r="AV478" s="915" t="s">
        <v>459</v>
      </c>
      <c r="AW478" s="915" t="s">
        <v>459</v>
      </c>
      <c r="AX478" s="910">
        <v>7804660</v>
      </c>
      <c r="AY478" s="427"/>
    </row>
    <row r="479" spans="1:51" ht="15.75" customHeight="1" x14ac:dyDescent="0.25">
      <c r="A479" s="829"/>
      <c r="B479" s="710"/>
      <c r="C479" s="710"/>
      <c r="D479" s="404" t="s">
        <v>343</v>
      </c>
      <c r="E479" s="179"/>
      <c r="F479" s="180"/>
      <c r="G479" s="174">
        <f>+G478*$G$299/$G$298</f>
        <v>31875254.285714287</v>
      </c>
      <c r="H479" s="174">
        <f>+H478*$H$299/$H$298</f>
        <v>28926744.285714287</v>
      </c>
      <c r="I479" s="174" t="e">
        <f>+I478*$I$299/$I$298</f>
        <v>#REF!</v>
      </c>
      <c r="J479" s="410" t="e">
        <f>+J478*$J$299/$J$298</f>
        <v>#REF!</v>
      </c>
      <c r="K479" s="409"/>
      <c r="L479" s="410"/>
      <c r="M479" s="410"/>
      <c r="N479" s="410">
        <f>+N478*$N$299/$N$298</f>
        <v>17270565.600000001</v>
      </c>
      <c r="O479" s="410">
        <f>+O478*$O$299/$O$298</f>
        <v>12204271.199999999</v>
      </c>
      <c r="P479" s="410" t="e">
        <f>+P478*$P$299/$P$298</f>
        <v>#VALUE!</v>
      </c>
      <c r="Q479" s="410" t="e">
        <f>+Q478*$Q$299/$Q$298</f>
        <v>#VALUE!</v>
      </c>
      <c r="R479" s="410" t="e">
        <f>+R478*$R$299/$R$298</f>
        <v>#VALUE!</v>
      </c>
      <c r="S479" s="411"/>
      <c r="T479" s="167"/>
      <c r="U479" s="174"/>
      <c r="V479" s="167"/>
      <c r="W479" s="415"/>
      <c r="X479" s="411"/>
      <c r="Y479" s="411"/>
      <c r="Z479" s="411"/>
      <c r="AA479" s="433"/>
      <c r="AB479" s="419"/>
      <c r="AC479" s="409"/>
      <c r="AD479" s="431"/>
      <c r="AE479" s="420"/>
      <c r="AF479" s="467"/>
      <c r="AG479" s="829"/>
      <c r="AH479" s="710"/>
      <c r="AI479" s="710"/>
      <c r="AJ479" s="710"/>
      <c r="AK479" s="710"/>
      <c r="AL479" s="710"/>
      <c r="AM479" s="710"/>
      <c r="AN479" s="710"/>
      <c r="AO479" s="710"/>
      <c r="AP479" s="710"/>
      <c r="AQ479" s="710"/>
      <c r="AR479" s="710"/>
      <c r="AS479" s="710"/>
      <c r="AT479" s="710"/>
      <c r="AU479" s="710"/>
      <c r="AV479" s="710"/>
      <c r="AW479" s="710"/>
      <c r="AX479" s="710"/>
      <c r="AY479" s="427"/>
    </row>
    <row r="480" spans="1:51" ht="15.75" customHeight="1" x14ac:dyDescent="0.25">
      <c r="A480" s="829"/>
      <c r="B480" s="710"/>
      <c r="C480" s="710"/>
      <c r="D480" s="408" t="s">
        <v>345</v>
      </c>
      <c r="E480" s="179"/>
      <c r="F480" s="180"/>
      <c r="G480" s="174"/>
      <c r="H480" s="174"/>
      <c r="I480" s="174"/>
      <c r="J480" s="410"/>
      <c r="K480" s="409"/>
      <c r="L480" s="410"/>
      <c r="M480" s="410"/>
      <c r="N480" s="410"/>
      <c r="O480" s="410"/>
      <c r="P480" s="410"/>
      <c r="Q480" s="410"/>
      <c r="R480" s="416"/>
      <c r="S480" s="411"/>
      <c r="T480" s="167"/>
      <c r="U480" s="167"/>
      <c r="V480" s="167"/>
      <c r="W480" s="415"/>
      <c r="X480" s="411"/>
      <c r="Y480" s="411"/>
      <c r="Z480" s="411"/>
      <c r="AA480" s="433"/>
      <c r="AB480" s="419"/>
      <c r="AC480" s="401"/>
      <c r="AD480" s="431"/>
      <c r="AE480" s="420"/>
      <c r="AF480" s="467"/>
      <c r="AG480" s="829"/>
      <c r="AH480" s="710"/>
      <c r="AI480" s="710"/>
      <c r="AJ480" s="710"/>
      <c r="AK480" s="710"/>
      <c r="AL480" s="710"/>
      <c r="AM480" s="710"/>
      <c r="AN480" s="710"/>
      <c r="AO480" s="710"/>
      <c r="AP480" s="710"/>
      <c r="AQ480" s="710"/>
      <c r="AR480" s="710"/>
      <c r="AS480" s="710"/>
      <c r="AT480" s="710"/>
      <c r="AU480" s="710"/>
      <c r="AV480" s="710"/>
      <c r="AW480" s="710"/>
      <c r="AX480" s="710"/>
      <c r="AY480" s="427"/>
    </row>
    <row r="481" spans="1:51" ht="15.75" customHeight="1" x14ac:dyDescent="0.25">
      <c r="A481" s="829"/>
      <c r="B481" s="710"/>
      <c r="C481" s="710"/>
      <c r="D481" s="404" t="s">
        <v>346</v>
      </c>
      <c r="E481" s="179"/>
      <c r="F481" s="180"/>
      <c r="G481" s="174"/>
      <c r="H481" s="174"/>
      <c r="I481" s="174"/>
      <c r="J481" s="410"/>
      <c r="K481" s="409"/>
      <c r="L481" s="410"/>
      <c r="M481" s="410"/>
      <c r="N481" s="410"/>
      <c r="O481" s="410"/>
      <c r="P481" s="410"/>
      <c r="Q481" s="410"/>
      <c r="R481" s="416"/>
      <c r="S481" s="411"/>
      <c r="T481" s="167"/>
      <c r="U481" s="167"/>
      <c r="V481" s="167"/>
      <c r="W481" s="415"/>
      <c r="X481" s="411"/>
      <c r="Y481" s="411"/>
      <c r="Z481" s="411"/>
      <c r="AA481" s="433"/>
      <c r="AB481" s="419"/>
      <c r="AC481" s="401"/>
      <c r="AD481" s="431"/>
      <c r="AE481" s="420"/>
      <c r="AF481" s="467"/>
      <c r="AG481" s="829"/>
      <c r="AH481" s="710"/>
      <c r="AI481" s="710"/>
      <c r="AJ481" s="710"/>
      <c r="AK481" s="710"/>
      <c r="AL481" s="710"/>
      <c r="AM481" s="710"/>
      <c r="AN481" s="710"/>
      <c r="AO481" s="710"/>
      <c r="AP481" s="710"/>
      <c r="AQ481" s="710"/>
      <c r="AR481" s="710"/>
      <c r="AS481" s="710"/>
      <c r="AT481" s="710"/>
      <c r="AU481" s="710"/>
      <c r="AV481" s="710"/>
      <c r="AW481" s="710"/>
      <c r="AX481" s="710"/>
      <c r="AY481" s="427"/>
    </row>
    <row r="482" spans="1:51" ht="15.75" customHeight="1" x14ac:dyDescent="0.25">
      <c r="A482" s="829"/>
      <c r="B482" s="710"/>
      <c r="C482" s="710"/>
      <c r="D482" s="408" t="s">
        <v>347</v>
      </c>
      <c r="E482" s="179"/>
      <c r="F482" s="180"/>
      <c r="G482" s="174">
        <v>3254</v>
      </c>
      <c r="H482" s="423">
        <v>2953</v>
      </c>
      <c r="I482" s="174">
        <v>2657</v>
      </c>
      <c r="J482" s="410">
        <v>2357</v>
      </c>
      <c r="K482" s="409"/>
      <c r="L482" s="410"/>
      <c r="M482" s="410"/>
      <c r="N482" s="410"/>
      <c r="O482" s="410">
        <f>+O478</f>
        <v>1243</v>
      </c>
      <c r="P482" s="410">
        <v>592</v>
      </c>
      <c r="Q482" s="410">
        <v>290</v>
      </c>
      <c r="R482" s="416">
        <v>0</v>
      </c>
      <c r="S482" s="411"/>
      <c r="T482" s="167"/>
      <c r="U482" s="167"/>
      <c r="V482" s="167"/>
      <c r="W482" s="415"/>
      <c r="X482" s="411"/>
      <c r="Y482" s="411"/>
      <c r="Z482" s="411"/>
      <c r="AA482" s="433"/>
      <c r="AB482" s="419"/>
      <c r="AC482" s="401"/>
      <c r="AD482" s="431"/>
      <c r="AE482" s="420"/>
      <c r="AF482" s="467"/>
      <c r="AG482" s="829"/>
      <c r="AH482" s="710"/>
      <c r="AI482" s="710"/>
      <c r="AJ482" s="710"/>
      <c r="AK482" s="710"/>
      <c r="AL482" s="710"/>
      <c r="AM482" s="710"/>
      <c r="AN482" s="710"/>
      <c r="AO482" s="710"/>
      <c r="AP482" s="710"/>
      <c r="AQ482" s="710"/>
      <c r="AR482" s="710"/>
      <c r="AS482" s="710"/>
      <c r="AT482" s="710"/>
      <c r="AU482" s="710"/>
      <c r="AV482" s="710"/>
      <c r="AW482" s="710"/>
      <c r="AX482" s="710"/>
      <c r="AY482" s="427"/>
    </row>
    <row r="483" spans="1:51" ht="15.75" customHeight="1" x14ac:dyDescent="0.25">
      <c r="A483" s="829"/>
      <c r="B483" s="710"/>
      <c r="C483" s="731"/>
      <c r="D483" s="412" t="s">
        <v>348</v>
      </c>
      <c r="E483" s="179"/>
      <c r="F483" s="180"/>
      <c r="G483" s="174">
        <f>+G482*$G$299/$G$298</f>
        <v>31875254.285714287</v>
      </c>
      <c r="H483" s="174">
        <f>+H482*$H$299/$H$298</f>
        <v>28926744.285714287</v>
      </c>
      <c r="I483" s="174" t="e">
        <f>+I482*$I$299/$I$298</f>
        <v>#REF!</v>
      </c>
      <c r="J483" s="410" t="e">
        <f>+J482*$J$299/$J$298</f>
        <v>#REF!</v>
      </c>
      <c r="K483" s="409"/>
      <c r="L483" s="410"/>
      <c r="M483" s="410"/>
      <c r="N483" s="410"/>
      <c r="O483" s="410">
        <f>+O479</f>
        <v>12204271.199999999</v>
      </c>
      <c r="P483" s="410" t="e">
        <f>+P482*$P$299/$P$298</f>
        <v>#VALUE!</v>
      </c>
      <c r="Q483" s="410" t="e">
        <f>+Q482*$Q$299/$Q$298</f>
        <v>#VALUE!</v>
      </c>
      <c r="R483" s="410" t="e">
        <f>+R482*$R$299/$R$298</f>
        <v>#VALUE!</v>
      </c>
      <c r="S483" s="411"/>
      <c r="T483" s="167"/>
      <c r="U483" s="167"/>
      <c r="V483" s="167"/>
      <c r="W483" s="415"/>
      <c r="X483" s="411"/>
      <c r="Y483" s="411"/>
      <c r="Z483" s="411"/>
      <c r="AA483" s="433"/>
      <c r="AB483" s="419"/>
      <c r="AC483" s="401"/>
      <c r="AD483" s="431"/>
      <c r="AE483" s="420"/>
      <c r="AF483" s="467"/>
      <c r="AG483" s="823"/>
      <c r="AH483" s="731"/>
      <c r="AI483" s="731"/>
      <c r="AJ483" s="731"/>
      <c r="AK483" s="731"/>
      <c r="AL483" s="731"/>
      <c r="AM483" s="731"/>
      <c r="AN483" s="731"/>
      <c r="AO483" s="731"/>
      <c r="AP483" s="731"/>
      <c r="AQ483" s="731"/>
      <c r="AR483" s="731"/>
      <c r="AS483" s="731"/>
      <c r="AT483" s="731"/>
      <c r="AU483" s="731"/>
      <c r="AV483" s="731"/>
      <c r="AW483" s="731"/>
      <c r="AX483" s="731"/>
      <c r="AY483" s="427"/>
    </row>
    <row r="484" spans="1:51" ht="25.5" customHeight="1" x14ac:dyDescent="0.25">
      <c r="A484" s="829"/>
      <c r="B484" s="710"/>
      <c r="C484" s="818" t="s">
        <v>512</v>
      </c>
      <c r="D484" s="413" t="s">
        <v>340</v>
      </c>
      <c r="E484" s="179"/>
      <c r="F484" s="180"/>
      <c r="G484" s="174">
        <f t="shared" ref="G484:G489" si="27">+G322+G328+G334+G346+G478</f>
        <v>3500</v>
      </c>
      <c r="H484" s="174">
        <f>H316+H322+H328+H334+H346+H352+H478</f>
        <v>3500</v>
      </c>
      <c r="I484" s="174">
        <f t="shared" ref="I484:I489" si="28">I316+I322+I328+I334+I340+I346+I352+I412+I418+I478</f>
        <v>3500</v>
      </c>
      <c r="J484" s="410">
        <f t="shared" ref="J484:J489" si="29">J316+J322+J328+J334+J340+J346+J352+J388+J412+J418+J478</f>
        <v>3500</v>
      </c>
      <c r="K484" s="414">
        <v>3500</v>
      </c>
      <c r="L484" s="410"/>
      <c r="M484" s="410"/>
      <c r="N484" s="410">
        <f>+N304+N334+N394+N460+N478</f>
        <v>1887</v>
      </c>
      <c r="O484" s="410">
        <f>+O304+O334+O394+O460+O478</f>
        <v>1371</v>
      </c>
      <c r="P484" s="410">
        <f t="shared" ref="P484:P489" si="30">+P304+P328+P334+P394+P436+P454+P460+P478</f>
        <v>2474</v>
      </c>
      <c r="Q484" s="410">
        <f t="shared" ref="Q484:Q489" si="31">+Q304+Q328+Q334+Q388+Q394+Q400+Q436+Q454+Q460+Q478</f>
        <v>2474</v>
      </c>
      <c r="R484" s="410">
        <f t="shared" ref="R484:R489" si="32">+R304+R328+R334+R346+R388+R394+R400+R436+R454+R460+R478</f>
        <v>2859</v>
      </c>
      <c r="S484" s="411"/>
      <c r="T484" s="174">
        <f t="shared" ref="T484:T489" si="33">+T322+T328+T334+T346+T478</f>
        <v>246</v>
      </c>
      <c r="U484" s="174">
        <f t="shared" ref="U484:U489" si="34">U316+U322+U328+U334+U346+U352+U478</f>
        <v>547</v>
      </c>
      <c r="V484" s="174">
        <f t="shared" ref="V484:V489" si="35">V316+V322+V328+V334+V340+V346+V352+V412+V418+V478</f>
        <v>843</v>
      </c>
      <c r="W484" s="410">
        <f t="shared" ref="W484:W489" si="36">W316+W322+W328+W334+W340+W346+W352+W388+W412+W418+W478</f>
        <v>1143</v>
      </c>
      <c r="X484" s="456">
        <v>1463</v>
      </c>
      <c r="Y484" s="411"/>
      <c r="Z484" s="411"/>
      <c r="AA484" s="409">
        <f t="shared" ref="AA484:AA489" si="37">+AA304+AA334+AA394+AA460+AA478</f>
        <v>128</v>
      </c>
      <c r="AB484" s="454">
        <f>+AB304+AB334+AB394+AB460</f>
        <v>68</v>
      </c>
      <c r="AC484" s="409">
        <f t="shared" ref="AC484:AC489" si="38">+AC304+AC328+AC334+AC394+AC436+AC454+AC460+AC478</f>
        <v>1882</v>
      </c>
      <c r="AD484" s="409">
        <f t="shared" ref="AD484:AD489" si="39">+AD304+AD328+AD334+AD388+AD394+AD400+AD436+AD454+AD460+AD478</f>
        <v>2184.04</v>
      </c>
      <c r="AE484" s="409">
        <f t="shared" ref="AE484:AE489" si="40">+AE304+AE328+AE334+AE346+AE388+AE394+AE400+AE436+AE454+AE460+AE478</f>
        <v>2859</v>
      </c>
      <c r="AF484" s="467"/>
      <c r="AG484" s="919"/>
      <c r="AH484" s="914"/>
      <c r="AI484" s="914"/>
      <c r="AJ484" s="914"/>
      <c r="AK484" s="919"/>
      <c r="AL484" s="813" t="s">
        <v>178</v>
      </c>
      <c r="AM484" s="813" t="s">
        <v>1275</v>
      </c>
      <c r="AN484" s="910">
        <v>7804660</v>
      </c>
      <c r="AO484" s="910">
        <v>3721767</v>
      </c>
      <c r="AP484" s="910">
        <v>4082893</v>
      </c>
      <c r="AQ484" s="915" t="s">
        <v>459</v>
      </c>
      <c r="AR484" s="915" t="s">
        <v>459</v>
      </c>
      <c r="AS484" s="915" t="s">
        <v>459</v>
      </c>
      <c r="AT484" s="915" t="s">
        <v>459</v>
      </c>
      <c r="AU484" s="915" t="s">
        <v>459</v>
      </c>
      <c r="AV484" s="915" t="s">
        <v>459</v>
      </c>
      <c r="AW484" s="915" t="s">
        <v>459</v>
      </c>
      <c r="AX484" s="910">
        <v>7804660</v>
      </c>
      <c r="AY484" s="427"/>
    </row>
    <row r="485" spans="1:51" ht="28.5" customHeight="1" x14ac:dyDescent="0.25">
      <c r="A485" s="829"/>
      <c r="B485" s="710"/>
      <c r="C485" s="710"/>
      <c r="D485" s="404" t="s">
        <v>343</v>
      </c>
      <c r="E485" s="179"/>
      <c r="F485" s="180"/>
      <c r="G485" s="174">
        <f t="shared" si="27"/>
        <v>34285000</v>
      </c>
      <c r="H485" s="174">
        <f>+H323+H329+H335+H347+H479</f>
        <v>31336490</v>
      </c>
      <c r="I485" s="174" t="e">
        <f t="shared" si="28"/>
        <v>#REF!</v>
      </c>
      <c r="J485" s="410" t="e">
        <f t="shared" si="29"/>
        <v>#REF!</v>
      </c>
      <c r="K485" s="409"/>
      <c r="L485" s="410"/>
      <c r="M485" s="410"/>
      <c r="N485" s="410">
        <f>+N305+N335+N395+N461+N479</f>
        <v>18527320.800000001</v>
      </c>
      <c r="O485" s="410">
        <f>+O484*$O$299/$O$298</f>
        <v>13461026.4</v>
      </c>
      <c r="P485" s="410" t="e">
        <f t="shared" si="30"/>
        <v>#VALUE!</v>
      </c>
      <c r="Q485" s="410" t="e">
        <f t="shared" si="31"/>
        <v>#VALUE!</v>
      </c>
      <c r="R485" s="410" t="e">
        <f t="shared" si="32"/>
        <v>#VALUE!</v>
      </c>
      <c r="S485" s="411"/>
      <c r="T485" s="174">
        <f t="shared" si="33"/>
        <v>0</v>
      </c>
      <c r="U485" s="174">
        <f t="shared" si="34"/>
        <v>27200000</v>
      </c>
      <c r="V485" s="174" t="e">
        <f t="shared" si="35"/>
        <v>#REF!</v>
      </c>
      <c r="W485" s="410" t="e">
        <f t="shared" si="36"/>
        <v>#REF!</v>
      </c>
      <c r="X485" s="411"/>
      <c r="Y485" s="411"/>
      <c r="Z485" s="411"/>
      <c r="AA485" s="409">
        <f t="shared" si="37"/>
        <v>1835184.8852901482</v>
      </c>
      <c r="AB485" s="409">
        <f>+AB484*$O$299/$O$298</f>
        <v>667651.19999999995</v>
      </c>
      <c r="AC485" s="409" t="e">
        <f t="shared" si="38"/>
        <v>#VALUE!</v>
      </c>
      <c r="AD485" s="409" t="e">
        <f t="shared" si="39"/>
        <v>#VALUE!</v>
      </c>
      <c r="AE485" s="409" t="e">
        <f t="shared" si="40"/>
        <v>#VALUE!</v>
      </c>
      <c r="AF485" s="467"/>
      <c r="AG485" s="829"/>
      <c r="AH485" s="710"/>
      <c r="AI485" s="710"/>
      <c r="AJ485" s="710"/>
      <c r="AK485" s="829"/>
      <c r="AL485" s="710"/>
      <c r="AM485" s="710"/>
      <c r="AN485" s="710"/>
      <c r="AO485" s="710"/>
      <c r="AP485" s="710"/>
      <c r="AQ485" s="710"/>
      <c r="AR485" s="710"/>
      <c r="AS485" s="710"/>
      <c r="AT485" s="710"/>
      <c r="AU485" s="710"/>
      <c r="AV485" s="710"/>
      <c r="AW485" s="710"/>
      <c r="AX485" s="710"/>
      <c r="AY485" s="427"/>
    </row>
    <row r="486" spans="1:51" ht="15.75" customHeight="1" x14ac:dyDescent="0.25">
      <c r="A486" s="829"/>
      <c r="B486" s="710"/>
      <c r="C486" s="710"/>
      <c r="D486" s="408" t="s">
        <v>345</v>
      </c>
      <c r="E486" s="179"/>
      <c r="F486" s="180"/>
      <c r="G486" s="174">
        <f t="shared" si="27"/>
        <v>0</v>
      </c>
      <c r="H486" s="174">
        <f>+H324+H330+H336+H348+H480</f>
        <v>0</v>
      </c>
      <c r="I486" s="174">
        <f t="shared" si="28"/>
        <v>0</v>
      </c>
      <c r="J486" s="410">
        <f t="shared" si="29"/>
        <v>0</v>
      </c>
      <c r="K486" s="409"/>
      <c r="L486" s="410"/>
      <c r="M486" s="410"/>
      <c r="N486" s="410">
        <f>+N306+N336+N396+N462+N480</f>
        <v>0</v>
      </c>
      <c r="O486" s="410"/>
      <c r="P486" s="410">
        <f t="shared" si="30"/>
        <v>0</v>
      </c>
      <c r="Q486" s="410">
        <f t="shared" si="31"/>
        <v>0</v>
      </c>
      <c r="R486" s="410">
        <f t="shared" si="32"/>
        <v>0</v>
      </c>
      <c r="S486" s="411"/>
      <c r="T486" s="174">
        <f t="shared" si="33"/>
        <v>0</v>
      </c>
      <c r="U486" s="174">
        <f t="shared" si="34"/>
        <v>0</v>
      </c>
      <c r="V486" s="174">
        <f t="shared" si="35"/>
        <v>0</v>
      </c>
      <c r="W486" s="410">
        <f t="shared" si="36"/>
        <v>0</v>
      </c>
      <c r="X486" s="411"/>
      <c r="Y486" s="411"/>
      <c r="Z486" s="411"/>
      <c r="AA486" s="409">
        <f t="shared" si="37"/>
        <v>0</v>
      </c>
      <c r="AB486" s="419"/>
      <c r="AC486" s="409">
        <f t="shared" si="38"/>
        <v>0</v>
      </c>
      <c r="AD486" s="409" t="e">
        <f t="shared" si="39"/>
        <v>#VALUE!</v>
      </c>
      <c r="AE486" s="409">
        <f t="shared" si="40"/>
        <v>0</v>
      </c>
      <c r="AF486" s="467"/>
      <c r="AG486" s="829"/>
      <c r="AH486" s="710"/>
      <c r="AI486" s="710"/>
      <c r="AJ486" s="710"/>
      <c r="AK486" s="829"/>
      <c r="AL486" s="710"/>
      <c r="AM486" s="710"/>
      <c r="AN486" s="710"/>
      <c r="AO486" s="710"/>
      <c r="AP486" s="710"/>
      <c r="AQ486" s="710"/>
      <c r="AR486" s="710"/>
      <c r="AS486" s="710"/>
      <c r="AT486" s="710"/>
      <c r="AU486" s="710"/>
      <c r="AV486" s="710"/>
      <c r="AW486" s="710"/>
      <c r="AX486" s="710"/>
      <c r="AY486" s="427"/>
    </row>
    <row r="487" spans="1:51" ht="15.75" customHeight="1" x14ac:dyDescent="0.25">
      <c r="A487" s="829"/>
      <c r="B487" s="710"/>
      <c r="C487" s="710"/>
      <c r="D487" s="404" t="s">
        <v>346</v>
      </c>
      <c r="E487" s="179"/>
      <c r="F487" s="180"/>
      <c r="G487" s="174">
        <f t="shared" si="27"/>
        <v>0</v>
      </c>
      <c r="H487" s="174">
        <f>+H325+H331+H337+H349+H481</f>
        <v>0</v>
      </c>
      <c r="I487" s="174">
        <f t="shared" si="28"/>
        <v>0</v>
      </c>
      <c r="J487" s="410">
        <f t="shared" si="29"/>
        <v>0</v>
      </c>
      <c r="K487" s="409"/>
      <c r="L487" s="410"/>
      <c r="M487" s="410"/>
      <c r="N487" s="410">
        <f>+N307+N337+N397+N463+N481</f>
        <v>0</v>
      </c>
      <c r="O487" s="410"/>
      <c r="P487" s="410">
        <f t="shared" si="30"/>
        <v>0</v>
      </c>
      <c r="Q487" s="410">
        <f t="shared" si="31"/>
        <v>0</v>
      </c>
      <c r="R487" s="410">
        <f t="shared" si="32"/>
        <v>0</v>
      </c>
      <c r="S487" s="411"/>
      <c r="T487" s="174">
        <f t="shared" si="33"/>
        <v>3718400</v>
      </c>
      <c r="U487" s="174">
        <f t="shared" si="34"/>
        <v>3718400</v>
      </c>
      <c r="V487" s="174">
        <f t="shared" si="35"/>
        <v>0</v>
      </c>
      <c r="W487" s="410">
        <f t="shared" si="36"/>
        <v>0</v>
      </c>
      <c r="X487" s="411"/>
      <c r="Y487" s="411"/>
      <c r="Z487" s="411"/>
      <c r="AA487" s="409">
        <f t="shared" si="37"/>
        <v>0</v>
      </c>
      <c r="AB487" s="419"/>
      <c r="AC487" s="409">
        <f t="shared" si="38"/>
        <v>0</v>
      </c>
      <c r="AD487" s="409" t="e">
        <f t="shared" si="39"/>
        <v>#VALUE!</v>
      </c>
      <c r="AE487" s="409">
        <f t="shared" si="40"/>
        <v>0</v>
      </c>
      <c r="AF487" s="467"/>
      <c r="AG487" s="829"/>
      <c r="AH487" s="710"/>
      <c r="AI487" s="710"/>
      <c r="AJ487" s="710"/>
      <c r="AK487" s="829"/>
      <c r="AL487" s="710"/>
      <c r="AM487" s="710"/>
      <c r="AN487" s="710"/>
      <c r="AO487" s="710"/>
      <c r="AP487" s="710"/>
      <c r="AQ487" s="710"/>
      <c r="AR487" s="710"/>
      <c r="AS487" s="710"/>
      <c r="AT487" s="710"/>
      <c r="AU487" s="710"/>
      <c r="AV487" s="710"/>
      <c r="AW487" s="710"/>
      <c r="AX487" s="710"/>
      <c r="AY487" s="427"/>
    </row>
    <row r="488" spans="1:51" ht="15.75" customHeight="1" x14ac:dyDescent="0.25">
      <c r="A488" s="829"/>
      <c r="B488" s="710"/>
      <c r="C488" s="710"/>
      <c r="D488" s="408" t="s">
        <v>347</v>
      </c>
      <c r="E488" s="179"/>
      <c r="F488" s="180"/>
      <c r="G488" s="174">
        <f t="shared" si="27"/>
        <v>3500</v>
      </c>
      <c r="H488" s="174">
        <f>+H326+H332+H338+H350+H482</f>
        <v>3199</v>
      </c>
      <c r="I488" s="174">
        <f t="shared" si="28"/>
        <v>3500</v>
      </c>
      <c r="J488" s="410">
        <f t="shared" si="29"/>
        <v>3500</v>
      </c>
      <c r="K488" s="409"/>
      <c r="L488" s="410"/>
      <c r="M488" s="410"/>
      <c r="N488" s="410">
        <f>+N308+N338+N398+N464+N482</f>
        <v>0</v>
      </c>
      <c r="O488" s="410">
        <f>+O484</f>
        <v>1371</v>
      </c>
      <c r="P488" s="410">
        <f t="shared" si="30"/>
        <v>2474</v>
      </c>
      <c r="Q488" s="410">
        <f t="shared" si="31"/>
        <v>2474</v>
      </c>
      <c r="R488" s="410">
        <f t="shared" si="32"/>
        <v>2859</v>
      </c>
      <c r="S488" s="411"/>
      <c r="T488" s="174">
        <f t="shared" si="33"/>
        <v>246</v>
      </c>
      <c r="U488" s="174">
        <f t="shared" si="34"/>
        <v>547</v>
      </c>
      <c r="V488" s="174">
        <f t="shared" si="35"/>
        <v>843</v>
      </c>
      <c r="W488" s="410">
        <f t="shared" si="36"/>
        <v>1143</v>
      </c>
      <c r="X488" s="411"/>
      <c r="Y488" s="411"/>
      <c r="Z488" s="411"/>
      <c r="AA488" s="409">
        <f t="shared" si="37"/>
        <v>0</v>
      </c>
      <c r="AB488" s="409">
        <f>+AB484</f>
        <v>68</v>
      </c>
      <c r="AC488" s="409">
        <f t="shared" si="38"/>
        <v>1882</v>
      </c>
      <c r="AD488" s="409">
        <f t="shared" si="39"/>
        <v>2184.04</v>
      </c>
      <c r="AE488" s="409">
        <f t="shared" si="40"/>
        <v>2859</v>
      </c>
      <c r="AF488" s="467"/>
      <c r="AG488" s="829"/>
      <c r="AH488" s="710"/>
      <c r="AI488" s="710"/>
      <c r="AJ488" s="710"/>
      <c r="AK488" s="829"/>
      <c r="AL488" s="710"/>
      <c r="AM488" s="710"/>
      <c r="AN488" s="710"/>
      <c r="AO488" s="710"/>
      <c r="AP488" s="710"/>
      <c r="AQ488" s="710"/>
      <c r="AR488" s="710"/>
      <c r="AS488" s="710"/>
      <c r="AT488" s="710"/>
      <c r="AU488" s="710"/>
      <c r="AV488" s="710"/>
      <c r="AW488" s="710"/>
      <c r="AX488" s="710"/>
      <c r="AY488" s="427"/>
    </row>
    <row r="489" spans="1:51" ht="15.75" customHeight="1" x14ac:dyDescent="0.25">
      <c r="A489" s="823"/>
      <c r="B489" s="828"/>
      <c r="C489" s="731"/>
      <c r="D489" s="412" t="s">
        <v>348</v>
      </c>
      <c r="E489" s="468"/>
      <c r="F489" s="469"/>
      <c r="G489" s="174">
        <f t="shared" si="27"/>
        <v>34285000</v>
      </c>
      <c r="H489" s="174">
        <f>+H327+H333+H339+H351+H483</f>
        <v>31336490</v>
      </c>
      <c r="I489" s="174" t="e">
        <f t="shared" si="28"/>
        <v>#REF!</v>
      </c>
      <c r="J489" s="410" t="e">
        <f t="shared" si="29"/>
        <v>#REF!</v>
      </c>
      <c r="K489" s="409"/>
      <c r="L489" s="410"/>
      <c r="M489" s="410"/>
      <c r="N489" s="410">
        <f>+N309+N339+N399+N465+N483</f>
        <v>0</v>
      </c>
      <c r="O489" s="410">
        <f>+O485</f>
        <v>13461026.4</v>
      </c>
      <c r="P489" s="410" t="e">
        <f t="shared" si="30"/>
        <v>#VALUE!</v>
      </c>
      <c r="Q489" s="410" t="e">
        <f t="shared" si="31"/>
        <v>#VALUE!</v>
      </c>
      <c r="R489" s="410" t="e">
        <f t="shared" si="32"/>
        <v>#VALUE!</v>
      </c>
      <c r="S489" s="411"/>
      <c r="T489" s="174">
        <f t="shared" si="33"/>
        <v>0</v>
      </c>
      <c r="U489" s="174">
        <f t="shared" si="34"/>
        <v>27200000</v>
      </c>
      <c r="V489" s="174" t="e">
        <f t="shared" si="35"/>
        <v>#REF!</v>
      </c>
      <c r="W489" s="410" t="e">
        <f t="shared" si="36"/>
        <v>#REF!</v>
      </c>
      <c r="X489" s="411"/>
      <c r="Y489" s="411"/>
      <c r="Z489" s="411"/>
      <c r="AA489" s="409">
        <f t="shared" si="37"/>
        <v>0</v>
      </c>
      <c r="AB489" s="409">
        <f>+AB485</f>
        <v>667651.19999999995</v>
      </c>
      <c r="AC489" s="409" t="e">
        <f t="shared" si="38"/>
        <v>#VALUE!</v>
      </c>
      <c r="AD489" s="409" t="e">
        <f t="shared" si="39"/>
        <v>#VALUE!</v>
      </c>
      <c r="AE489" s="409" t="e">
        <f t="shared" si="40"/>
        <v>#VALUE!</v>
      </c>
      <c r="AF489" s="467"/>
      <c r="AG489" s="823"/>
      <c r="AH489" s="731"/>
      <c r="AI489" s="731"/>
      <c r="AJ489" s="731"/>
      <c r="AK489" s="823"/>
      <c r="AL489" s="731"/>
      <c r="AM489" s="731"/>
      <c r="AN489" s="731"/>
      <c r="AO489" s="731"/>
      <c r="AP489" s="731"/>
      <c r="AQ489" s="731"/>
      <c r="AR489" s="731"/>
      <c r="AS489" s="731"/>
      <c r="AT489" s="731"/>
      <c r="AU489" s="731"/>
      <c r="AV489" s="731"/>
      <c r="AW489" s="731"/>
      <c r="AX489" s="731"/>
      <c r="AY489" s="427"/>
    </row>
    <row r="490" spans="1:51" ht="18" customHeight="1" x14ac:dyDescent="0.25">
      <c r="A490" s="820">
        <v>4</v>
      </c>
      <c r="B490" s="827" t="s">
        <v>354</v>
      </c>
      <c r="C490" s="831" t="s">
        <v>598</v>
      </c>
      <c r="D490" s="413" t="s">
        <v>340</v>
      </c>
      <c r="E490" s="468">
        <v>0.2</v>
      </c>
      <c r="F490" s="168">
        <v>0.2</v>
      </c>
      <c r="G490" s="178">
        <v>0.2</v>
      </c>
      <c r="H490" s="174">
        <v>0.2</v>
      </c>
      <c r="I490" s="174">
        <v>0.2</v>
      </c>
      <c r="J490" s="410">
        <v>0.19</v>
      </c>
      <c r="K490" s="414">
        <f>+INVERSIÓN!BA31</f>
        <v>0.15</v>
      </c>
      <c r="L490" s="410"/>
      <c r="M490" s="470">
        <f t="shared" ref="M490:M507" si="41">+F490</f>
        <v>0.2</v>
      </c>
      <c r="N490" s="410">
        <v>0.05</v>
      </c>
      <c r="O490" s="410">
        <v>0.05</v>
      </c>
      <c r="P490" s="410">
        <v>0.05</v>
      </c>
      <c r="Q490" s="410">
        <v>0.05</v>
      </c>
      <c r="R490" s="416">
        <v>0.05</v>
      </c>
      <c r="S490" s="471" t="s">
        <v>1328</v>
      </c>
      <c r="T490" s="173">
        <v>0.06</v>
      </c>
      <c r="U490" s="173">
        <v>0.09</v>
      </c>
      <c r="V490" s="173" t="e">
        <f>+#REF!</f>
        <v>#REF!</v>
      </c>
      <c r="W490" s="442" t="e">
        <f>+#REF!</f>
        <v>#REF!</v>
      </c>
      <c r="X490" s="471">
        <f>+INVERSIÓN!BB31</f>
        <v>0.15000000000000002</v>
      </c>
      <c r="Y490" s="444"/>
      <c r="Z490" s="444">
        <v>0</v>
      </c>
      <c r="AA490" s="445">
        <v>0.01</v>
      </c>
      <c r="AB490" s="472">
        <v>0.02</v>
      </c>
      <c r="AC490" s="401">
        <v>0.03</v>
      </c>
      <c r="AD490" s="473">
        <v>0.04</v>
      </c>
      <c r="AE490" s="447" t="s">
        <v>673</v>
      </c>
      <c r="AF490" s="942" t="s">
        <v>1328</v>
      </c>
      <c r="AG490" s="913" t="s">
        <v>456</v>
      </c>
      <c r="AH490" s="813" t="s">
        <v>178</v>
      </c>
      <c r="AI490" s="813" t="s">
        <v>178</v>
      </c>
      <c r="AJ490" s="813" t="s">
        <v>178</v>
      </c>
      <c r="AK490" s="914" t="s">
        <v>457</v>
      </c>
      <c r="AL490" s="813" t="s">
        <v>178</v>
      </c>
      <c r="AM490" s="813" t="s">
        <v>1275</v>
      </c>
      <c r="AN490" s="910">
        <v>7804660</v>
      </c>
      <c r="AO490" s="910">
        <v>3721767</v>
      </c>
      <c r="AP490" s="910">
        <v>4082893</v>
      </c>
      <c r="AQ490" s="915" t="s">
        <v>459</v>
      </c>
      <c r="AR490" s="941" t="s">
        <v>1329</v>
      </c>
      <c r="AS490" s="941">
        <f>6+9+7+10</f>
        <v>32</v>
      </c>
      <c r="AT490" s="939" t="s">
        <v>1330</v>
      </c>
      <c r="AU490" s="939" t="s">
        <v>1331</v>
      </c>
      <c r="AV490" s="915" t="s">
        <v>459</v>
      </c>
      <c r="AW490" s="915" t="s">
        <v>459</v>
      </c>
      <c r="AX490" s="910">
        <v>7804660</v>
      </c>
      <c r="AY490" s="940" t="s">
        <v>1332</v>
      </c>
    </row>
    <row r="491" spans="1:51" ht="15.75" customHeight="1" x14ac:dyDescent="0.25">
      <c r="A491" s="829"/>
      <c r="B491" s="710"/>
      <c r="C491" s="710"/>
      <c r="D491" s="404" t="s">
        <v>343</v>
      </c>
      <c r="E491" s="468">
        <v>68299000</v>
      </c>
      <c r="F491" s="168">
        <v>68299000</v>
      </c>
      <c r="G491" s="178">
        <v>68299000</v>
      </c>
      <c r="H491" s="174">
        <v>68299000</v>
      </c>
      <c r="I491" s="174">
        <v>68299000</v>
      </c>
      <c r="J491" s="410">
        <v>67897116</v>
      </c>
      <c r="K491" s="414">
        <f>+INVERSIÓN!BA32</f>
        <v>76788500</v>
      </c>
      <c r="L491" s="450"/>
      <c r="M491" s="470">
        <f t="shared" si="41"/>
        <v>68299000</v>
      </c>
      <c r="N491" s="410">
        <v>90000000</v>
      </c>
      <c r="O491" s="410">
        <v>90000000</v>
      </c>
      <c r="P491" s="410">
        <v>90000000</v>
      </c>
      <c r="Q491" s="450">
        <v>90000000</v>
      </c>
      <c r="R491" s="416">
        <v>95347000</v>
      </c>
      <c r="S491" s="163"/>
      <c r="T491" s="173">
        <v>0</v>
      </c>
      <c r="U491" s="173">
        <v>0</v>
      </c>
      <c r="V491" s="173" t="e">
        <f>+#REF!</f>
        <v>#REF!</v>
      </c>
      <c r="W491" s="442" t="e">
        <f>+#REF!</f>
        <v>#REF!</v>
      </c>
      <c r="X491" s="471">
        <f>+INVERSIÓN!BB32</f>
        <v>76788500</v>
      </c>
      <c r="Y491" s="163"/>
      <c r="Z491" s="444">
        <v>0</v>
      </c>
      <c r="AA491" s="445">
        <v>69812000</v>
      </c>
      <c r="AB491" s="472">
        <v>69812000</v>
      </c>
      <c r="AC491" s="401">
        <v>69812000</v>
      </c>
      <c r="AD491" s="473">
        <v>69812000</v>
      </c>
      <c r="AE491" s="447" t="s">
        <v>673</v>
      </c>
      <c r="AF491" s="713"/>
      <c r="AG491" s="829"/>
      <c r="AH491" s="710"/>
      <c r="AI491" s="710"/>
      <c r="AJ491" s="710"/>
      <c r="AK491" s="710"/>
      <c r="AL491" s="710"/>
      <c r="AM491" s="710"/>
      <c r="AN491" s="710"/>
      <c r="AO491" s="710"/>
      <c r="AP491" s="710"/>
      <c r="AQ491" s="710"/>
      <c r="AR491" s="710"/>
      <c r="AS491" s="710"/>
      <c r="AT491" s="710"/>
      <c r="AU491" s="710"/>
      <c r="AV491" s="710"/>
      <c r="AW491" s="710"/>
      <c r="AX491" s="710"/>
      <c r="AY491" s="710"/>
    </row>
    <row r="492" spans="1:51" ht="15.75" customHeight="1" x14ac:dyDescent="0.25">
      <c r="A492" s="829"/>
      <c r="B492" s="710"/>
      <c r="C492" s="710"/>
      <c r="D492" s="408" t="s">
        <v>345</v>
      </c>
      <c r="E492" s="468" t="s">
        <v>673</v>
      </c>
      <c r="F492" s="168" t="s">
        <v>673</v>
      </c>
      <c r="G492" s="178">
        <v>0</v>
      </c>
      <c r="H492" s="174">
        <v>0</v>
      </c>
      <c r="I492" s="174">
        <v>0</v>
      </c>
      <c r="J492" s="410">
        <v>0</v>
      </c>
      <c r="K492" s="414">
        <f>+INVERSIÓN!BA33</f>
        <v>69040240</v>
      </c>
      <c r="L492" s="450"/>
      <c r="M492" s="470" t="str">
        <f t="shared" si="41"/>
        <v>#REF!</v>
      </c>
      <c r="N492" s="410">
        <v>0</v>
      </c>
      <c r="O492" s="410">
        <v>0</v>
      </c>
      <c r="P492" s="410" t="s">
        <v>673</v>
      </c>
      <c r="Q492" s="450">
        <v>0</v>
      </c>
      <c r="R492" s="416" t="s">
        <v>673</v>
      </c>
      <c r="S492" s="163"/>
      <c r="T492" s="173">
        <v>0</v>
      </c>
      <c r="U492" s="173">
        <v>0</v>
      </c>
      <c r="V492" s="173" t="e">
        <f>+#REF!</f>
        <v>#REF!</v>
      </c>
      <c r="W492" s="442" t="e">
        <f>+#REF!</f>
        <v>#REF!</v>
      </c>
      <c r="X492" s="471">
        <f>+INVERSIÓN!BB33</f>
        <v>69040240</v>
      </c>
      <c r="Y492" s="163"/>
      <c r="Z492" s="444">
        <v>0</v>
      </c>
      <c r="AA492" s="445">
        <v>0</v>
      </c>
      <c r="AB492" s="472">
        <v>0</v>
      </c>
      <c r="AC492" s="401" t="s">
        <v>673</v>
      </c>
      <c r="AD492" s="473" t="s">
        <v>673</v>
      </c>
      <c r="AE492" s="447" t="s">
        <v>673</v>
      </c>
      <c r="AF492" s="713"/>
      <c r="AG492" s="829"/>
      <c r="AH492" s="710"/>
      <c r="AI492" s="710"/>
      <c r="AJ492" s="710"/>
      <c r="AK492" s="710"/>
      <c r="AL492" s="710"/>
      <c r="AM492" s="710"/>
      <c r="AN492" s="710"/>
      <c r="AO492" s="710"/>
      <c r="AP492" s="710"/>
      <c r="AQ492" s="710"/>
      <c r="AR492" s="710"/>
      <c r="AS492" s="710"/>
      <c r="AT492" s="710"/>
      <c r="AU492" s="710"/>
      <c r="AV492" s="710"/>
      <c r="AW492" s="710"/>
      <c r="AX492" s="710"/>
      <c r="AY492" s="710"/>
    </row>
    <row r="493" spans="1:51" ht="18.75" customHeight="1" x14ac:dyDescent="0.25">
      <c r="A493" s="829"/>
      <c r="B493" s="710"/>
      <c r="C493" s="710"/>
      <c r="D493" s="404" t="s">
        <v>346</v>
      </c>
      <c r="E493" s="468">
        <v>25242234</v>
      </c>
      <c r="F493" s="168">
        <v>25242234</v>
      </c>
      <c r="G493" s="178">
        <v>25242234</v>
      </c>
      <c r="H493" s="174">
        <v>25242234</v>
      </c>
      <c r="I493" s="174">
        <v>25242234</v>
      </c>
      <c r="J493" s="410">
        <v>25242234</v>
      </c>
      <c r="K493" s="414">
        <f>+INVERSIÓN!BA34</f>
        <v>0</v>
      </c>
      <c r="L493" s="450"/>
      <c r="M493" s="470">
        <f t="shared" si="41"/>
        <v>25242234</v>
      </c>
      <c r="N493" s="410">
        <v>0</v>
      </c>
      <c r="O493" s="410">
        <v>0</v>
      </c>
      <c r="P493" s="410" t="s">
        <v>673</v>
      </c>
      <c r="Q493" s="450">
        <v>0</v>
      </c>
      <c r="R493" s="416" t="s">
        <v>673</v>
      </c>
      <c r="S493" s="163"/>
      <c r="T493" s="173">
        <v>7079600</v>
      </c>
      <c r="U493" s="173">
        <v>16193367</v>
      </c>
      <c r="V493" s="173" t="e">
        <f>+#REF!</f>
        <v>#REF!</v>
      </c>
      <c r="W493" s="442" t="e">
        <f>+#REF!</f>
        <v>#REF!</v>
      </c>
      <c r="X493" s="471">
        <f>+INVERSIÓN!BB34</f>
        <v>0</v>
      </c>
      <c r="Y493" s="163"/>
      <c r="Z493" s="444">
        <v>0</v>
      </c>
      <c r="AA493" s="445">
        <v>0</v>
      </c>
      <c r="AB493" s="472">
        <v>0</v>
      </c>
      <c r="AC493" s="401" t="s">
        <v>673</v>
      </c>
      <c r="AD493" s="473" t="s">
        <v>673</v>
      </c>
      <c r="AE493" s="447" t="s">
        <v>673</v>
      </c>
      <c r="AF493" s="713"/>
      <c r="AG493" s="829"/>
      <c r="AH493" s="710"/>
      <c r="AI493" s="710"/>
      <c r="AJ493" s="710"/>
      <c r="AK493" s="710"/>
      <c r="AL493" s="710"/>
      <c r="AM493" s="710"/>
      <c r="AN493" s="710"/>
      <c r="AO493" s="710"/>
      <c r="AP493" s="710"/>
      <c r="AQ493" s="710"/>
      <c r="AR493" s="710"/>
      <c r="AS493" s="710"/>
      <c r="AT493" s="710"/>
      <c r="AU493" s="710"/>
      <c r="AV493" s="710"/>
      <c r="AW493" s="710"/>
      <c r="AX493" s="710"/>
      <c r="AY493" s="710"/>
    </row>
    <row r="494" spans="1:51" ht="15.75" customHeight="1" x14ac:dyDescent="0.25">
      <c r="A494" s="829"/>
      <c r="B494" s="710"/>
      <c r="C494" s="710"/>
      <c r="D494" s="408" t="s">
        <v>347</v>
      </c>
      <c r="E494" s="468">
        <v>0.2</v>
      </c>
      <c r="F494" s="168">
        <v>0.2</v>
      </c>
      <c r="G494" s="178">
        <v>0.2</v>
      </c>
      <c r="H494" s="174">
        <v>0.2</v>
      </c>
      <c r="I494" s="174">
        <v>0.2</v>
      </c>
      <c r="J494" s="410">
        <v>0.2</v>
      </c>
      <c r="K494" s="414">
        <f>+INVERSIÓN!BA35</f>
        <v>25242234</v>
      </c>
      <c r="L494" s="410"/>
      <c r="M494" s="470">
        <f t="shared" si="41"/>
        <v>0.2</v>
      </c>
      <c r="N494" s="410">
        <v>0.05</v>
      </c>
      <c r="O494" s="410">
        <v>0.05</v>
      </c>
      <c r="P494" s="410">
        <v>0.05</v>
      </c>
      <c r="Q494" s="410">
        <v>0.05</v>
      </c>
      <c r="R494" s="416">
        <v>0.05</v>
      </c>
      <c r="S494" s="420"/>
      <c r="T494" s="173">
        <v>0.06</v>
      </c>
      <c r="U494" s="173">
        <v>0.09</v>
      </c>
      <c r="V494" s="173" t="e">
        <f>+#REF!</f>
        <v>#REF!</v>
      </c>
      <c r="W494" s="442" t="e">
        <f>+#REF!</f>
        <v>#REF!</v>
      </c>
      <c r="X494" s="471">
        <f>+INVERSIÓN!BB35</f>
        <v>25242234</v>
      </c>
      <c r="Y494" s="420"/>
      <c r="Z494" s="444">
        <v>0</v>
      </c>
      <c r="AA494" s="445">
        <v>0.01</v>
      </c>
      <c r="AB494" s="472">
        <v>0.01</v>
      </c>
      <c r="AC494" s="401">
        <v>0.03</v>
      </c>
      <c r="AD494" s="473">
        <v>0.04</v>
      </c>
      <c r="AE494" s="447" t="s">
        <v>673</v>
      </c>
      <c r="AF494" s="713"/>
      <c r="AG494" s="829"/>
      <c r="AH494" s="710"/>
      <c r="AI494" s="710"/>
      <c r="AJ494" s="710"/>
      <c r="AK494" s="710"/>
      <c r="AL494" s="710"/>
      <c r="AM494" s="710"/>
      <c r="AN494" s="710"/>
      <c r="AO494" s="710"/>
      <c r="AP494" s="710"/>
      <c r="AQ494" s="710"/>
      <c r="AR494" s="710"/>
      <c r="AS494" s="710"/>
      <c r="AT494" s="710"/>
      <c r="AU494" s="710"/>
      <c r="AV494" s="710"/>
      <c r="AW494" s="710"/>
      <c r="AX494" s="710"/>
      <c r="AY494" s="710"/>
    </row>
    <row r="495" spans="1:51" ht="15.75" customHeight="1" x14ac:dyDescent="0.25">
      <c r="A495" s="829"/>
      <c r="B495" s="710"/>
      <c r="C495" s="731"/>
      <c r="D495" s="412" t="s">
        <v>348</v>
      </c>
      <c r="E495" s="468">
        <v>93541234</v>
      </c>
      <c r="F495" s="168">
        <v>93541234</v>
      </c>
      <c r="G495" s="178">
        <v>93541234</v>
      </c>
      <c r="H495" s="174">
        <v>93541234</v>
      </c>
      <c r="I495" s="174">
        <v>93541234</v>
      </c>
      <c r="J495" s="410">
        <v>93139350</v>
      </c>
      <c r="K495" s="414">
        <f>+INVERSIÓN!BA36</f>
        <v>0.15</v>
      </c>
      <c r="L495" s="452"/>
      <c r="M495" s="470">
        <f t="shared" si="41"/>
        <v>93541234</v>
      </c>
      <c r="N495" s="410">
        <v>90000000</v>
      </c>
      <c r="O495" s="410">
        <v>90000000</v>
      </c>
      <c r="P495" s="410">
        <v>90000000</v>
      </c>
      <c r="Q495" s="452">
        <v>90000000</v>
      </c>
      <c r="R495" s="416">
        <v>95347000</v>
      </c>
      <c r="S495" s="444"/>
      <c r="T495" s="173">
        <v>7079600</v>
      </c>
      <c r="U495" s="173">
        <v>16193367</v>
      </c>
      <c r="V495" s="173" t="e">
        <f>+#REF!</f>
        <v>#REF!</v>
      </c>
      <c r="W495" s="442" t="e">
        <f>+#REF!</f>
        <v>#REF!</v>
      </c>
      <c r="X495" s="471">
        <f>+INVERSIÓN!BB36</f>
        <v>0.14000000000000001</v>
      </c>
      <c r="Y495" s="444"/>
      <c r="Z495" s="444">
        <v>0</v>
      </c>
      <c r="AA495" s="445">
        <v>69812000</v>
      </c>
      <c r="AB495" s="472">
        <v>69812000</v>
      </c>
      <c r="AC495" s="401">
        <v>69812000</v>
      </c>
      <c r="AD495" s="473">
        <v>69812000</v>
      </c>
      <c r="AE495" s="447" t="s">
        <v>673</v>
      </c>
      <c r="AF495" s="713"/>
      <c r="AG495" s="823"/>
      <c r="AH495" s="731"/>
      <c r="AI495" s="731"/>
      <c r="AJ495" s="731"/>
      <c r="AK495" s="731"/>
      <c r="AL495" s="731"/>
      <c r="AM495" s="731"/>
      <c r="AN495" s="731"/>
      <c r="AO495" s="731"/>
      <c r="AP495" s="731"/>
      <c r="AQ495" s="731"/>
      <c r="AR495" s="731"/>
      <c r="AS495" s="731"/>
      <c r="AT495" s="731"/>
      <c r="AU495" s="731"/>
      <c r="AV495" s="731"/>
      <c r="AW495" s="731"/>
      <c r="AX495" s="731"/>
      <c r="AY495" s="731"/>
    </row>
    <row r="496" spans="1:51" ht="18" customHeight="1" x14ac:dyDescent="0.25">
      <c r="A496" s="829"/>
      <c r="B496" s="710"/>
      <c r="C496" s="818" t="s">
        <v>512</v>
      </c>
      <c r="D496" s="413" t="s">
        <v>340</v>
      </c>
      <c r="E496" s="468">
        <f t="shared" ref="E496:F501" si="42">+E490</f>
        <v>0.2</v>
      </c>
      <c r="F496" s="168">
        <f t="shared" si="42"/>
        <v>0.2</v>
      </c>
      <c r="G496" s="178">
        <v>0.2</v>
      </c>
      <c r="H496" s="178">
        <v>0.2</v>
      </c>
      <c r="I496" s="178">
        <v>0.2</v>
      </c>
      <c r="J496" s="470">
        <v>0.19</v>
      </c>
      <c r="K496" s="474">
        <f t="shared" ref="K496:K501" si="43">+K490</f>
        <v>0.15</v>
      </c>
      <c r="L496" s="470"/>
      <c r="M496" s="470">
        <f t="shared" si="41"/>
        <v>0.2</v>
      </c>
      <c r="N496" s="410">
        <f t="shared" ref="N496:R501" si="44">+N490</f>
        <v>0.05</v>
      </c>
      <c r="O496" s="410">
        <f t="shared" si="44"/>
        <v>0.05</v>
      </c>
      <c r="P496" s="410">
        <f t="shared" si="44"/>
        <v>0.05</v>
      </c>
      <c r="Q496" s="410">
        <f t="shared" si="44"/>
        <v>0.05</v>
      </c>
      <c r="R496" s="416">
        <f t="shared" si="44"/>
        <v>0.05</v>
      </c>
      <c r="S496" s="169"/>
      <c r="T496" s="166">
        <f t="shared" ref="T496:V501" si="45">+T490</f>
        <v>0.06</v>
      </c>
      <c r="U496" s="166">
        <f t="shared" si="45"/>
        <v>0.09</v>
      </c>
      <c r="V496" s="166" t="e">
        <f t="shared" si="45"/>
        <v>#REF!</v>
      </c>
      <c r="W496" s="415">
        <v>0.11</v>
      </c>
      <c r="X496" s="475">
        <f t="shared" ref="X496:X501" si="46">+X490</f>
        <v>0.15000000000000002</v>
      </c>
      <c r="Y496" s="411"/>
      <c r="Z496" s="411"/>
      <c r="AA496" s="420">
        <f t="shared" ref="AA496:AE501" si="47">+AA490</f>
        <v>0.01</v>
      </c>
      <c r="AB496" s="428">
        <f t="shared" si="47"/>
        <v>0.02</v>
      </c>
      <c r="AC496" s="401">
        <f t="shared" si="47"/>
        <v>0.03</v>
      </c>
      <c r="AD496" s="473">
        <f t="shared" si="47"/>
        <v>0.04</v>
      </c>
      <c r="AE496" s="169" t="str">
        <f t="shared" si="47"/>
        <v>#REF!</v>
      </c>
      <c r="AF496" s="713"/>
      <c r="AG496" s="919" t="s">
        <v>456</v>
      </c>
      <c r="AH496" s="813" t="s">
        <v>178</v>
      </c>
      <c r="AI496" s="813" t="s">
        <v>178</v>
      </c>
      <c r="AJ496" s="813" t="s">
        <v>178</v>
      </c>
      <c r="AK496" s="914" t="s">
        <v>457</v>
      </c>
      <c r="AL496" s="813"/>
      <c r="AM496" s="813" t="s">
        <v>1275</v>
      </c>
      <c r="AN496" s="910">
        <v>7804660</v>
      </c>
      <c r="AO496" s="910">
        <v>3721767</v>
      </c>
      <c r="AP496" s="910">
        <v>4082893</v>
      </c>
      <c r="AQ496" s="915" t="s">
        <v>459</v>
      </c>
      <c r="AR496" s="915" t="s">
        <v>459</v>
      </c>
      <c r="AS496" s="915" t="s">
        <v>459</v>
      </c>
      <c r="AT496" s="915" t="s">
        <v>459</v>
      </c>
      <c r="AU496" s="915" t="s">
        <v>459</v>
      </c>
      <c r="AV496" s="915" t="s">
        <v>459</v>
      </c>
      <c r="AW496" s="915" t="s">
        <v>459</v>
      </c>
      <c r="AX496" s="910">
        <v>7804660</v>
      </c>
      <c r="AY496" s="427"/>
    </row>
    <row r="497" spans="1:51" ht="15.75" customHeight="1" x14ac:dyDescent="0.25">
      <c r="A497" s="829"/>
      <c r="B497" s="710"/>
      <c r="C497" s="710"/>
      <c r="D497" s="404" t="s">
        <v>343</v>
      </c>
      <c r="E497" s="468">
        <f t="shared" si="42"/>
        <v>68299000</v>
      </c>
      <c r="F497" s="168">
        <f t="shared" si="42"/>
        <v>68299000</v>
      </c>
      <c r="G497" s="178">
        <v>68299000</v>
      </c>
      <c r="H497" s="178">
        <v>68299000</v>
      </c>
      <c r="I497" s="178">
        <v>68299000</v>
      </c>
      <c r="J497" s="470">
        <v>67897116</v>
      </c>
      <c r="K497" s="474">
        <f t="shared" si="43"/>
        <v>76788500</v>
      </c>
      <c r="L497" s="470"/>
      <c r="M497" s="470">
        <f t="shared" si="41"/>
        <v>68299000</v>
      </c>
      <c r="N497" s="410">
        <f t="shared" si="44"/>
        <v>90000000</v>
      </c>
      <c r="O497" s="410">
        <f t="shared" si="44"/>
        <v>90000000</v>
      </c>
      <c r="P497" s="410">
        <f t="shared" si="44"/>
        <v>90000000</v>
      </c>
      <c r="Q497" s="410">
        <f t="shared" si="44"/>
        <v>90000000</v>
      </c>
      <c r="R497" s="416">
        <f t="shared" si="44"/>
        <v>95347000</v>
      </c>
      <c r="S497" s="169"/>
      <c r="T497" s="166">
        <f t="shared" si="45"/>
        <v>0</v>
      </c>
      <c r="U497" s="166">
        <f t="shared" si="45"/>
        <v>0</v>
      </c>
      <c r="V497" s="166" t="e">
        <f t="shared" si="45"/>
        <v>#REF!</v>
      </c>
      <c r="W497" s="432" t="e">
        <f>+W490</f>
        <v>#REF!</v>
      </c>
      <c r="X497" s="475">
        <f t="shared" si="46"/>
        <v>76788500</v>
      </c>
      <c r="Y497" s="411"/>
      <c r="Z497" s="411"/>
      <c r="AA497" s="420">
        <f t="shared" si="47"/>
        <v>69812000</v>
      </c>
      <c r="AB497" s="428">
        <f t="shared" si="47"/>
        <v>69812000</v>
      </c>
      <c r="AC497" s="401">
        <f t="shared" si="47"/>
        <v>69812000</v>
      </c>
      <c r="AD497" s="431">
        <f t="shared" si="47"/>
        <v>69812000</v>
      </c>
      <c r="AE497" s="169" t="str">
        <f t="shared" si="47"/>
        <v>#REF!</v>
      </c>
      <c r="AF497" s="713"/>
      <c r="AG497" s="829"/>
      <c r="AH497" s="710"/>
      <c r="AI497" s="710"/>
      <c r="AJ497" s="710"/>
      <c r="AK497" s="710"/>
      <c r="AL497" s="710"/>
      <c r="AM497" s="710"/>
      <c r="AN497" s="710"/>
      <c r="AO497" s="710"/>
      <c r="AP497" s="710"/>
      <c r="AQ497" s="710"/>
      <c r="AR497" s="710"/>
      <c r="AS497" s="710"/>
      <c r="AT497" s="710"/>
      <c r="AU497" s="710"/>
      <c r="AV497" s="710"/>
      <c r="AW497" s="710"/>
      <c r="AX497" s="710"/>
      <c r="AY497" s="427"/>
    </row>
    <row r="498" spans="1:51" ht="15.75" customHeight="1" x14ac:dyDescent="0.25">
      <c r="A498" s="829"/>
      <c r="B498" s="710"/>
      <c r="C498" s="710"/>
      <c r="D498" s="408" t="s">
        <v>345</v>
      </c>
      <c r="E498" s="468" t="str">
        <f t="shared" si="42"/>
        <v>#REF!</v>
      </c>
      <c r="F498" s="168" t="str">
        <f t="shared" si="42"/>
        <v>#REF!</v>
      </c>
      <c r="G498" s="178">
        <v>0</v>
      </c>
      <c r="H498" s="178">
        <v>0</v>
      </c>
      <c r="I498" s="178">
        <v>0</v>
      </c>
      <c r="J498" s="470">
        <v>0</v>
      </c>
      <c r="K498" s="474">
        <f t="shared" si="43"/>
        <v>69040240</v>
      </c>
      <c r="L498" s="470"/>
      <c r="M498" s="470" t="str">
        <f t="shared" si="41"/>
        <v>#REF!</v>
      </c>
      <c r="N498" s="410">
        <f t="shared" si="44"/>
        <v>0</v>
      </c>
      <c r="O498" s="410">
        <f t="shared" si="44"/>
        <v>0</v>
      </c>
      <c r="P498" s="410" t="str">
        <f t="shared" si="44"/>
        <v>#REF!</v>
      </c>
      <c r="Q498" s="410">
        <f t="shared" si="44"/>
        <v>0</v>
      </c>
      <c r="R498" s="416" t="str">
        <f t="shared" si="44"/>
        <v>#REF!</v>
      </c>
      <c r="S498" s="169"/>
      <c r="T498" s="166">
        <f t="shared" si="45"/>
        <v>0</v>
      </c>
      <c r="U498" s="166">
        <f t="shared" si="45"/>
        <v>0</v>
      </c>
      <c r="V498" s="166" t="e">
        <f t="shared" si="45"/>
        <v>#REF!</v>
      </c>
      <c r="W498" s="432" t="e">
        <f>+W491</f>
        <v>#REF!</v>
      </c>
      <c r="X498" s="475">
        <f t="shared" si="46"/>
        <v>69040240</v>
      </c>
      <c r="Y498" s="411"/>
      <c r="Z498" s="411"/>
      <c r="AA498" s="420">
        <f t="shared" si="47"/>
        <v>0</v>
      </c>
      <c r="AB498" s="428">
        <f t="shared" si="47"/>
        <v>0</v>
      </c>
      <c r="AC498" s="401" t="str">
        <f t="shared" si="47"/>
        <v>#REF!</v>
      </c>
      <c r="AD498" s="473" t="str">
        <f t="shared" si="47"/>
        <v>#REF!</v>
      </c>
      <c r="AE498" s="169" t="str">
        <f t="shared" si="47"/>
        <v>#REF!</v>
      </c>
      <c r="AF498" s="713"/>
      <c r="AG498" s="829"/>
      <c r="AH498" s="710"/>
      <c r="AI498" s="710"/>
      <c r="AJ498" s="710"/>
      <c r="AK498" s="710"/>
      <c r="AL498" s="710"/>
      <c r="AM498" s="710"/>
      <c r="AN498" s="710"/>
      <c r="AO498" s="710"/>
      <c r="AP498" s="710"/>
      <c r="AQ498" s="710"/>
      <c r="AR498" s="710"/>
      <c r="AS498" s="710"/>
      <c r="AT498" s="710"/>
      <c r="AU498" s="710"/>
      <c r="AV498" s="710"/>
      <c r="AW498" s="710"/>
      <c r="AX498" s="710"/>
      <c r="AY498" s="427"/>
    </row>
    <row r="499" spans="1:51" ht="28.5" customHeight="1" x14ac:dyDescent="0.25">
      <c r="A499" s="829"/>
      <c r="B499" s="710"/>
      <c r="C499" s="710"/>
      <c r="D499" s="404" t="s">
        <v>346</v>
      </c>
      <c r="E499" s="468">
        <f t="shared" si="42"/>
        <v>25242234</v>
      </c>
      <c r="F499" s="168">
        <f t="shared" si="42"/>
        <v>25242234</v>
      </c>
      <c r="G499" s="178">
        <v>25242234</v>
      </c>
      <c r="H499" s="178">
        <v>25242234</v>
      </c>
      <c r="I499" s="178">
        <v>25242234</v>
      </c>
      <c r="J499" s="470">
        <v>25242234</v>
      </c>
      <c r="K499" s="474">
        <f t="shared" si="43"/>
        <v>0</v>
      </c>
      <c r="L499" s="470"/>
      <c r="M499" s="470">
        <f t="shared" si="41"/>
        <v>25242234</v>
      </c>
      <c r="N499" s="410">
        <f t="shared" si="44"/>
        <v>0</v>
      </c>
      <c r="O499" s="410">
        <f t="shared" si="44"/>
        <v>0</v>
      </c>
      <c r="P499" s="410" t="str">
        <f t="shared" si="44"/>
        <v>#REF!</v>
      </c>
      <c r="Q499" s="410">
        <f t="shared" si="44"/>
        <v>0</v>
      </c>
      <c r="R499" s="416" t="str">
        <f t="shared" si="44"/>
        <v>#REF!</v>
      </c>
      <c r="S499" s="169"/>
      <c r="T499" s="166">
        <f t="shared" si="45"/>
        <v>7079600</v>
      </c>
      <c r="U499" s="166">
        <f t="shared" si="45"/>
        <v>16193367</v>
      </c>
      <c r="V499" s="166" t="e">
        <f t="shared" si="45"/>
        <v>#REF!</v>
      </c>
      <c r="W499" s="432" t="e">
        <f>+W492</f>
        <v>#REF!</v>
      </c>
      <c r="X499" s="475">
        <f t="shared" si="46"/>
        <v>0</v>
      </c>
      <c r="Y499" s="411"/>
      <c r="Z499" s="411"/>
      <c r="AA499" s="420">
        <f t="shared" si="47"/>
        <v>0</v>
      </c>
      <c r="AB499" s="428">
        <f t="shared" si="47"/>
        <v>0</v>
      </c>
      <c r="AC499" s="401" t="str">
        <f t="shared" si="47"/>
        <v>#REF!</v>
      </c>
      <c r="AD499" s="473" t="str">
        <f t="shared" si="47"/>
        <v>#REF!</v>
      </c>
      <c r="AE499" s="169" t="str">
        <f t="shared" si="47"/>
        <v>#REF!</v>
      </c>
      <c r="AF499" s="713"/>
      <c r="AG499" s="829"/>
      <c r="AH499" s="710"/>
      <c r="AI499" s="710"/>
      <c r="AJ499" s="710"/>
      <c r="AK499" s="710"/>
      <c r="AL499" s="710"/>
      <c r="AM499" s="710"/>
      <c r="AN499" s="710"/>
      <c r="AO499" s="710"/>
      <c r="AP499" s="710"/>
      <c r="AQ499" s="710"/>
      <c r="AR499" s="710"/>
      <c r="AS499" s="710"/>
      <c r="AT499" s="710"/>
      <c r="AU499" s="710"/>
      <c r="AV499" s="710"/>
      <c r="AW499" s="710"/>
      <c r="AX499" s="710"/>
      <c r="AY499" s="427"/>
    </row>
    <row r="500" spans="1:51" ht="15.75" customHeight="1" x14ac:dyDescent="0.25">
      <c r="A500" s="829"/>
      <c r="B500" s="710"/>
      <c r="C500" s="710"/>
      <c r="D500" s="408" t="s">
        <v>347</v>
      </c>
      <c r="E500" s="468">
        <f t="shared" si="42"/>
        <v>0.2</v>
      </c>
      <c r="F500" s="168">
        <f t="shared" si="42"/>
        <v>0.2</v>
      </c>
      <c r="G500" s="178">
        <v>0.2</v>
      </c>
      <c r="H500" s="178">
        <v>0.2</v>
      </c>
      <c r="I500" s="178">
        <v>0.2</v>
      </c>
      <c r="J500" s="470">
        <v>0.2</v>
      </c>
      <c r="K500" s="474">
        <f t="shared" si="43"/>
        <v>25242234</v>
      </c>
      <c r="L500" s="470"/>
      <c r="M500" s="470">
        <f t="shared" si="41"/>
        <v>0.2</v>
      </c>
      <c r="N500" s="410">
        <f t="shared" si="44"/>
        <v>0.05</v>
      </c>
      <c r="O500" s="410">
        <f t="shared" si="44"/>
        <v>0.05</v>
      </c>
      <c r="P500" s="410">
        <f t="shared" si="44"/>
        <v>0.05</v>
      </c>
      <c r="Q500" s="410">
        <f t="shared" si="44"/>
        <v>0.05</v>
      </c>
      <c r="R500" s="416">
        <f t="shared" si="44"/>
        <v>0.05</v>
      </c>
      <c r="S500" s="169"/>
      <c r="T500" s="166">
        <f t="shared" si="45"/>
        <v>0.06</v>
      </c>
      <c r="U500" s="166">
        <f t="shared" si="45"/>
        <v>0.09</v>
      </c>
      <c r="V500" s="166" t="e">
        <f t="shared" si="45"/>
        <v>#REF!</v>
      </c>
      <c r="W500" s="432" t="e">
        <f>+W493</f>
        <v>#REF!</v>
      </c>
      <c r="X500" s="475">
        <f t="shared" si="46"/>
        <v>25242234</v>
      </c>
      <c r="Y500" s="411"/>
      <c r="Z500" s="411"/>
      <c r="AA500" s="420">
        <f t="shared" si="47"/>
        <v>0.01</v>
      </c>
      <c r="AB500" s="428">
        <f t="shared" si="47"/>
        <v>0.01</v>
      </c>
      <c r="AC500" s="401">
        <f t="shared" si="47"/>
        <v>0.03</v>
      </c>
      <c r="AD500" s="473">
        <f t="shared" si="47"/>
        <v>0.04</v>
      </c>
      <c r="AE500" s="169" t="str">
        <f t="shared" si="47"/>
        <v>#REF!</v>
      </c>
      <c r="AF500" s="713"/>
      <c r="AG500" s="829"/>
      <c r="AH500" s="710"/>
      <c r="AI500" s="710"/>
      <c r="AJ500" s="710"/>
      <c r="AK500" s="710"/>
      <c r="AL500" s="710"/>
      <c r="AM500" s="710"/>
      <c r="AN500" s="710"/>
      <c r="AO500" s="710"/>
      <c r="AP500" s="710"/>
      <c r="AQ500" s="710"/>
      <c r="AR500" s="710"/>
      <c r="AS500" s="710"/>
      <c r="AT500" s="710"/>
      <c r="AU500" s="710"/>
      <c r="AV500" s="710"/>
      <c r="AW500" s="710"/>
      <c r="AX500" s="710"/>
      <c r="AY500" s="427"/>
    </row>
    <row r="501" spans="1:51" ht="15.75" customHeight="1" x14ac:dyDescent="0.25">
      <c r="A501" s="823"/>
      <c r="B501" s="828"/>
      <c r="C501" s="731"/>
      <c r="D501" s="412" t="s">
        <v>348</v>
      </c>
      <c r="E501" s="468">
        <f t="shared" si="42"/>
        <v>93541234</v>
      </c>
      <c r="F501" s="168">
        <f t="shared" si="42"/>
        <v>93541234</v>
      </c>
      <c r="G501" s="178">
        <v>93541234</v>
      </c>
      <c r="H501" s="178">
        <v>93541234</v>
      </c>
      <c r="I501" s="178">
        <v>93541234</v>
      </c>
      <c r="J501" s="470">
        <v>93139350</v>
      </c>
      <c r="K501" s="476">
        <f t="shared" si="43"/>
        <v>0.15</v>
      </c>
      <c r="L501" s="470"/>
      <c r="M501" s="470">
        <f t="shared" si="41"/>
        <v>93541234</v>
      </c>
      <c r="N501" s="410">
        <f t="shared" si="44"/>
        <v>90000000</v>
      </c>
      <c r="O501" s="410">
        <f t="shared" si="44"/>
        <v>90000000</v>
      </c>
      <c r="P501" s="410">
        <f t="shared" si="44"/>
        <v>90000000</v>
      </c>
      <c r="Q501" s="410">
        <f t="shared" si="44"/>
        <v>90000000</v>
      </c>
      <c r="R501" s="416">
        <f t="shared" si="44"/>
        <v>95347000</v>
      </c>
      <c r="S501" s="169"/>
      <c r="T501" s="166">
        <f t="shared" si="45"/>
        <v>7079600</v>
      </c>
      <c r="U501" s="166">
        <f t="shared" si="45"/>
        <v>16193367</v>
      </c>
      <c r="V501" s="166" t="e">
        <f t="shared" si="45"/>
        <v>#REF!</v>
      </c>
      <c r="W501" s="432" t="e">
        <f>+W494</f>
        <v>#REF!</v>
      </c>
      <c r="X501" s="169">
        <f t="shared" si="46"/>
        <v>0.14000000000000001</v>
      </c>
      <c r="Y501" s="411"/>
      <c r="Z501" s="411"/>
      <c r="AA501" s="420">
        <f t="shared" si="47"/>
        <v>69812000</v>
      </c>
      <c r="AB501" s="428">
        <f t="shared" si="47"/>
        <v>69812000</v>
      </c>
      <c r="AC501" s="401">
        <f t="shared" si="47"/>
        <v>69812000</v>
      </c>
      <c r="AD501" s="431">
        <f t="shared" si="47"/>
        <v>69812000</v>
      </c>
      <c r="AE501" s="169" t="str">
        <f t="shared" si="47"/>
        <v>#REF!</v>
      </c>
      <c r="AF501" s="830"/>
      <c r="AG501" s="823"/>
      <c r="AH501" s="731"/>
      <c r="AI501" s="731"/>
      <c r="AJ501" s="731"/>
      <c r="AK501" s="731"/>
      <c r="AL501" s="731"/>
      <c r="AM501" s="731"/>
      <c r="AN501" s="731"/>
      <c r="AO501" s="731"/>
      <c r="AP501" s="731"/>
      <c r="AQ501" s="731"/>
      <c r="AR501" s="731"/>
      <c r="AS501" s="731"/>
      <c r="AT501" s="731"/>
      <c r="AU501" s="731"/>
      <c r="AV501" s="731"/>
      <c r="AW501" s="731"/>
      <c r="AX501" s="731"/>
      <c r="AY501" s="427"/>
    </row>
    <row r="502" spans="1:51" ht="42" customHeight="1" x14ac:dyDescent="0.25">
      <c r="A502" s="820">
        <v>5</v>
      </c>
      <c r="B502" s="827" t="s">
        <v>356</v>
      </c>
      <c r="C502" s="818" t="s">
        <v>601</v>
      </c>
      <c r="D502" s="413" t="s">
        <v>340</v>
      </c>
      <c r="E502" s="477">
        <v>160</v>
      </c>
      <c r="F502" s="172">
        <v>160</v>
      </c>
      <c r="G502" s="437">
        <v>160</v>
      </c>
      <c r="H502" s="437">
        <v>160</v>
      </c>
      <c r="I502" s="437" t="e">
        <f>+#REF!</f>
        <v>#REF!</v>
      </c>
      <c r="J502" s="438" t="e">
        <f>+#REF!</f>
        <v>#REF!</v>
      </c>
      <c r="K502" s="478">
        <v>96</v>
      </c>
      <c r="L502" s="438"/>
      <c r="M502" s="438">
        <f t="shared" si="41"/>
        <v>160</v>
      </c>
      <c r="N502" s="440">
        <v>50</v>
      </c>
      <c r="O502" s="440">
        <v>50</v>
      </c>
      <c r="P502" s="438">
        <v>50</v>
      </c>
      <c r="Q502" s="438">
        <v>50</v>
      </c>
      <c r="R502" s="479">
        <v>50</v>
      </c>
      <c r="S502" s="444"/>
      <c r="T502" s="173">
        <v>20</v>
      </c>
      <c r="U502" s="173">
        <v>40</v>
      </c>
      <c r="V502" s="173" t="e">
        <f>+#REF!</f>
        <v>#REF!</v>
      </c>
      <c r="W502" s="442" t="e">
        <f>+#REF!</f>
        <v>#REF!</v>
      </c>
      <c r="X502" s="480">
        <v>55</v>
      </c>
      <c r="Y502" s="471"/>
      <c r="Z502" s="471">
        <v>0</v>
      </c>
      <c r="AA502" s="443">
        <v>5</v>
      </c>
      <c r="AB502" s="481">
        <v>10</v>
      </c>
      <c r="AC502" s="482">
        <v>30</v>
      </c>
      <c r="AD502" s="482">
        <v>45</v>
      </c>
      <c r="AE502" s="483" t="s">
        <v>673</v>
      </c>
      <c r="AF502" s="943" t="s">
        <v>1333</v>
      </c>
      <c r="AG502" s="913" t="s">
        <v>456</v>
      </c>
      <c r="AH502" s="813" t="s">
        <v>178</v>
      </c>
      <c r="AI502" s="813" t="s">
        <v>178</v>
      </c>
      <c r="AJ502" s="813" t="s">
        <v>178</v>
      </c>
      <c r="AK502" s="914" t="s">
        <v>457</v>
      </c>
      <c r="AL502" s="813"/>
      <c r="AM502" s="813" t="s">
        <v>1275</v>
      </c>
      <c r="AN502" s="910">
        <v>7804660</v>
      </c>
      <c r="AO502" s="910">
        <v>3721767</v>
      </c>
      <c r="AP502" s="910">
        <v>4082893</v>
      </c>
      <c r="AQ502" s="915" t="s">
        <v>459</v>
      </c>
      <c r="AR502" s="915" t="s">
        <v>459</v>
      </c>
      <c r="AS502" s="915" t="s">
        <v>459</v>
      </c>
      <c r="AT502" s="915" t="s">
        <v>459</v>
      </c>
      <c r="AU502" s="915" t="s">
        <v>459</v>
      </c>
      <c r="AV502" s="915" t="s">
        <v>459</v>
      </c>
      <c r="AW502" s="915" t="s">
        <v>459</v>
      </c>
      <c r="AX502" s="910">
        <v>7804660</v>
      </c>
      <c r="AY502" s="932"/>
    </row>
    <row r="503" spans="1:51" ht="42" customHeight="1" x14ac:dyDescent="0.25">
      <c r="A503" s="829"/>
      <c r="B503" s="710"/>
      <c r="C503" s="710"/>
      <c r="D503" s="404" t="s">
        <v>343</v>
      </c>
      <c r="E503" s="477">
        <v>699388000</v>
      </c>
      <c r="F503" s="172">
        <v>699388000</v>
      </c>
      <c r="G503" s="437">
        <v>699388000</v>
      </c>
      <c r="H503" s="437">
        <v>699388000</v>
      </c>
      <c r="I503" s="437" t="e">
        <f>+#REF!</f>
        <v>#REF!</v>
      </c>
      <c r="J503" s="438" t="e">
        <f>+#REF!</f>
        <v>#REF!</v>
      </c>
      <c r="K503" s="449"/>
      <c r="L503" s="450"/>
      <c r="M503" s="438">
        <f t="shared" si="41"/>
        <v>699388000</v>
      </c>
      <c r="N503" s="440">
        <v>641192490</v>
      </c>
      <c r="O503" s="440">
        <v>641192490</v>
      </c>
      <c r="P503" s="438">
        <v>734428327</v>
      </c>
      <c r="Q503" s="438">
        <v>714428327</v>
      </c>
      <c r="R503" s="479">
        <v>714428327</v>
      </c>
      <c r="S503" s="163"/>
      <c r="T503" s="173">
        <v>0</v>
      </c>
      <c r="U503" s="173">
        <v>61356000</v>
      </c>
      <c r="V503" s="173" t="e">
        <f>+#REF!</f>
        <v>#REF!</v>
      </c>
      <c r="W503" s="442" t="e">
        <f>+#REF!</f>
        <v>#REF!</v>
      </c>
      <c r="X503" s="163"/>
      <c r="Y503" s="484"/>
      <c r="Z503" s="471">
        <v>328110000</v>
      </c>
      <c r="AA503" s="443">
        <v>519353000</v>
      </c>
      <c r="AB503" s="481">
        <v>532019000</v>
      </c>
      <c r="AC503" s="482">
        <v>532019000</v>
      </c>
      <c r="AD503" s="482">
        <v>556969163</v>
      </c>
      <c r="AE503" s="483" t="s">
        <v>673</v>
      </c>
      <c r="AF503" s="713"/>
      <c r="AG503" s="829"/>
      <c r="AH503" s="710"/>
      <c r="AI503" s="710"/>
      <c r="AJ503" s="710"/>
      <c r="AK503" s="710"/>
      <c r="AL503" s="710"/>
      <c r="AM503" s="710"/>
      <c r="AN503" s="710"/>
      <c r="AO503" s="710"/>
      <c r="AP503" s="710"/>
      <c r="AQ503" s="710"/>
      <c r="AR503" s="710"/>
      <c r="AS503" s="710"/>
      <c r="AT503" s="710"/>
      <c r="AU503" s="710"/>
      <c r="AV503" s="710"/>
      <c r="AW503" s="710"/>
      <c r="AX503" s="710"/>
      <c r="AY503" s="710"/>
    </row>
    <row r="504" spans="1:51" ht="42" customHeight="1" x14ac:dyDescent="0.25">
      <c r="A504" s="829"/>
      <c r="B504" s="710"/>
      <c r="C504" s="710"/>
      <c r="D504" s="408" t="s">
        <v>345</v>
      </c>
      <c r="E504" s="477" t="s">
        <v>673</v>
      </c>
      <c r="F504" s="172" t="s">
        <v>673</v>
      </c>
      <c r="G504" s="437">
        <v>0</v>
      </c>
      <c r="H504" s="437">
        <v>0</v>
      </c>
      <c r="I504" s="437" t="e">
        <f>+#REF!</f>
        <v>#REF!</v>
      </c>
      <c r="J504" s="438" t="e">
        <f>+#REF!</f>
        <v>#REF!</v>
      </c>
      <c r="K504" s="409"/>
      <c r="L504" s="410"/>
      <c r="M504" s="438" t="str">
        <f t="shared" si="41"/>
        <v>#REF!</v>
      </c>
      <c r="N504" s="440">
        <v>0</v>
      </c>
      <c r="O504" s="440">
        <v>0</v>
      </c>
      <c r="P504" s="438" t="s">
        <v>673</v>
      </c>
      <c r="Q504" s="438" t="s">
        <v>673</v>
      </c>
      <c r="R504" s="479" t="s">
        <v>673</v>
      </c>
      <c r="S504" s="420"/>
      <c r="T504" s="173">
        <v>0</v>
      </c>
      <c r="U504" s="173">
        <v>0</v>
      </c>
      <c r="V504" s="173" t="e">
        <f>+#REF!</f>
        <v>#REF!</v>
      </c>
      <c r="W504" s="442" t="e">
        <f>+#REF!</f>
        <v>#REF!</v>
      </c>
      <c r="X504" s="420">
        <v>0</v>
      </c>
      <c r="Y504" s="485"/>
      <c r="Z504" s="471">
        <v>0</v>
      </c>
      <c r="AA504" s="443">
        <v>0</v>
      </c>
      <c r="AB504" s="481">
        <v>0</v>
      </c>
      <c r="AC504" s="482" t="s">
        <v>673</v>
      </c>
      <c r="AD504" s="482" t="s">
        <v>673</v>
      </c>
      <c r="AE504" s="483" t="s">
        <v>673</v>
      </c>
      <c r="AF504" s="713"/>
      <c r="AG504" s="829"/>
      <c r="AH504" s="710"/>
      <c r="AI504" s="710"/>
      <c r="AJ504" s="710"/>
      <c r="AK504" s="710"/>
      <c r="AL504" s="710"/>
      <c r="AM504" s="710"/>
      <c r="AN504" s="710"/>
      <c r="AO504" s="710"/>
      <c r="AP504" s="710"/>
      <c r="AQ504" s="710"/>
      <c r="AR504" s="710"/>
      <c r="AS504" s="710"/>
      <c r="AT504" s="710"/>
      <c r="AU504" s="710"/>
      <c r="AV504" s="710"/>
      <c r="AW504" s="710"/>
      <c r="AX504" s="710"/>
      <c r="AY504" s="710"/>
    </row>
    <row r="505" spans="1:51" ht="42" customHeight="1" x14ac:dyDescent="0.25">
      <c r="A505" s="829"/>
      <c r="B505" s="710"/>
      <c r="C505" s="710"/>
      <c r="D505" s="404" t="s">
        <v>346</v>
      </c>
      <c r="E505" s="477">
        <v>249150644</v>
      </c>
      <c r="F505" s="172">
        <v>249150644</v>
      </c>
      <c r="G505" s="437">
        <v>249150644</v>
      </c>
      <c r="H505" s="437">
        <v>249150644</v>
      </c>
      <c r="I505" s="437" t="e">
        <f>+#REF!</f>
        <v>#REF!</v>
      </c>
      <c r="J505" s="438" t="e">
        <f>+#REF!</f>
        <v>#REF!</v>
      </c>
      <c r="K505" s="409"/>
      <c r="L505" s="410"/>
      <c r="M505" s="438">
        <f t="shared" si="41"/>
        <v>249150644</v>
      </c>
      <c r="N505" s="440">
        <v>0</v>
      </c>
      <c r="O505" s="440">
        <v>0</v>
      </c>
      <c r="P505" s="438" t="s">
        <v>673</v>
      </c>
      <c r="Q505" s="438" t="s">
        <v>673</v>
      </c>
      <c r="R505" s="479" t="s">
        <v>673</v>
      </c>
      <c r="S505" s="420"/>
      <c r="T505" s="173">
        <v>35177075</v>
      </c>
      <c r="U505" s="173">
        <v>84962626</v>
      </c>
      <c r="V505" s="173" t="e">
        <f>+#REF!</f>
        <v>#REF!</v>
      </c>
      <c r="W505" s="442" t="e">
        <f>+#REF!</f>
        <v>#REF!</v>
      </c>
      <c r="X505" s="420"/>
      <c r="Y505" s="485"/>
      <c r="Z505" s="471">
        <v>0</v>
      </c>
      <c r="AA505" s="443">
        <v>0</v>
      </c>
      <c r="AB505" s="481">
        <v>0</v>
      </c>
      <c r="AC505" s="482" t="s">
        <v>673</v>
      </c>
      <c r="AD505" s="482" t="s">
        <v>673</v>
      </c>
      <c r="AE505" s="483" t="s">
        <v>673</v>
      </c>
      <c r="AF505" s="713"/>
      <c r="AG505" s="829"/>
      <c r="AH505" s="710"/>
      <c r="AI505" s="710"/>
      <c r="AJ505" s="710"/>
      <c r="AK505" s="710"/>
      <c r="AL505" s="710"/>
      <c r="AM505" s="710"/>
      <c r="AN505" s="710"/>
      <c r="AO505" s="710"/>
      <c r="AP505" s="710"/>
      <c r="AQ505" s="710"/>
      <c r="AR505" s="710"/>
      <c r="AS505" s="710"/>
      <c r="AT505" s="710"/>
      <c r="AU505" s="710"/>
      <c r="AV505" s="710"/>
      <c r="AW505" s="710"/>
      <c r="AX505" s="710"/>
      <c r="AY505" s="710"/>
    </row>
    <row r="506" spans="1:51" ht="42" customHeight="1" x14ac:dyDescent="0.25">
      <c r="A506" s="829"/>
      <c r="B506" s="710"/>
      <c r="C506" s="710"/>
      <c r="D506" s="408" t="s">
        <v>347</v>
      </c>
      <c r="E506" s="477">
        <v>160</v>
      </c>
      <c r="F506" s="172">
        <v>160</v>
      </c>
      <c r="G506" s="437">
        <v>160</v>
      </c>
      <c r="H506" s="437">
        <v>160</v>
      </c>
      <c r="I506" s="437" t="e">
        <f>+#REF!</f>
        <v>#REF!</v>
      </c>
      <c r="J506" s="438" t="e">
        <f>+#REF!</f>
        <v>#REF!</v>
      </c>
      <c r="K506" s="409">
        <v>160</v>
      </c>
      <c r="L506" s="410"/>
      <c r="M506" s="438">
        <f t="shared" si="41"/>
        <v>160</v>
      </c>
      <c r="N506" s="440">
        <v>50</v>
      </c>
      <c r="O506" s="440">
        <v>50</v>
      </c>
      <c r="P506" s="438">
        <v>50</v>
      </c>
      <c r="Q506" s="438">
        <v>50</v>
      </c>
      <c r="R506" s="479">
        <v>50</v>
      </c>
      <c r="S506" s="420"/>
      <c r="T506" s="173">
        <v>20</v>
      </c>
      <c r="U506" s="173">
        <v>40</v>
      </c>
      <c r="V506" s="173" t="e">
        <f>+#REF!</f>
        <v>#REF!</v>
      </c>
      <c r="W506" s="442" t="e">
        <f>+#REF!</f>
        <v>#REF!</v>
      </c>
      <c r="X506" s="486">
        <v>55</v>
      </c>
      <c r="Y506" s="485"/>
      <c r="Z506" s="471">
        <v>0</v>
      </c>
      <c r="AA506" s="443">
        <v>5</v>
      </c>
      <c r="AB506" s="481">
        <v>10</v>
      </c>
      <c r="AC506" s="482">
        <v>30</v>
      </c>
      <c r="AD506" s="482">
        <v>45</v>
      </c>
      <c r="AE506" s="483" t="s">
        <v>673</v>
      </c>
      <c r="AF506" s="713"/>
      <c r="AG506" s="829"/>
      <c r="AH506" s="710"/>
      <c r="AI506" s="710"/>
      <c r="AJ506" s="710"/>
      <c r="AK506" s="710"/>
      <c r="AL506" s="710"/>
      <c r="AM506" s="710"/>
      <c r="AN506" s="710"/>
      <c r="AO506" s="710"/>
      <c r="AP506" s="710"/>
      <c r="AQ506" s="710"/>
      <c r="AR506" s="710"/>
      <c r="AS506" s="710"/>
      <c r="AT506" s="710"/>
      <c r="AU506" s="710"/>
      <c r="AV506" s="710"/>
      <c r="AW506" s="710"/>
      <c r="AX506" s="710"/>
      <c r="AY506" s="710"/>
    </row>
    <row r="507" spans="1:51" ht="42" customHeight="1" x14ac:dyDescent="0.25">
      <c r="A507" s="829"/>
      <c r="B507" s="710"/>
      <c r="C507" s="731"/>
      <c r="D507" s="412" t="s">
        <v>348</v>
      </c>
      <c r="E507" s="477">
        <v>948538644</v>
      </c>
      <c r="F507" s="172">
        <v>948538644</v>
      </c>
      <c r="G507" s="437">
        <v>948538644</v>
      </c>
      <c r="H507" s="437">
        <v>948538644</v>
      </c>
      <c r="I507" s="437" t="e">
        <f>+#REF!</f>
        <v>#REF!</v>
      </c>
      <c r="J507" s="438" t="e">
        <f>+#REF!</f>
        <v>#REF!</v>
      </c>
      <c r="K507" s="451"/>
      <c r="L507" s="452"/>
      <c r="M507" s="438">
        <f t="shared" si="41"/>
        <v>948538644</v>
      </c>
      <c r="N507" s="440">
        <v>641192490</v>
      </c>
      <c r="O507" s="440">
        <v>641192490</v>
      </c>
      <c r="P507" s="438">
        <v>734428327</v>
      </c>
      <c r="Q507" s="438">
        <v>714428327</v>
      </c>
      <c r="R507" s="479">
        <v>714428327</v>
      </c>
      <c r="S507" s="444"/>
      <c r="T507" s="173">
        <v>35177075</v>
      </c>
      <c r="U507" s="173">
        <v>146318626</v>
      </c>
      <c r="V507" s="173" t="e">
        <f>+#REF!</f>
        <v>#REF!</v>
      </c>
      <c r="W507" s="442" t="e">
        <f>+#REF!</f>
        <v>#REF!</v>
      </c>
      <c r="X507" s="444"/>
      <c r="Y507" s="471"/>
      <c r="Z507" s="471">
        <v>328110000</v>
      </c>
      <c r="AA507" s="443">
        <v>519353000</v>
      </c>
      <c r="AB507" s="481">
        <v>532019000</v>
      </c>
      <c r="AC507" s="482">
        <v>532019000</v>
      </c>
      <c r="AD507" s="482">
        <v>556969163</v>
      </c>
      <c r="AE507" s="483" t="s">
        <v>673</v>
      </c>
      <c r="AF507" s="830"/>
      <c r="AG507" s="823"/>
      <c r="AH507" s="731"/>
      <c r="AI507" s="731"/>
      <c r="AJ507" s="731"/>
      <c r="AK507" s="731"/>
      <c r="AL507" s="731"/>
      <c r="AM507" s="731"/>
      <c r="AN507" s="731"/>
      <c r="AO507" s="731"/>
      <c r="AP507" s="731"/>
      <c r="AQ507" s="731"/>
      <c r="AR507" s="731"/>
      <c r="AS507" s="731"/>
      <c r="AT507" s="731"/>
      <c r="AU507" s="731"/>
      <c r="AV507" s="731"/>
      <c r="AW507" s="731"/>
      <c r="AX507" s="731"/>
      <c r="AY507" s="731"/>
    </row>
    <row r="508" spans="1:51" ht="18" hidden="1" customHeight="1" x14ac:dyDescent="0.25">
      <c r="A508" s="829"/>
      <c r="B508" s="710"/>
      <c r="C508" s="964" t="s">
        <v>1334</v>
      </c>
      <c r="D508" s="413" t="s">
        <v>340</v>
      </c>
      <c r="E508" s="487"/>
      <c r="F508" s="183"/>
      <c r="G508" s="174"/>
      <c r="H508" s="174"/>
      <c r="I508" s="174"/>
      <c r="J508" s="410"/>
      <c r="K508" s="409"/>
      <c r="L508" s="410"/>
      <c r="M508" s="410"/>
      <c r="N508" s="410"/>
      <c r="O508" s="410">
        <v>0</v>
      </c>
      <c r="P508" s="410">
        <v>1</v>
      </c>
      <c r="Q508" s="410">
        <v>1</v>
      </c>
      <c r="R508" s="416">
        <v>1</v>
      </c>
      <c r="S508" s="444"/>
      <c r="T508" s="173"/>
      <c r="U508" s="173"/>
      <c r="V508" s="173"/>
      <c r="W508" s="442"/>
      <c r="X508" s="444"/>
      <c r="Y508" s="444"/>
      <c r="Z508" s="444"/>
      <c r="AA508" s="445"/>
      <c r="AB508" s="444">
        <v>0</v>
      </c>
      <c r="AC508" s="420">
        <v>1</v>
      </c>
      <c r="AD508" s="409">
        <v>1</v>
      </c>
      <c r="AE508" s="447">
        <v>1</v>
      </c>
      <c r="AF508" s="488"/>
      <c r="AG508" s="944" t="s">
        <v>1334</v>
      </c>
      <c r="AH508" s="813" t="s">
        <v>633</v>
      </c>
      <c r="AI508" s="813" t="s">
        <v>633</v>
      </c>
      <c r="AJ508" s="813" t="s">
        <v>633</v>
      </c>
      <c r="AK508" s="813" t="s">
        <v>457</v>
      </c>
      <c r="AL508" s="813" t="s">
        <v>178</v>
      </c>
      <c r="AM508" s="813" t="s">
        <v>1335</v>
      </c>
      <c r="AN508" s="931">
        <v>556759</v>
      </c>
      <c r="AO508" s="910">
        <v>255912.198611812</v>
      </c>
      <c r="AP508" s="910">
        <v>300846.99352051399</v>
      </c>
      <c r="AQ508" s="915" t="s">
        <v>459</v>
      </c>
      <c r="AR508" s="915" t="s">
        <v>459</v>
      </c>
      <c r="AS508" s="915" t="s">
        <v>459</v>
      </c>
      <c r="AT508" s="915" t="s">
        <v>459</v>
      </c>
      <c r="AU508" s="915" t="s">
        <v>459</v>
      </c>
      <c r="AV508" s="915" t="s">
        <v>459</v>
      </c>
      <c r="AW508" s="915" t="s">
        <v>459</v>
      </c>
      <c r="AX508" s="910">
        <v>8185614</v>
      </c>
      <c r="AY508" s="932" t="s">
        <v>1336</v>
      </c>
    </row>
    <row r="509" spans="1:51" ht="18.75" hidden="1" customHeight="1" x14ac:dyDescent="0.25">
      <c r="A509" s="829"/>
      <c r="B509" s="710"/>
      <c r="C509" s="713"/>
      <c r="D509" s="404" t="s">
        <v>343</v>
      </c>
      <c r="E509" s="489"/>
      <c r="F509" s="183"/>
      <c r="G509" s="186"/>
      <c r="H509" s="186"/>
      <c r="I509" s="186"/>
      <c r="J509" s="450"/>
      <c r="K509" s="449"/>
      <c r="L509" s="450"/>
      <c r="M509" s="450"/>
      <c r="N509" s="490"/>
      <c r="O509" s="450">
        <v>0</v>
      </c>
      <c r="P509" s="450">
        <f>+P508*$P$503/$P$502</f>
        <v>14688566.539999999</v>
      </c>
      <c r="Q509" s="450">
        <f>+Q508*$Q$503/$Q$502</f>
        <v>14288566.539999999</v>
      </c>
      <c r="R509" s="450">
        <f>+R508*$R$503/$R$502</f>
        <v>14288566.539999999</v>
      </c>
      <c r="S509" s="163"/>
      <c r="T509" s="162"/>
      <c r="U509" s="162"/>
      <c r="V509" s="162"/>
      <c r="W509" s="491"/>
      <c r="X509" s="163"/>
      <c r="Y509" s="163"/>
      <c r="Z509" s="163"/>
      <c r="AA509" s="492"/>
      <c r="AB509" s="449">
        <v>0</v>
      </c>
      <c r="AC509" s="449">
        <f>+AC508*$AC$503/$AC$502</f>
        <v>17733966.666666668</v>
      </c>
      <c r="AD509" s="449">
        <f>+AD508*$AD$503/$AD$502</f>
        <v>12377092.51111111</v>
      </c>
      <c r="AE509" s="449" t="e">
        <f>+AE508*$AE$503/$AE$502</f>
        <v>#VALUE!</v>
      </c>
      <c r="AF509" s="493"/>
      <c r="AG509" s="777"/>
      <c r="AH509" s="710"/>
      <c r="AI509" s="710"/>
      <c r="AJ509" s="710"/>
      <c r="AK509" s="710"/>
      <c r="AL509" s="710"/>
      <c r="AM509" s="710"/>
      <c r="AN509" s="710"/>
      <c r="AO509" s="710"/>
      <c r="AP509" s="710"/>
      <c r="AQ509" s="710"/>
      <c r="AR509" s="710"/>
      <c r="AS509" s="710"/>
      <c r="AT509" s="710"/>
      <c r="AU509" s="710"/>
      <c r="AV509" s="710"/>
      <c r="AW509" s="710"/>
      <c r="AX509" s="710"/>
      <c r="AY509" s="710"/>
    </row>
    <row r="510" spans="1:51" ht="27.75" hidden="1" customHeight="1" x14ac:dyDescent="0.25">
      <c r="A510" s="829"/>
      <c r="B510" s="710"/>
      <c r="C510" s="713"/>
      <c r="D510" s="408" t="s">
        <v>345</v>
      </c>
      <c r="E510" s="489"/>
      <c r="F510" s="183"/>
      <c r="G510" s="186"/>
      <c r="H510" s="186"/>
      <c r="I510" s="186"/>
      <c r="J510" s="450"/>
      <c r="K510" s="449"/>
      <c r="L510" s="450"/>
      <c r="M510" s="450"/>
      <c r="N510" s="490"/>
      <c r="O510" s="450"/>
      <c r="P510" s="450"/>
      <c r="Q510" s="450"/>
      <c r="R510" s="494"/>
      <c r="S510" s="163"/>
      <c r="T510" s="162"/>
      <c r="U510" s="162"/>
      <c r="V510" s="162"/>
      <c r="W510" s="491"/>
      <c r="X510" s="163"/>
      <c r="Y510" s="163"/>
      <c r="Z510" s="163"/>
      <c r="AA510" s="492"/>
      <c r="AB510" s="163"/>
      <c r="AC510" s="495"/>
      <c r="AD510" s="449"/>
      <c r="AE510" s="431"/>
      <c r="AF510" s="493"/>
      <c r="AG510" s="777"/>
      <c r="AH510" s="710"/>
      <c r="AI510" s="710"/>
      <c r="AJ510" s="710"/>
      <c r="AK510" s="710"/>
      <c r="AL510" s="710"/>
      <c r="AM510" s="710"/>
      <c r="AN510" s="710"/>
      <c r="AO510" s="710"/>
      <c r="AP510" s="710"/>
      <c r="AQ510" s="710"/>
      <c r="AR510" s="710"/>
      <c r="AS510" s="710"/>
      <c r="AT510" s="710"/>
      <c r="AU510" s="710"/>
      <c r="AV510" s="710"/>
      <c r="AW510" s="710"/>
      <c r="AX510" s="710"/>
      <c r="AY510" s="710"/>
    </row>
    <row r="511" spans="1:51" ht="27.75" hidden="1" customHeight="1" x14ac:dyDescent="0.25">
      <c r="A511" s="829"/>
      <c r="B511" s="710"/>
      <c r="C511" s="713"/>
      <c r="D511" s="404" t="s">
        <v>346</v>
      </c>
      <c r="E511" s="489"/>
      <c r="F511" s="183"/>
      <c r="G511" s="186"/>
      <c r="H511" s="186"/>
      <c r="I511" s="186"/>
      <c r="J511" s="450"/>
      <c r="K511" s="449"/>
      <c r="L511" s="450"/>
      <c r="M511" s="450"/>
      <c r="N511" s="490"/>
      <c r="O511" s="450"/>
      <c r="P511" s="450"/>
      <c r="Q511" s="450"/>
      <c r="R511" s="494"/>
      <c r="S511" s="163"/>
      <c r="T511" s="162"/>
      <c r="U511" s="162"/>
      <c r="V511" s="162"/>
      <c r="W511" s="491"/>
      <c r="X511" s="163"/>
      <c r="Y511" s="163"/>
      <c r="Z511" s="163"/>
      <c r="AA511" s="492"/>
      <c r="AB511" s="163"/>
      <c r="AC511" s="495"/>
      <c r="AD511" s="449"/>
      <c r="AE511" s="431"/>
      <c r="AF511" s="493"/>
      <c r="AG511" s="777"/>
      <c r="AH511" s="710"/>
      <c r="AI511" s="710"/>
      <c r="AJ511" s="710"/>
      <c r="AK511" s="710"/>
      <c r="AL511" s="710"/>
      <c r="AM511" s="710"/>
      <c r="AN511" s="710"/>
      <c r="AO511" s="710"/>
      <c r="AP511" s="710"/>
      <c r="AQ511" s="710"/>
      <c r="AR511" s="710"/>
      <c r="AS511" s="710"/>
      <c r="AT511" s="710"/>
      <c r="AU511" s="710"/>
      <c r="AV511" s="710"/>
      <c r="AW511" s="710"/>
      <c r="AX511" s="710"/>
      <c r="AY511" s="710"/>
    </row>
    <row r="512" spans="1:51" ht="27.75" hidden="1" customHeight="1" x14ac:dyDescent="0.25">
      <c r="A512" s="829"/>
      <c r="B512" s="710"/>
      <c r="C512" s="713"/>
      <c r="D512" s="408" t="s">
        <v>347</v>
      </c>
      <c r="E512" s="487"/>
      <c r="F512" s="183"/>
      <c r="G512" s="174"/>
      <c r="H512" s="174"/>
      <c r="I512" s="174"/>
      <c r="J512" s="410"/>
      <c r="K512" s="409"/>
      <c r="L512" s="410"/>
      <c r="M512" s="410"/>
      <c r="N512" s="410"/>
      <c r="O512" s="410">
        <v>0</v>
      </c>
      <c r="P512" s="410">
        <v>1</v>
      </c>
      <c r="Q512" s="410">
        <v>1</v>
      </c>
      <c r="R512" s="416">
        <v>1</v>
      </c>
      <c r="S512" s="420"/>
      <c r="T512" s="184"/>
      <c r="U512" s="184"/>
      <c r="V512" s="184"/>
      <c r="W512" s="416"/>
      <c r="X512" s="420"/>
      <c r="Y512" s="420"/>
      <c r="Z512" s="420"/>
      <c r="AA512" s="420"/>
      <c r="AB512" s="420">
        <f>+AB508</f>
        <v>0</v>
      </c>
      <c r="AC512" s="420">
        <v>1</v>
      </c>
      <c r="AD512" s="409">
        <v>1</v>
      </c>
      <c r="AE512" s="401">
        <v>1</v>
      </c>
      <c r="AF512" s="496"/>
      <c r="AG512" s="777"/>
      <c r="AH512" s="710"/>
      <c r="AI512" s="710"/>
      <c r="AJ512" s="710"/>
      <c r="AK512" s="710"/>
      <c r="AL512" s="710"/>
      <c r="AM512" s="710"/>
      <c r="AN512" s="710"/>
      <c r="AO512" s="710"/>
      <c r="AP512" s="710"/>
      <c r="AQ512" s="710"/>
      <c r="AR512" s="710"/>
      <c r="AS512" s="710"/>
      <c r="AT512" s="710"/>
      <c r="AU512" s="710"/>
      <c r="AV512" s="710"/>
      <c r="AW512" s="710"/>
      <c r="AX512" s="710"/>
      <c r="AY512" s="710"/>
    </row>
    <row r="513" spans="1:51" ht="27.75" hidden="1" customHeight="1" x14ac:dyDescent="0.25">
      <c r="A513" s="829"/>
      <c r="B513" s="710"/>
      <c r="C513" s="830"/>
      <c r="D513" s="412" t="s">
        <v>348</v>
      </c>
      <c r="E513" s="497"/>
      <c r="F513" s="183"/>
      <c r="G513" s="187"/>
      <c r="H513" s="187"/>
      <c r="I513" s="187"/>
      <c r="J513" s="452"/>
      <c r="K513" s="451"/>
      <c r="L513" s="452"/>
      <c r="M513" s="452"/>
      <c r="N513" s="498"/>
      <c r="O513" s="410">
        <f>+O509</f>
        <v>0</v>
      </c>
      <c r="P513" s="450">
        <f>+P512*$P$503/$P$502</f>
        <v>14688566.539999999</v>
      </c>
      <c r="Q513" s="450">
        <f>+Q512*$Q$503/$Q$502</f>
        <v>14288566.539999999</v>
      </c>
      <c r="R513" s="450">
        <f>+R512*$R$503/$R$502</f>
        <v>14288566.539999999</v>
      </c>
      <c r="S513" s="444"/>
      <c r="T513" s="173"/>
      <c r="U513" s="173"/>
      <c r="V513" s="173"/>
      <c r="W513" s="442"/>
      <c r="X513" s="444"/>
      <c r="Y513" s="444"/>
      <c r="Z513" s="444"/>
      <c r="AA513" s="445"/>
      <c r="AB513" s="420">
        <f>+AB509</f>
        <v>0</v>
      </c>
      <c r="AC513" s="449">
        <f>+AC512*$AC$503/$AC$502</f>
        <v>17733966.666666668</v>
      </c>
      <c r="AD513" s="449">
        <f>+AD512*$AD$503/$AD$502</f>
        <v>12377092.51111111</v>
      </c>
      <c r="AE513" s="449" t="e">
        <f>+AE512*$AE$503/$AE$502</f>
        <v>#VALUE!</v>
      </c>
      <c r="AF513" s="488"/>
      <c r="AG513" s="945"/>
      <c r="AH513" s="731"/>
      <c r="AI513" s="731"/>
      <c r="AJ513" s="731"/>
      <c r="AK513" s="731"/>
      <c r="AL513" s="731"/>
      <c r="AM513" s="731"/>
      <c r="AN513" s="731"/>
      <c r="AO513" s="731"/>
      <c r="AP513" s="731"/>
      <c r="AQ513" s="731"/>
      <c r="AR513" s="731"/>
      <c r="AS513" s="731"/>
      <c r="AT513" s="731"/>
      <c r="AU513" s="731"/>
      <c r="AV513" s="731"/>
      <c r="AW513" s="731"/>
      <c r="AX513" s="731"/>
      <c r="AY513" s="731"/>
    </row>
    <row r="514" spans="1:51" ht="18" customHeight="1" x14ac:dyDescent="0.25">
      <c r="A514" s="829"/>
      <c r="B514" s="710"/>
      <c r="C514" s="961" t="s">
        <v>561</v>
      </c>
      <c r="D514" s="413" t="s">
        <v>340</v>
      </c>
      <c r="E514" s="179"/>
      <c r="F514" s="180"/>
      <c r="G514" s="174"/>
      <c r="H514" s="178">
        <v>1</v>
      </c>
      <c r="I514" s="178">
        <v>2</v>
      </c>
      <c r="J514" s="410">
        <v>2</v>
      </c>
      <c r="K514" s="409">
        <v>2</v>
      </c>
      <c r="L514" s="410"/>
      <c r="M514" s="410"/>
      <c r="N514" s="410"/>
      <c r="O514" s="410">
        <v>1</v>
      </c>
      <c r="P514" s="410">
        <v>1</v>
      </c>
      <c r="Q514" s="410">
        <v>1</v>
      </c>
      <c r="R514" s="416">
        <v>1</v>
      </c>
      <c r="S514" s="444"/>
      <c r="T514" s="173"/>
      <c r="U514" s="178">
        <v>1</v>
      </c>
      <c r="V514" s="178">
        <v>2</v>
      </c>
      <c r="W514" s="442">
        <v>2</v>
      </c>
      <c r="X514" s="444">
        <v>2</v>
      </c>
      <c r="Y514" s="444"/>
      <c r="Z514" s="444"/>
      <c r="AA514" s="445"/>
      <c r="AB514" s="472">
        <v>1</v>
      </c>
      <c r="AC514" s="401">
        <v>1</v>
      </c>
      <c r="AD514" s="409">
        <v>1</v>
      </c>
      <c r="AE514" s="447">
        <v>1</v>
      </c>
      <c r="AF514" s="933" t="s">
        <v>1337</v>
      </c>
      <c r="AG514" s="919" t="str">
        <f>+C514</f>
        <v>CHAPINERO</v>
      </c>
      <c r="AH514" s="813" t="s">
        <v>1338</v>
      </c>
      <c r="AI514" s="813" t="s">
        <v>1339</v>
      </c>
      <c r="AJ514" s="935" t="s">
        <v>1340</v>
      </c>
      <c r="AK514" s="813" t="s">
        <v>457</v>
      </c>
      <c r="AL514" s="813" t="s">
        <v>178</v>
      </c>
      <c r="AM514" s="813" t="s">
        <v>1335</v>
      </c>
      <c r="AN514" s="909">
        <v>163231</v>
      </c>
      <c r="AO514" s="910">
        <v>77499</v>
      </c>
      <c r="AP514" s="910">
        <v>85731</v>
      </c>
      <c r="AQ514" s="915" t="s">
        <v>459</v>
      </c>
      <c r="AR514" s="915" t="s">
        <v>459</v>
      </c>
      <c r="AS514" s="915" t="s">
        <v>459</v>
      </c>
      <c r="AT514" s="915" t="s">
        <v>459</v>
      </c>
      <c r="AU514" s="915" t="s">
        <v>459</v>
      </c>
      <c r="AV514" s="915" t="s">
        <v>459</v>
      </c>
      <c r="AW514" s="915" t="s">
        <v>459</v>
      </c>
      <c r="AX514" s="910">
        <v>163231</v>
      </c>
      <c r="AY514" s="932" t="s">
        <v>1341</v>
      </c>
    </row>
    <row r="515" spans="1:51" ht="15.75" customHeight="1" x14ac:dyDescent="0.25">
      <c r="A515" s="829"/>
      <c r="B515" s="710"/>
      <c r="C515" s="713"/>
      <c r="D515" s="404" t="s">
        <v>343</v>
      </c>
      <c r="E515" s="499"/>
      <c r="F515" s="189"/>
      <c r="G515" s="186"/>
      <c r="H515" s="186">
        <f>+H514*$H$503/$H$502</f>
        <v>4371175</v>
      </c>
      <c r="I515" s="186" t="e">
        <f>+I514*$I$503/$I$502</f>
        <v>#REF!</v>
      </c>
      <c r="J515" s="450" t="e">
        <f>+J514*$J$503/$J$502</f>
        <v>#REF!</v>
      </c>
      <c r="K515" s="449"/>
      <c r="L515" s="450"/>
      <c r="M515" s="450"/>
      <c r="N515" s="490"/>
      <c r="O515" s="450">
        <f>+O514*$O$503/$O$502</f>
        <v>12823849.800000001</v>
      </c>
      <c r="P515" s="450">
        <f>+P514*$P$503/$P$502</f>
        <v>14688566.539999999</v>
      </c>
      <c r="Q515" s="450">
        <f>+Q514*$Q$503/$Q$502</f>
        <v>14288566.539999999</v>
      </c>
      <c r="R515" s="450">
        <f>+R514*$R$503/$R$502</f>
        <v>14288566.539999999</v>
      </c>
      <c r="S515" s="163"/>
      <c r="T515" s="162"/>
      <c r="U515" s="186">
        <f>+U514*$U$503/$U$502</f>
        <v>1533900</v>
      </c>
      <c r="V515" s="186" t="e">
        <f>+V514*$V$503/$V$502</f>
        <v>#REF!</v>
      </c>
      <c r="W515" s="450" t="e">
        <f>+W514*$W$503/$W$502</f>
        <v>#REF!</v>
      </c>
      <c r="X515" s="163"/>
      <c r="Y515" s="163"/>
      <c r="Z515" s="163"/>
      <c r="AA515" s="492"/>
      <c r="AB515" s="449">
        <f>+AB514*$AB$503/$AB$502</f>
        <v>53201900</v>
      </c>
      <c r="AC515" s="449">
        <f>+AC514*$AC$503/$AC$502</f>
        <v>17733966.666666668</v>
      </c>
      <c r="AD515" s="449">
        <f>+AD514*$AD$503/$AD$502</f>
        <v>12377092.51111111</v>
      </c>
      <c r="AE515" s="449" t="e">
        <f>+AE514*$AE$503/$AE$502</f>
        <v>#VALUE!</v>
      </c>
      <c r="AF515" s="713"/>
      <c r="AG515" s="829"/>
      <c r="AH515" s="710"/>
      <c r="AI515" s="710"/>
      <c r="AJ515" s="710"/>
      <c r="AK515" s="710"/>
      <c r="AL515" s="710"/>
      <c r="AM515" s="710"/>
      <c r="AN515" s="710"/>
      <c r="AO515" s="710"/>
      <c r="AP515" s="710"/>
      <c r="AQ515" s="710"/>
      <c r="AR515" s="710"/>
      <c r="AS515" s="710"/>
      <c r="AT515" s="710"/>
      <c r="AU515" s="710"/>
      <c r="AV515" s="710"/>
      <c r="AW515" s="710"/>
      <c r="AX515" s="710"/>
      <c r="AY515" s="710"/>
    </row>
    <row r="516" spans="1:51" ht="15.75" customHeight="1" x14ac:dyDescent="0.25">
      <c r="A516" s="829"/>
      <c r="B516" s="710"/>
      <c r="C516" s="713"/>
      <c r="D516" s="408" t="s">
        <v>345</v>
      </c>
      <c r="E516" s="499"/>
      <c r="F516" s="189"/>
      <c r="G516" s="186"/>
      <c r="H516" s="186"/>
      <c r="I516" s="186"/>
      <c r="J516" s="450"/>
      <c r="K516" s="449"/>
      <c r="L516" s="450"/>
      <c r="M516" s="450"/>
      <c r="N516" s="490"/>
      <c r="O516" s="450"/>
      <c r="P516" s="450"/>
      <c r="Q516" s="450"/>
      <c r="R516" s="494"/>
      <c r="S516" s="163"/>
      <c r="T516" s="162"/>
      <c r="U516" s="186"/>
      <c r="V516" s="186"/>
      <c r="W516" s="491"/>
      <c r="X516" s="163"/>
      <c r="Y516" s="163"/>
      <c r="Z516" s="163"/>
      <c r="AA516" s="492"/>
      <c r="AB516" s="500"/>
      <c r="AC516" s="501"/>
      <c r="AD516" s="449"/>
      <c r="AE516" s="431"/>
      <c r="AF516" s="713"/>
      <c r="AG516" s="829"/>
      <c r="AH516" s="710"/>
      <c r="AI516" s="710"/>
      <c r="AJ516" s="710"/>
      <c r="AK516" s="710"/>
      <c r="AL516" s="710"/>
      <c r="AM516" s="710"/>
      <c r="AN516" s="710"/>
      <c r="AO516" s="710"/>
      <c r="AP516" s="710"/>
      <c r="AQ516" s="710"/>
      <c r="AR516" s="710"/>
      <c r="AS516" s="710"/>
      <c r="AT516" s="710"/>
      <c r="AU516" s="710"/>
      <c r="AV516" s="710"/>
      <c r="AW516" s="710"/>
      <c r="AX516" s="710"/>
      <c r="AY516" s="710"/>
    </row>
    <row r="517" spans="1:51" ht="18.75" customHeight="1" x14ac:dyDescent="0.25">
      <c r="A517" s="829"/>
      <c r="B517" s="710"/>
      <c r="C517" s="713"/>
      <c r="D517" s="404" t="s">
        <v>346</v>
      </c>
      <c r="E517" s="499"/>
      <c r="F517" s="189"/>
      <c r="G517" s="186"/>
      <c r="H517" s="186">
        <f>+$U$505/11</f>
        <v>7723875.0909090908</v>
      </c>
      <c r="I517" s="186"/>
      <c r="J517" s="450"/>
      <c r="K517" s="449"/>
      <c r="L517" s="450"/>
      <c r="M517" s="450"/>
      <c r="N517" s="490"/>
      <c r="O517" s="450"/>
      <c r="P517" s="450"/>
      <c r="Q517" s="450"/>
      <c r="R517" s="494"/>
      <c r="S517" s="163"/>
      <c r="T517" s="162"/>
      <c r="U517" s="186">
        <f>+$U$505/11</f>
        <v>7723875.0909090908</v>
      </c>
      <c r="V517" s="186"/>
      <c r="W517" s="491"/>
      <c r="X517" s="163"/>
      <c r="Y517" s="163"/>
      <c r="Z517" s="163"/>
      <c r="AA517" s="492"/>
      <c r="AB517" s="500"/>
      <c r="AC517" s="501"/>
      <c r="AD517" s="449"/>
      <c r="AE517" s="431"/>
      <c r="AF517" s="713"/>
      <c r="AG517" s="829"/>
      <c r="AH517" s="710"/>
      <c r="AI517" s="710"/>
      <c r="AJ517" s="710"/>
      <c r="AK517" s="710"/>
      <c r="AL517" s="710"/>
      <c r="AM517" s="710"/>
      <c r="AN517" s="710"/>
      <c r="AO517" s="710"/>
      <c r="AP517" s="710"/>
      <c r="AQ517" s="710"/>
      <c r="AR517" s="710"/>
      <c r="AS517" s="710"/>
      <c r="AT517" s="710"/>
      <c r="AU517" s="710"/>
      <c r="AV517" s="710"/>
      <c r="AW517" s="710"/>
      <c r="AX517" s="710"/>
      <c r="AY517" s="710"/>
    </row>
    <row r="518" spans="1:51" ht="15.75" customHeight="1" x14ac:dyDescent="0.25">
      <c r="A518" s="829"/>
      <c r="B518" s="710"/>
      <c r="C518" s="713"/>
      <c r="D518" s="408" t="s">
        <v>347</v>
      </c>
      <c r="E518" s="179"/>
      <c r="F518" s="180"/>
      <c r="G518" s="174"/>
      <c r="H518" s="178">
        <v>1</v>
      </c>
      <c r="I518" s="178">
        <v>2</v>
      </c>
      <c r="J518" s="410">
        <v>2</v>
      </c>
      <c r="K518" s="409">
        <v>2</v>
      </c>
      <c r="L518" s="410"/>
      <c r="M518" s="410"/>
      <c r="N518" s="410"/>
      <c r="O518" s="410">
        <f>+O514</f>
        <v>1</v>
      </c>
      <c r="P518" s="410">
        <v>1</v>
      </c>
      <c r="Q518" s="410">
        <v>1</v>
      </c>
      <c r="R518" s="416">
        <v>1</v>
      </c>
      <c r="S518" s="420"/>
      <c r="T518" s="184"/>
      <c r="U518" s="178">
        <v>1</v>
      </c>
      <c r="V518" s="178">
        <v>2</v>
      </c>
      <c r="W518" s="416">
        <v>2</v>
      </c>
      <c r="X518" s="169">
        <v>2</v>
      </c>
      <c r="Y518" s="420"/>
      <c r="Z518" s="420"/>
      <c r="AA518" s="420"/>
      <c r="AB518" s="502">
        <f>+AB514</f>
        <v>1</v>
      </c>
      <c r="AC518" s="401">
        <v>1</v>
      </c>
      <c r="AD518" s="409">
        <v>1</v>
      </c>
      <c r="AE518" s="401">
        <v>1</v>
      </c>
      <c r="AF518" s="713"/>
      <c r="AG518" s="829"/>
      <c r="AH518" s="710"/>
      <c r="AI518" s="710"/>
      <c r="AJ518" s="710"/>
      <c r="AK518" s="710"/>
      <c r="AL518" s="710"/>
      <c r="AM518" s="710"/>
      <c r="AN518" s="710"/>
      <c r="AO518" s="710"/>
      <c r="AP518" s="710"/>
      <c r="AQ518" s="710"/>
      <c r="AR518" s="710"/>
      <c r="AS518" s="710"/>
      <c r="AT518" s="710"/>
      <c r="AU518" s="710"/>
      <c r="AV518" s="710"/>
      <c r="AW518" s="710"/>
      <c r="AX518" s="710"/>
      <c r="AY518" s="710"/>
    </row>
    <row r="519" spans="1:51" ht="15.75" customHeight="1" x14ac:dyDescent="0.25">
      <c r="A519" s="829"/>
      <c r="B519" s="710"/>
      <c r="C519" s="830"/>
      <c r="D519" s="412" t="s">
        <v>348</v>
      </c>
      <c r="E519" s="503"/>
      <c r="F519" s="188"/>
      <c r="G519" s="187"/>
      <c r="H519" s="186">
        <f>+H518*$H$503/$H$502</f>
        <v>4371175</v>
      </c>
      <c r="I519" s="186" t="e">
        <f>+I518*$I$503/$I$502</f>
        <v>#REF!</v>
      </c>
      <c r="J519" s="450" t="e">
        <f>+J518*$J$503/$J$502</f>
        <v>#REF!</v>
      </c>
      <c r="K519" s="451"/>
      <c r="L519" s="452"/>
      <c r="M519" s="452"/>
      <c r="N519" s="498"/>
      <c r="O519" s="410">
        <f>+O515</f>
        <v>12823849.800000001</v>
      </c>
      <c r="P519" s="450">
        <f>+P518*$P$503/$P$502</f>
        <v>14688566.539999999</v>
      </c>
      <c r="Q519" s="450">
        <f>+Q518*$Q$503/$Q$502</f>
        <v>14288566.539999999</v>
      </c>
      <c r="R519" s="450">
        <f>+R518*$R$503/$R$502</f>
        <v>14288566.539999999</v>
      </c>
      <c r="S519" s="444"/>
      <c r="T519" s="173"/>
      <c r="U519" s="186">
        <f>+U518*$U$503/$U$502</f>
        <v>1533900</v>
      </c>
      <c r="V519" s="186" t="e">
        <f>+V518*$V$503/$V$502</f>
        <v>#REF!</v>
      </c>
      <c r="W519" s="450" t="e">
        <f>+W518*$W$503/$W$502</f>
        <v>#REF!</v>
      </c>
      <c r="X519" s="444"/>
      <c r="Y519" s="444"/>
      <c r="Z519" s="444"/>
      <c r="AA519" s="445"/>
      <c r="AB519" s="502">
        <f>+AB515</f>
        <v>53201900</v>
      </c>
      <c r="AC519" s="449">
        <f>+AC518*$AC$503/$AC$502</f>
        <v>17733966.666666668</v>
      </c>
      <c r="AD519" s="449">
        <f>+AD518*$AD$503/$AD$502</f>
        <v>12377092.51111111</v>
      </c>
      <c r="AE519" s="449" t="e">
        <f>+AE518*$AE$503/$AE$502</f>
        <v>#VALUE!</v>
      </c>
      <c r="AF519" s="830"/>
      <c r="AG519" s="823"/>
      <c r="AH519" s="731"/>
      <c r="AI519" s="731"/>
      <c r="AJ519" s="731"/>
      <c r="AK519" s="731"/>
      <c r="AL519" s="731"/>
      <c r="AM519" s="731"/>
      <c r="AN519" s="731"/>
      <c r="AO519" s="731"/>
      <c r="AP519" s="731"/>
      <c r="AQ519" s="731"/>
      <c r="AR519" s="731"/>
      <c r="AS519" s="731"/>
      <c r="AT519" s="731"/>
      <c r="AU519" s="731"/>
      <c r="AV519" s="731"/>
      <c r="AW519" s="731"/>
      <c r="AX519" s="731"/>
      <c r="AY519" s="731"/>
    </row>
    <row r="520" spans="1:51" ht="18" customHeight="1" x14ac:dyDescent="0.25">
      <c r="A520" s="829"/>
      <c r="B520" s="710"/>
      <c r="C520" s="813" t="s">
        <v>1154</v>
      </c>
      <c r="D520" s="413" t="s">
        <v>340</v>
      </c>
      <c r="E520" s="179"/>
      <c r="F520" s="180"/>
      <c r="G520" s="174"/>
      <c r="H520" s="174"/>
      <c r="I520" s="178">
        <v>1</v>
      </c>
      <c r="J520" s="410">
        <v>1</v>
      </c>
      <c r="K520" s="409">
        <v>1</v>
      </c>
      <c r="L520" s="410"/>
      <c r="M520" s="410"/>
      <c r="N520" s="410"/>
      <c r="O520" s="410"/>
      <c r="P520" s="410"/>
      <c r="Q520" s="410">
        <v>2</v>
      </c>
      <c r="R520" s="416">
        <v>4</v>
      </c>
      <c r="S520" s="444"/>
      <c r="T520" s="173"/>
      <c r="U520" s="173"/>
      <c r="V520" s="178">
        <v>1</v>
      </c>
      <c r="W520" s="442">
        <v>1</v>
      </c>
      <c r="X520" s="444">
        <v>1</v>
      </c>
      <c r="Y520" s="444"/>
      <c r="Z520" s="444"/>
      <c r="AA520" s="445"/>
      <c r="AB520" s="472"/>
      <c r="AC520" s="401"/>
      <c r="AD520" s="409">
        <v>2</v>
      </c>
      <c r="AE520" s="401">
        <v>4</v>
      </c>
      <c r="AF520" s="933" t="s">
        <v>1342</v>
      </c>
      <c r="AG520" s="919" t="str">
        <f>+C520</f>
        <v>SANTA FE</v>
      </c>
      <c r="AH520" s="813" t="s">
        <v>1343</v>
      </c>
      <c r="AI520" s="813" t="s">
        <v>1344</v>
      </c>
      <c r="AJ520" s="935" t="s">
        <v>1340</v>
      </c>
      <c r="AK520" s="813" t="s">
        <v>457</v>
      </c>
      <c r="AL520" s="813" t="s">
        <v>178</v>
      </c>
      <c r="AM520" s="813" t="s">
        <v>1335</v>
      </c>
      <c r="AN520" s="909">
        <v>107788</v>
      </c>
      <c r="AO520" s="910">
        <v>53687</v>
      </c>
      <c r="AP520" s="910">
        <v>54100</v>
      </c>
      <c r="AQ520" s="915" t="s">
        <v>459</v>
      </c>
      <c r="AR520" s="915" t="s">
        <v>459</v>
      </c>
      <c r="AS520" s="915" t="s">
        <v>459</v>
      </c>
      <c r="AT520" s="915" t="s">
        <v>459</v>
      </c>
      <c r="AU520" s="915" t="s">
        <v>459</v>
      </c>
      <c r="AV520" s="915" t="s">
        <v>459</v>
      </c>
      <c r="AW520" s="915" t="s">
        <v>459</v>
      </c>
      <c r="AX520" s="947">
        <v>107788</v>
      </c>
      <c r="AY520" s="932" t="s">
        <v>1345</v>
      </c>
    </row>
    <row r="521" spans="1:51" ht="18" customHeight="1" x14ac:dyDescent="0.25">
      <c r="A521" s="829"/>
      <c r="B521" s="710"/>
      <c r="C521" s="710"/>
      <c r="D521" s="404" t="s">
        <v>343</v>
      </c>
      <c r="E521" s="499"/>
      <c r="F521" s="189"/>
      <c r="G521" s="186"/>
      <c r="H521" s="186"/>
      <c r="I521" s="186" t="e">
        <f>+I520*$I$503/$I$502</f>
        <v>#REF!</v>
      </c>
      <c r="J521" s="450" t="e">
        <f>+J520*$J$503/$J$502</f>
        <v>#REF!</v>
      </c>
      <c r="K521" s="449"/>
      <c r="L521" s="450"/>
      <c r="M521" s="450"/>
      <c r="N521" s="490"/>
      <c r="O521" s="450"/>
      <c r="P521" s="450"/>
      <c r="Q521" s="450">
        <f>+Q520*$Q$503/$Q$502</f>
        <v>28577133.079999998</v>
      </c>
      <c r="R521" s="450">
        <f>+R520*$R$503/$R$502</f>
        <v>57154266.159999996</v>
      </c>
      <c r="S521" s="163"/>
      <c r="T521" s="162"/>
      <c r="U521" s="162"/>
      <c r="V521" s="186" t="e">
        <f>+V520*$V$503/$V$502</f>
        <v>#REF!</v>
      </c>
      <c r="W521" s="450" t="e">
        <f>+W520*$W$503/$W$502</f>
        <v>#REF!</v>
      </c>
      <c r="X521" s="163"/>
      <c r="Y521" s="163"/>
      <c r="Z521" s="163"/>
      <c r="AA521" s="492"/>
      <c r="AB521" s="500"/>
      <c r="AC521" s="501"/>
      <c r="AD521" s="449">
        <f>+AD520*$AD$503/$AD$502</f>
        <v>24754185.022222221</v>
      </c>
      <c r="AE521" s="449" t="e">
        <f>+AE520*$AE$503/$AE$502</f>
        <v>#VALUE!</v>
      </c>
      <c r="AF521" s="713"/>
      <c r="AG521" s="829"/>
      <c r="AH521" s="710"/>
      <c r="AI521" s="710"/>
      <c r="AJ521" s="710"/>
      <c r="AK521" s="710"/>
      <c r="AL521" s="710"/>
      <c r="AM521" s="710"/>
      <c r="AN521" s="710"/>
      <c r="AO521" s="710"/>
      <c r="AP521" s="710"/>
      <c r="AQ521" s="710"/>
      <c r="AR521" s="710"/>
      <c r="AS521" s="710"/>
      <c r="AT521" s="710"/>
      <c r="AU521" s="710"/>
      <c r="AV521" s="710"/>
      <c r="AW521" s="710"/>
      <c r="AX521" s="710"/>
      <c r="AY521" s="710"/>
    </row>
    <row r="522" spans="1:51" ht="27" customHeight="1" x14ac:dyDescent="0.25">
      <c r="A522" s="829"/>
      <c r="B522" s="710"/>
      <c r="C522" s="710"/>
      <c r="D522" s="408" t="s">
        <v>345</v>
      </c>
      <c r="E522" s="499"/>
      <c r="F522" s="189"/>
      <c r="G522" s="186"/>
      <c r="H522" s="186"/>
      <c r="I522" s="186"/>
      <c r="J522" s="450"/>
      <c r="K522" s="449"/>
      <c r="L522" s="450"/>
      <c r="M522" s="450"/>
      <c r="N522" s="490"/>
      <c r="O522" s="450"/>
      <c r="P522" s="450"/>
      <c r="Q522" s="450"/>
      <c r="R522" s="494"/>
      <c r="S522" s="163"/>
      <c r="T522" s="162"/>
      <c r="U522" s="162"/>
      <c r="V522" s="186"/>
      <c r="W522" s="491"/>
      <c r="X522" s="163"/>
      <c r="Y522" s="163"/>
      <c r="Z522" s="163"/>
      <c r="AA522" s="492"/>
      <c r="AB522" s="500"/>
      <c r="AC522" s="501"/>
      <c r="AD522" s="449"/>
      <c r="AE522" s="431"/>
      <c r="AF522" s="713"/>
      <c r="AG522" s="829"/>
      <c r="AH522" s="710"/>
      <c r="AI522" s="710"/>
      <c r="AJ522" s="710"/>
      <c r="AK522" s="710"/>
      <c r="AL522" s="710"/>
      <c r="AM522" s="710"/>
      <c r="AN522" s="710"/>
      <c r="AO522" s="710"/>
      <c r="AP522" s="710"/>
      <c r="AQ522" s="710"/>
      <c r="AR522" s="710"/>
      <c r="AS522" s="710"/>
      <c r="AT522" s="710"/>
      <c r="AU522" s="710"/>
      <c r="AV522" s="710"/>
      <c r="AW522" s="710"/>
      <c r="AX522" s="710"/>
      <c r="AY522" s="710"/>
    </row>
    <row r="523" spans="1:51" ht="27" customHeight="1" x14ac:dyDescent="0.25">
      <c r="A523" s="829"/>
      <c r="B523" s="710"/>
      <c r="C523" s="710"/>
      <c r="D523" s="404" t="s">
        <v>346</v>
      </c>
      <c r="E523" s="499"/>
      <c r="F523" s="189"/>
      <c r="G523" s="186"/>
      <c r="H523" s="186"/>
      <c r="I523" s="186"/>
      <c r="J523" s="450"/>
      <c r="K523" s="449"/>
      <c r="L523" s="450"/>
      <c r="M523" s="450"/>
      <c r="N523" s="490"/>
      <c r="O523" s="450"/>
      <c r="P523" s="450"/>
      <c r="Q523" s="450"/>
      <c r="R523" s="494"/>
      <c r="S523" s="163"/>
      <c r="T523" s="162"/>
      <c r="U523" s="162"/>
      <c r="V523" s="186"/>
      <c r="W523" s="491"/>
      <c r="X523" s="163"/>
      <c r="Y523" s="163"/>
      <c r="Z523" s="163"/>
      <c r="AA523" s="492"/>
      <c r="AB523" s="500"/>
      <c r="AC523" s="501"/>
      <c r="AD523" s="449"/>
      <c r="AE523" s="431"/>
      <c r="AF523" s="713"/>
      <c r="AG523" s="829"/>
      <c r="AH523" s="710"/>
      <c r="AI523" s="710"/>
      <c r="AJ523" s="710"/>
      <c r="AK523" s="710"/>
      <c r="AL523" s="710"/>
      <c r="AM523" s="710"/>
      <c r="AN523" s="710"/>
      <c r="AO523" s="710"/>
      <c r="AP523" s="710"/>
      <c r="AQ523" s="710"/>
      <c r="AR523" s="710"/>
      <c r="AS523" s="710"/>
      <c r="AT523" s="710"/>
      <c r="AU523" s="710"/>
      <c r="AV523" s="710"/>
      <c r="AW523" s="710"/>
      <c r="AX523" s="710"/>
      <c r="AY523" s="710"/>
    </row>
    <row r="524" spans="1:51" ht="27" customHeight="1" x14ac:dyDescent="0.25">
      <c r="A524" s="829"/>
      <c r="B524" s="710"/>
      <c r="C524" s="710"/>
      <c r="D524" s="408" t="s">
        <v>347</v>
      </c>
      <c r="E524" s="179"/>
      <c r="F524" s="180"/>
      <c r="G524" s="174"/>
      <c r="H524" s="174"/>
      <c r="I524" s="178">
        <v>1</v>
      </c>
      <c r="J524" s="410">
        <v>1</v>
      </c>
      <c r="K524" s="409">
        <v>1</v>
      </c>
      <c r="L524" s="410"/>
      <c r="M524" s="410"/>
      <c r="N524" s="410"/>
      <c r="O524" s="410"/>
      <c r="P524" s="410"/>
      <c r="Q524" s="410">
        <v>2</v>
      </c>
      <c r="R524" s="416">
        <v>4</v>
      </c>
      <c r="S524" s="420"/>
      <c r="T524" s="184"/>
      <c r="U524" s="184"/>
      <c r="V524" s="178">
        <v>1</v>
      </c>
      <c r="W524" s="416">
        <v>1</v>
      </c>
      <c r="X524" s="169">
        <v>1</v>
      </c>
      <c r="Y524" s="420"/>
      <c r="Z524" s="420"/>
      <c r="AA524" s="420"/>
      <c r="AB524" s="502"/>
      <c r="AC524" s="401"/>
      <c r="AD524" s="409">
        <v>2</v>
      </c>
      <c r="AE524" s="401">
        <v>4</v>
      </c>
      <c r="AF524" s="713"/>
      <c r="AG524" s="829"/>
      <c r="AH524" s="710"/>
      <c r="AI524" s="710"/>
      <c r="AJ524" s="710"/>
      <c r="AK524" s="710"/>
      <c r="AL524" s="710"/>
      <c r="AM524" s="710"/>
      <c r="AN524" s="710"/>
      <c r="AO524" s="710"/>
      <c r="AP524" s="710"/>
      <c r="AQ524" s="710"/>
      <c r="AR524" s="710"/>
      <c r="AS524" s="710"/>
      <c r="AT524" s="710"/>
      <c r="AU524" s="710"/>
      <c r="AV524" s="710"/>
      <c r="AW524" s="710"/>
      <c r="AX524" s="710"/>
      <c r="AY524" s="710"/>
    </row>
    <row r="525" spans="1:51" ht="27.75" customHeight="1" x14ac:dyDescent="0.25">
      <c r="A525" s="829"/>
      <c r="B525" s="710"/>
      <c r="C525" s="731"/>
      <c r="D525" s="412" t="s">
        <v>348</v>
      </c>
      <c r="E525" s="503"/>
      <c r="F525" s="188"/>
      <c r="G525" s="187"/>
      <c r="H525" s="187"/>
      <c r="I525" s="186" t="e">
        <f>+I524*$I$503/$I$502</f>
        <v>#REF!</v>
      </c>
      <c r="J525" s="450" t="e">
        <f>+J524*$J$503/$J$502</f>
        <v>#REF!</v>
      </c>
      <c r="K525" s="451"/>
      <c r="L525" s="452"/>
      <c r="M525" s="452"/>
      <c r="N525" s="498"/>
      <c r="O525" s="452"/>
      <c r="P525" s="452"/>
      <c r="Q525" s="450">
        <f>+Q524*$Q$503/$Q$502</f>
        <v>28577133.079999998</v>
      </c>
      <c r="R525" s="450">
        <f>+R524*$R$503/$R$502</f>
        <v>57154266.159999996</v>
      </c>
      <c r="S525" s="444"/>
      <c r="T525" s="173"/>
      <c r="U525" s="173"/>
      <c r="V525" s="186" t="e">
        <f>+V524*$V$503/$V$502</f>
        <v>#REF!</v>
      </c>
      <c r="W525" s="450" t="e">
        <f>+W524*$W$503/$W$502</f>
        <v>#REF!</v>
      </c>
      <c r="X525" s="444"/>
      <c r="Y525" s="444"/>
      <c r="Z525" s="444"/>
      <c r="AA525" s="445"/>
      <c r="AB525" s="472"/>
      <c r="AC525" s="501"/>
      <c r="AD525" s="449">
        <f>+AD524*$AD$503/$AD$502</f>
        <v>24754185.022222221</v>
      </c>
      <c r="AE525" s="449" t="e">
        <f>+AE524*$AE$503/$AE$502</f>
        <v>#VALUE!</v>
      </c>
      <c r="AF525" s="830"/>
      <c r="AG525" s="823"/>
      <c r="AH525" s="731"/>
      <c r="AI525" s="731"/>
      <c r="AJ525" s="731"/>
      <c r="AK525" s="731"/>
      <c r="AL525" s="731"/>
      <c r="AM525" s="731"/>
      <c r="AN525" s="731"/>
      <c r="AO525" s="731"/>
      <c r="AP525" s="731"/>
      <c r="AQ525" s="731"/>
      <c r="AR525" s="731"/>
      <c r="AS525" s="731"/>
      <c r="AT525" s="731"/>
      <c r="AU525" s="731"/>
      <c r="AV525" s="731"/>
      <c r="AW525" s="731"/>
      <c r="AX525" s="731"/>
      <c r="AY525" s="731"/>
    </row>
    <row r="526" spans="1:51" ht="18" hidden="1" customHeight="1" x14ac:dyDescent="0.25">
      <c r="A526" s="829"/>
      <c r="B526" s="710"/>
      <c r="C526" s="961" t="s">
        <v>604</v>
      </c>
      <c r="D526" s="413" t="s">
        <v>340</v>
      </c>
      <c r="E526" s="179"/>
      <c r="F526" s="180"/>
      <c r="G526" s="174"/>
      <c r="H526" s="174"/>
      <c r="I526" s="174"/>
      <c r="J526" s="410"/>
      <c r="K526" s="409"/>
      <c r="L526" s="410"/>
      <c r="M526" s="410"/>
      <c r="N526" s="410"/>
      <c r="O526" s="410"/>
      <c r="P526" s="410"/>
      <c r="Q526" s="410"/>
      <c r="R526" s="416"/>
      <c r="S526" s="444"/>
      <c r="T526" s="173"/>
      <c r="U526" s="173"/>
      <c r="V526" s="173"/>
      <c r="W526" s="442"/>
      <c r="X526" s="444"/>
      <c r="Y526" s="444"/>
      <c r="Z526" s="444"/>
      <c r="AA526" s="445"/>
      <c r="AB526" s="472"/>
      <c r="AC526" s="401"/>
      <c r="AD526" s="409"/>
      <c r="AE526" s="447"/>
      <c r="AF526" s="488"/>
      <c r="AG526" s="919" t="str">
        <f>+C526</f>
        <v>SAN CRISTOBAL</v>
      </c>
      <c r="AH526" s="813" t="s">
        <v>633</v>
      </c>
      <c r="AI526" s="813" t="s">
        <v>633</v>
      </c>
      <c r="AJ526" s="813" t="s">
        <v>633</v>
      </c>
      <c r="AK526" s="813" t="s">
        <v>457</v>
      </c>
      <c r="AL526" s="813"/>
      <c r="AM526" s="813" t="s">
        <v>1335</v>
      </c>
      <c r="AN526" s="931">
        <v>8185614</v>
      </c>
      <c r="AO526" s="910">
        <v>8185614</v>
      </c>
      <c r="AP526" s="910"/>
      <c r="AQ526" s="915" t="s">
        <v>459</v>
      </c>
      <c r="AR526" s="915" t="s">
        <v>459</v>
      </c>
      <c r="AS526" s="915" t="s">
        <v>459</v>
      </c>
      <c r="AT526" s="915" t="s">
        <v>459</v>
      </c>
      <c r="AU526" s="915" t="s">
        <v>459</v>
      </c>
      <c r="AV526" s="915" t="s">
        <v>459</v>
      </c>
      <c r="AW526" s="915" t="s">
        <v>459</v>
      </c>
      <c r="AX526" s="910">
        <v>8185614</v>
      </c>
      <c r="AY526" s="427"/>
    </row>
    <row r="527" spans="1:51" ht="18" hidden="1" customHeight="1" x14ac:dyDescent="0.25">
      <c r="A527" s="829"/>
      <c r="B527" s="710"/>
      <c r="C527" s="713"/>
      <c r="D527" s="404" t="s">
        <v>343</v>
      </c>
      <c r="E527" s="499"/>
      <c r="F527" s="189"/>
      <c r="G527" s="186"/>
      <c r="H527" s="186"/>
      <c r="I527" s="186"/>
      <c r="J527" s="450"/>
      <c r="K527" s="449"/>
      <c r="L527" s="450"/>
      <c r="M527" s="450"/>
      <c r="N527" s="490"/>
      <c r="O527" s="450"/>
      <c r="P527" s="450"/>
      <c r="Q527" s="450"/>
      <c r="R527" s="494"/>
      <c r="S527" s="163"/>
      <c r="T527" s="162"/>
      <c r="U527" s="162"/>
      <c r="V527" s="162"/>
      <c r="W527" s="491"/>
      <c r="X527" s="163"/>
      <c r="Y527" s="163"/>
      <c r="Z527" s="163"/>
      <c r="AA527" s="492"/>
      <c r="AB527" s="500"/>
      <c r="AC527" s="501"/>
      <c r="AD527" s="449"/>
      <c r="AE527" s="431"/>
      <c r="AF527" s="493"/>
      <c r="AG527" s="829"/>
      <c r="AH527" s="710"/>
      <c r="AI527" s="710"/>
      <c r="AJ527" s="710"/>
      <c r="AK527" s="710"/>
      <c r="AL527" s="710"/>
      <c r="AM527" s="710"/>
      <c r="AN527" s="710"/>
      <c r="AO527" s="710"/>
      <c r="AP527" s="710"/>
      <c r="AQ527" s="710"/>
      <c r="AR527" s="710"/>
      <c r="AS527" s="710"/>
      <c r="AT527" s="710"/>
      <c r="AU527" s="710"/>
      <c r="AV527" s="710"/>
      <c r="AW527" s="710"/>
      <c r="AX527" s="710"/>
      <c r="AY527" s="427"/>
    </row>
    <row r="528" spans="1:51" ht="27" hidden="1" customHeight="1" x14ac:dyDescent="0.25">
      <c r="A528" s="829"/>
      <c r="B528" s="710"/>
      <c r="C528" s="713"/>
      <c r="D528" s="408" t="s">
        <v>345</v>
      </c>
      <c r="E528" s="499"/>
      <c r="F528" s="189"/>
      <c r="G528" s="186"/>
      <c r="H528" s="186"/>
      <c r="I528" s="186"/>
      <c r="J528" s="450"/>
      <c r="K528" s="449"/>
      <c r="L528" s="450"/>
      <c r="M528" s="450"/>
      <c r="N528" s="490"/>
      <c r="O528" s="450"/>
      <c r="P528" s="450"/>
      <c r="Q528" s="450"/>
      <c r="R528" s="494"/>
      <c r="S528" s="163"/>
      <c r="T528" s="162"/>
      <c r="U528" s="162"/>
      <c r="V528" s="162"/>
      <c r="W528" s="491"/>
      <c r="X528" s="163"/>
      <c r="Y528" s="163"/>
      <c r="Z528" s="163"/>
      <c r="AA528" s="492"/>
      <c r="AB528" s="500"/>
      <c r="AC528" s="501"/>
      <c r="AD528" s="449"/>
      <c r="AE528" s="431"/>
      <c r="AF528" s="493"/>
      <c r="AG528" s="829"/>
      <c r="AH528" s="710"/>
      <c r="AI528" s="710"/>
      <c r="AJ528" s="710"/>
      <c r="AK528" s="710"/>
      <c r="AL528" s="710"/>
      <c r="AM528" s="710"/>
      <c r="AN528" s="710"/>
      <c r="AO528" s="710"/>
      <c r="AP528" s="710"/>
      <c r="AQ528" s="710"/>
      <c r="AR528" s="710"/>
      <c r="AS528" s="710"/>
      <c r="AT528" s="710"/>
      <c r="AU528" s="710"/>
      <c r="AV528" s="710"/>
      <c r="AW528" s="710"/>
      <c r="AX528" s="710"/>
      <c r="AY528" s="427"/>
    </row>
    <row r="529" spans="1:51" ht="27" hidden="1" customHeight="1" x14ac:dyDescent="0.25">
      <c r="A529" s="829"/>
      <c r="B529" s="710"/>
      <c r="C529" s="713"/>
      <c r="D529" s="404" t="s">
        <v>346</v>
      </c>
      <c r="E529" s="499"/>
      <c r="F529" s="189"/>
      <c r="G529" s="186"/>
      <c r="H529" s="186"/>
      <c r="I529" s="186"/>
      <c r="J529" s="450"/>
      <c r="K529" s="449"/>
      <c r="L529" s="450"/>
      <c r="M529" s="450"/>
      <c r="N529" s="490"/>
      <c r="O529" s="450"/>
      <c r="P529" s="450"/>
      <c r="Q529" s="450"/>
      <c r="R529" s="494"/>
      <c r="S529" s="163"/>
      <c r="T529" s="162"/>
      <c r="U529" s="162"/>
      <c r="V529" s="162"/>
      <c r="W529" s="491"/>
      <c r="X529" s="163"/>
      <c r="Y529" s="163"/>
      <c r="Z529" s="163"/>
      <c r="AA529" s="492"/>
      <c r="AB529" s="500"/>
      <c r="AC529" s="501"/>
      <c r="AD529" s="449"/>
      <c r="AE529" s="431"/>
      <c r="AF529" s="493"/>
      <c r="AG529" s="829"/>
      <c r="AH529" s="710"/>
      <c r="AI529" s="710"/>
      <c r="AJ529" s="710"/>
      <c r="AK529" s="710"/>
      <c r="AL529" s="710"/>
      <c r="AM529" s="710"/>
      <c r="AN529" s="710"/>
      <c r="AO529" s="710"/>
      <c r="AP529" s="710"/>
      <c r="AQ529" s="710"/>
      <c r="AR529" s="710"/>
      <c r="AS529" s="710"/>
      <c r="AT529" s="710"/>
      <c r="AU529" s="710"/>
      <c r="AV529" s="710"/>
      <c r="AW529" s="710"/>
      <c r="AX529" s="710"/>
      <c r="AY529" s="427"/>
    </row>
    <row r="530" spans="1:51" ht="27" hidden="1" customHeight="1" x14ac:dyDescent="0.25">
      <c r="A530" s="829"/>
      <c r="B530" s="710"/>
      <c r="C530" s="713"/>
      <c r="D530" s="408" t="s">
        <v>347</v>
      </c>
      <c r="E530" s="179"/>
      <c r="F530" s="180"/>
      <c r="G530" s="174"/>
      <c r="H530" s="174"/>
      <c r="I530" s="174"/>
      <c r="J530" s="410"/>
      <c r="K530" s="409"/>
      <c r="L530" s="410"/>
      <c r="M530" s="410"/>
      <c r="N530" s="410"/>
      <c r="O530" s="410"/>
      <c r="P530" s="410"/>
      <c r="Q530" s="410"/>
      <c r="R530" s="416"/>
      <c r="S530" s="420"/>
      <c r="T530" s="184"/>
      <c r="U530" s="184"/>
      <c r="V530" s="184"/>
      <c r="W530" s="416"/>
      <c r="X530" s="420"/>
      <c r="Y530" s="420"/>
      <c r="Z530" s="420"/>
      <c r="AA530" s="420"/>
      <c r="AB530" s="502"/>
      <c r="AC530" s="401"/>
      <c r="AD530" s="409"/>
      <c r="AE530" s="401"/>
      <c r="AF530" s="496"/>
      <c r="AG530" s="829"/>
      <c r="AH530" s="710"/>
      <c r="AI530" s="710"/>
      <c r="AJ530" s="710"/>
      <c r="AK530" s="710"/>
      <c r="AL530" s="710"/>
      <c r="AM530" s="710"/>
      <c r="AN530" s="710"/>
      <c r="AO530" s="710"/>
      <c r="AP530" s="710"/>
      <c r="AQ530" s="710"/>
      <c r="AR530" s="710"/>
      <c r="AS530" s="710"/>
      <c r="AT530" s="710"/>
      <c r="AU530" s="710"/>
      <c r="AV530" s="710"/>
      <c r="AW530" s="710"/>
      <c r="AX530" s="710"/>
      <c r="AY530" s="427"/>
    </row>
    <row r="531" spans="1:51" ht="27.75" hidden="1" customHeight="1" x14ac:dyDescent="0.25">
      <c r="A531" s="829"/>
      <c r="B531" s="710"/>
      <c r="C531" s="830"/>
      <c r="D531" s="412" t="s">
        <v>348</v>
      </c>
      <c r="E531" s="503"/>
      <c r="F531" s="188"/>
      <c r="G531" s="187"/>
      <c r="H531" s="187"/>
      <c r="I531" s="187"/>
      <c r="J531" s="452"/>
      <c r="K531" s="451"/>
      <c r="L531" s="452"/>
      <c r="M531" s="452"/>
      <c r="N531" s="498"/>
      <c r="O531" s="452"/>
      <c r="P531" s="452"/>
      <c r="Q531" s="452"/>
      <c r="R531" s="442"/>
      <c r="S531" s="444"/>
      <c r="T531" s="173"/>
      <c r="U531" s="173"/>
      <c r="V531" s="173"/>
      <c r="W531" s="442"/>
      <c r="X531" s="444"/>
      <c r="Y531" s="444"/>
      <c r="Z531" s="444"/>
      <c r="AA531" s="445"/>
      <c r="AB531" s="472"/>
      <c r="AC531" s="501"/>
      <c r="AD531" s="451"/>
      <c r="AE531" s="447"/>
      <c r="AF531" s="488"/>
      <c r="AG531" s="823"/>
      <c r="AH531" s="731"/>
      <c r="AI531" s="731"/>
      <c r="AJ531" s="731"/>
      <c r="AK531" s="731"/>
      <c r="AL531" s="731"/>
      <c r="AM531" s="731"/>
      <c r="AN531" s="731"/>
      <c r="AO531" s="731"/>
      <c r="AP531" s="731"/>
      <c r="AQ531" s="731"/>
      <c r="AR531" s="731"/>
      <c r="AS531" s="731"/>
      <c r="AT531" s="731"/>
      <c r="AU531" s="731"/>
      <c r="AV531" s="731"/>
      <c r="AW531" s="731"/>
      <c r="AX531" s="731"/>
      <c r="AY531" s="427"/>
    </row>
    <row r="532" spans="1:51" ht="18" hidden="1" customHeight="1" x14ac:dyDescent="0.25">
      <c r="A532" s="829"/>
      <c r="B532" s="710"/>
      <c r="C532" s="813" t="s">
        <v>682</v>
      </c>
      <c r="D532" s="413" t="s">
        <v>340</v>
      </c>
      <c r="E532" s="179"/>
      <c r="F532" s="180"/>
      <c r="G532" s="174"/>
      <c r="H532" s="174"/>
      <c r="I532" s="174"/>
      <c r="J532" s="410"/>
      <c r="K532" s="409"/>
      <c r="L532" s="410"/>
      <c r="M532" s="410"/>
      <c r="N532" s="410"/>
      <c r="O532" s="410"/>
      <c r="P532" s="452">
        <v>1</v>
      </c>
      <c r="Q532" s="410">
        <v>1</v>
      </c>
      <c r="R532" s="416">
        <v>1</v>
      </c>
      <c r="S532" s="444"/>
      <c r="T532" s="173"/>
      <c r="U532" s="173"/>
      <c r="V532" s="173"/>
      <c r="W532" s="442"/>
      <c r="X532" s="444"/>
      <c r="Y532" s="444"/>
      <c r="Z532" s="444"/>
      <c r="AA532" s="445"/>
      <c r="AB532" s="472"/>
      <c r="AC532" s="401">
        <v>1</v>
      </c>
      <c r="AD532" s="409">
        <v>1</v>
      </c>
      <c r="AE532" s="504">
        <v>1</v>
      </c>
      <c r="AF532" s="488"/>
      <c r="AG532" s="919" t="str">
        <f>+C532</f>
        <v>USME</v>
      </c>
      <c r="AH532" s="813" t="s">
        <v>633</v>
      </c>
      <c r="AI532" s="813" t="s">
        <v>633</v>
      </c>
      <c r="AJ532" s="813" t="s">
        <v>633</v>
      </c>
      <c r="AK532" s="813" t="s">
        <v>457</v>
      </c>
      <c r="AL532" s="813" t="s">
        <v>1346</v>
      </c>
      <c r="AM532" s="813" t="s">
        <v>1335</v>
      </c>
      <c r="AN532" s="931">
        <v>372602.406877751</v>
      </c>
      <c r="AO532" s="910">
        <v>181364.039519977</v>
      </c>
      <c r="AP532" s="910">
        <v>191238.36735777499</v>
      </c>
      <c r="AQ532" s="915" t="s">
        <v>459</v>
      </c>
      <c r="AR532" s="915" t="s">
        <v>459</v>
      </c>
      <c r="AS532" s="915" t="s">
        <v>459</v>
      </c>
      <c r="AT532" s="915" t="s">
        <v>459</v>
      </c>
      <c r="AU532" s="915" t="s">
        <v>459</v>
      </c>
      <c r="AV532" s="915" t="s">
        <v>459</v>
      </c>
      <c r="AW532" s="915" t="s">
        <v>459</v>
      </c>
      <c r="AX532" s="910">
        <v>8185614</v>
      </c>
      <c r="AY532" s="932" t="s">
        <v>1336</v>
      </c>
    </row>
    <row r="533" spans="1:51" ht="18" hidden="1" customHeight="1" x14ac:dyDescent="0.25">
      <c r="A533" s="829"/>
      <c r="B533" s="710"/>
      <c r="C533" s="710"/>
      <c r="D533" s="404" t="s">
        <v>343</v>
      </c>
      <c r="E533" s="499"/>
      <c r="F533" s="189"/>
      <c r="G533" s="186"/>
      <c r="H533" s="186"/>
      <c r="I533" s="186"/>
      <c r="J533" s="450"/>
      <c r="K533" s="449"/>
      <c r="L533" s="450"/>
      <c r="M533" s="450"/>
      <c r="N533" s="490"/>
      <c r="O533" s="450"/>
      <c r="P533" s="450">
        <f>+P532*$P$503/$P$502</f>
        <v>14688566.539999999</v>
      </c>
      <c r="Q533" s="450">
        <f>+Q532*$Q$503/$Q$502</f>
        <v>14288566.539999999</v>
      </c>
      <c r="R533" s="450">
        <f>+R532*$R$503/$R$502</f>
        <v>14288566.539999999</v>
      </c>
      <c r="S533" s="163"/>
      <c r="T533" s="162"/>
      <c r="U533" s="162"/>
      <c r="V533" s="162"/>
      <c r="W533" s="491"/>
      <c r="X533" s="163"/>
      <c r="Y533" s="163"/>
      <c r="Z533" s="163"/>
      <c r="AA533" s="492"/>
      <c r="AB533" s="500"/>
      <c r="AC533" s="449">
        <f>+AC532*$AC$503/$AC$502</f>
        <v>17733966.666666668</v>
      </c>
      <c r="AD533" s="449">
        <f>+AD532*$AD$503/$AD$502</f>
        <v>12377092.51111111</v>
      </c>
      <c r="AE533" s="449" t="e">
        <f>+AE532*$AE$503/$AE$502</f>
        <v>#VALUE!</v>
      </c>
      <c r="AF533" s="493"/>
      <c r="AG533" s="829"/>
      <c r="AH533" s="710"/>
      <c r="AI533" s="710"/>
      <c r="AJ533" s="710"/>
      <c r="AK533" s="710"/>
      <c r="AL533" s="710"/>
      <c r="AM533" s="710"/>
      <c r="AN533" s="710"/>
      <c r="AO533" s="710"/>
      <c r="AP533" s="710"/>
      <c r="AQ533" s="710"/>
      <c r="AR533" s="710"/>
      <c r="AS533" s="710"/>
      <c r="AT533" s="710"/>
      <c r="AU533" s="710"/>
      <c r="AV533" s="710"/>
      <c r="AW533" s="710"/>
      <c r="AX533" s="710"/>
      <c r="AY533" s="710"/>
    </row>
    <row r="534" spans="1:51" ht="27" hidden="1" customHeight="1" x14ac:dyDescent="0.25">
      <c r="A534" s="829"/>
      <c r="B534" s="710"/>
      <c r="C534" s="710"/>
      <c r="D534" s="408" t="s">
        <v>345</v>
      </c>
      <c r="E534" s="499"/>
      <c r="F534" s="189"/>
      <c r="G534" s="186"/>
      <c r="H534" s="186"/>
      <c r="I534" s="186"/>
      <c r="J534" s="450"/>
      <c r="K534" s="449"/>
      <c r="L534" s="450"/>
      <c r="M534" s="450"/>
      <c r="N534" s="490"/>
      <c r="O534" s="450"/>
      <c r="P534" s="452"/>
      <c r="Q534" s="450"/>
      <c r="R534" s="494"/>
      <c r="S534" s="163"/>
      <c r="T534" s="162"/>
      <c r="U534" s="162"/>
      <c r="V534" s="162"/>
      <c r="W534" s="491"/>
      <c r="X534" s="163"/>
      <c r="Y534" s="163"/>
      <c r="Z534" s="163"/>
      <c r="AA534" s="492"/>
      <c r="AB534" s="500"/>
      <c r="AC534" s="501"/>
      <c r="AD534" s="449"/>
      <c r="AE534" s="431"/>
      <c r="AF534" s="493"/>
      <c r="AG534" s="829"/>
      <c r="AH534" s="710"/>
      <c r="AI534" s="710"/>
      <c r="AJ534" s="710"/>
      <c r="AK534" s="710"/>
      <c r="AL534" s="710"/>
      <c r="AM534" s="710"/>
      <c r="AN534" s="710"/>
      <c r="AO534" s="710"/>
      <c r="AP534" s="710"/>
      <c r="AQ534" s="710"/>
      <c r="AR534" s="710"/>
      <c r="AS534" s="710"/>
      <c r="AT534" s="710"/>
      <c r="AU534" s="710"/>
      <c r="AV534" s="710"/>
      <c r="AW534" s="710"/>
      <c r="AX534" s="710"/>
      <c r="AY534" s="710"/>
    </row>
    <row r="535" spans="1:51" ht="27" hidden="1" customHeight="1" x14ac:dyDescent="0.25">
      <c r="A535" s="829"/>
      <c r="B535" s="710"/>
      <c r="C535" s="710"/>
      <c r="D535" s="404" t="s">
        <v>346</v>
      </c>
      <c r="E535" s="499"/>
      <c r="F535" s="189"/>
      <c r="G535" s="186"/>
      <c r="H535" s="186"/>
      <c r="I535" s="186"/>
      <c r="J535" s="450"/>
      <c r="K535" s="449"/>
      <c r="L535" s="450"/>
      <c r="M535" s="450"/>
      <c r="N535" s="490"/>
      <c r="O535" s="450"/>
      <c r="P535" s="452"/>
      <c r="Q535" s="450"/>
      <c r="R535" s="494"/>
      <c r="S535" s="163"/>
      <c r="T535" s="162"/>
      <c r="U535" s="162"/>
      <c r="V535" s="162"/>
      <c r="W535" s="491"/>
      <c r="X535" s="163"/>
      <c r="Y535" s="163"/>
      <c r="Z535" s="163"/>
      <c r="AA535" s="492"/>
      <c r="AB535" s="500"/>
      <c r="AC535" s="501"/>
      <c r="AD535" s="449"/>
      <c r="AE535" s="431"/>
      <c r="AF535" s="493"/>
      <c r="AG535" s="829"/>
      <c r="AH535" s="710"/>
      <c r="AI535" s="710"/>
      <c r="AJ535" s="710"/>
      <c r="AK535" s="710"/>
      <c r="AL535" s="710"/>
      <c r="AM535" s="710"/>
      <c r="AN535" s="710"/>
      <c r="AO535" s="710"/>
      <c r="AP535" s="710"/>
      <c r="AQ535" s="710"/>
      <c r="AR535" s="710"/>
      <c r="AS535" s="710"/>
      <c r="AT535" s="710"/>
      <c r="AU535" s="710"/>
      <c r="AV535" s="710"/>
      <c r="AW535" s="710"/>
      <c r="AX535" s="710"/>
      <c r="AY535" s="710"/>
    </row>
    <row r="536" spans="1:51" ht="27" hidden="1" customHeight="1" x14ac:dyDescent="0.25">
      <c r="A536" s="829"/>
      <c r="B536" s="710"/>
      <c r="C536" s="710"/>
      <c r="D536" s="408" t="s">
        <v>347</v>
      </c>
      <c r="E536" s="179"/>
      <c r="F536" s="180"/>
      <c r="G536" s="174"/>
      <c r="H536" s="174"/>
      <c r="I536" s="174"/>
      <c r="J536" s="410"/>
      <c r="K536" s="409"/>
      <c r="L536" s="410"/>
      <c r="M536" s="410"/>
      <c r="N536" s="410"/>
      <c r="O536" s="410"/>
      <c r="P536" s="452">
        <v>1</v>
      </c>
      <c r="Q536" s="410">
        <v>1</v>
      </c>
      <c r="R536" s="416">
        <v>1</v>
      </c>
      <c r="S536" s="420"/>
      <c r="T536" s="184"/>
      <c r="U536" s="184"/>
      <c r="V536" s="184"/>
      <c r="W536" s="416"/>
      <c r="X536" s="420"/>
      <c r="Y536" s="420"/>
      <c r="Z536" s="420"/>
      <c r="AA536" s="420"/>
      <c r="AB536" s="502"/>
      <c r="AC536" s="401">
        <v>1</v>
      </c>
      <c r="AD536" s="409">
        <v>1</v>
      </c>
      <c r="AE536" s="401">
        <v>1</v>
      </c>
      <c r="AF536" s="496"/>
      <c r="AG536" s="829"/>
      <c r="AH536" s="710"/>
      <c r="AI536" s="710"/>
      <c r="AJ536" s="710"/>
      <c r="AK536" s="710"/>
      <c r="AL536" s="710"/>
      <c r="AM536" s="710"/>
      <c r="AN536" s="710"/>
      <c r="AO536" s="710"/>
      <c r="AP536" s="710"/>
      <c r="AQ536" s="710"/>
      <c r="AR536" s="710"/>
      <c r="AS536" s="710"/>
      <c r="AT536" s="710"/>
      <c r="AU536" s="710"/>
      <c r="AV536" s="710"/>
      <c r="AW536" s="710"/>
      <c r="AX536" s="710"/>
      <c r="AY536" s="710"/>
    </row>
    <row r="537" spans="1:51" ht="27.75" hidden="1" customHeight="1" x14ac:dyDescent="0.25">
      <c r="A537" s="829"/>
      <c r="B537" s="710"/>
      <c r="C537" s="731"/>
      <c r="D537" s="412" t="s">
        <v>348</v>
      </c>
      <c r="E537" s="503"/>
      <c r="F537" s="188"/>
      <c r="G537" s="187"/>
      <c r="H537" s="187"/>
      <c r="I537" s="187"/>
      <c r="J537" s="452"/>
      <c r="K537" s="451"/>
      <c r="L537" s="452"/>
      <c r="M537" s="452"/>
      <c r="N537" s="498"/>
      <c r="O537" s="452"/>
      <c r="P537" s="450">
        <f>+P536*$P$503/$P$502</f>
        <v>14688566.539999999</v>
      </c>
      <c r="Q537" s="450">
        <f>+Q536*$Q$503/$Q$502</f>
        <v>14288566.539999999</v>
      </c>
      <c r="R537" s="450">
        <f>+R536*$R$503/$R$502</f>
        <v>14288566.539999999</v>
      </c>
      <c r="S537" s="444"/>
      <c r="T537" s="173"/>
      <c r="U537" s="173"/>
      <c r="V537" s="173"/>
      <c r="W537" s="442"/>
      <c r="X537" s="444"/>
      <c r="Y537" s="444"/>
      <c r="Z537" s="444"/>
      <c r="AA537" s="445"/>
      <c r="AB537" s="472"/>
      <c r="AC537" s="449">
        <f>+AC536*$AC$503/$AC$502</f>
        <v>17733966.666666668</v>
      </c>
      <c r="AD537" s="449">
        <f>+AD536*$AD$503/$AD$502</f>
        <v>12377092.51111111</v>
      </c>
      <c r="AE537" s="449" t="e">
        <f>+AE536*$AE$503/$AE$502</f>
        <v>#VALUE!</v>
      </c>
      <c r="AF537" s="488"/>
      <c r="AG537" s="823"/>
      <c r="AH537" s="731"/>
      <c r="AI537" s="731"/>
      <c r="AJ537" s="731"/>
      <c r="AK537" s="731"/>
      <c r="AL537" s="731"/>
      <c r="AM537" s="731"/>
      <c r="AN537" s="731"/>
      <c r="AO537" s="731"/>
      <c r="AP537" s="731"/>
      <c r="AQ537" s="731"/>
      <c r="AR537" s="731"/>
      <c r="AS537" s="731"/>
      <c r="AT537" s="731"/>
      <c r="AU537" s="731"/>
      <c r="AV537" s="731"/>
      <c r="AW537" s="731"/>
      <c r="AX537" s="731"/>
      <c r="AY537" s="731"/>
    </row>
    <row r="538" spans="1:51" ht="18" customHeight="1" x14ac:dyDescent="0.25">
      <c r="A538" s="829"/>
      <c r="B538" s="710"/>
      <c r="C538" s="961" t="s">
        <v>646</v>
      </c>
      <c r="D538" s="413" t="s">
        <v>340</v>
      </c>
      <c r="E538" s="179"/>
      <c r="F538" s="180"/>
      <c r="G538" s="178">
        <v>3</v>
      </c>
      <c r="H538" s="178">
        <v>3</v>
      </c>
      <c r="I538" s="178">
        <v>4</v>
      </c>
      <c r="J538" s="410">
        <v>4</v>
      </c>
      <c r="K538" s="409">
        <v>5</v>
      </c>
      <c r="L538" s="410"/>
      <c r="M538" s="410"/>
      <c r="N538" s="410"/>
      <c r="O538" s="410"/>
      <c r="P538" s="410">
        <v>4</v>
      </c>
      <c r="Q538" s="410">
        <v>3</v>
      </c>
      <c r="R538" s="416">
        <v>3</v>
      </c>
      <c r="S538" s="444"/>
      <c r="T538" s="178">
        <v>3</v>
      </c>
      <c r="U538" s="178">
        <v>3</v>
      </c>
      <c r="V538" s="178">
        <v>4</v>
      </c>
      <c r="W538" s="442">
        <v>4</v>
      </c>
      <c r="X538" s="505">
        <v>5</v>
      </c>
      <c r="Y538" s="444"/>
      <c r="Z538" s="444"/>
      <c r="AA538" s="445"/>
      <c r="AB538" s="472"/>
      <c r="AC538" s="401">
        <v>4</v>
      </c>
      <c r="AD538" s="409">
        <v>3</v>
      </c>
      <c r="AE538" s="447">
        <v>3</v>
      </c>
      <c r="AF538" s="936" t="s">
        <v>1347</v>
      </c>
      <c r="AG538" s="937" t="str">
        <f>+C538</f>
        <v>TUNJUELITO</v>
      </c>
      <c r="AH538" s="938" t="s">
        <v>523</v>
      </c>
      <c r="AI538" s="938" t="s">
        <v>1348</v>
      </c>
      <c r="AJ538" s="935" t="s">
        <v>1340</v>
      </c>
      <c r="AK538" s="813" t="s">
        <v>457</v>
      </c>
      <c r="AL538" s="813" t="s">
        <v>610</v>
      </c>
      <c r="AM538" s="813" t="s">
        <v>1335</v>
      </c>
      <c r="AN538" s="931">
        <v>181170</v>
      </c>
      <c r="AO538" s="910">
        <v>87610</v>
      </c>
      <c r="AP538" s="910">
        <v>93559</v>
      </c>
      <c r="AQ538" s="915" t="s">
        <v>459</v>
      </c>
      <c r="AR538" s="915" t="s">
        <v>459</v>
      </c>
      <c r="AS538" s="915" t="s">
        <v>459</v>
      </c>
      <c r="AT538" s="915" t="s">
        <v>459</v>
      </c>
      <c r="AU538" s="915" t="s">
        <v>459</v>
      </c>
      <c r="AV538" s="915" t="s">
        <v>459</v>
      </c>
      <c r="AW538" s="915" t="s">
        <v>459</v>
      </c>
      <c r="AX538" s="910">
        <v>181170</v>
      </c>
      <c r="AY538" s="940" t="s">
        <v>1349</v>
      </c>
    </row>
    <row r="539" spans="1:51" ht="18" customHeight="1" x14ac:dyDescent="0.25">
      <c r="A539" s="829"/>
      <c r="B539" s="710"/>
      <c r="C539" s="713"/>
      <c r="D539" s="404" t="s">
        <v>343</v>
      </c>
      <c r="E539" s="499"/>
      <c r="F539" s="189"/>
      <c r="G539" s="186">
        <f>+G538*$G$503/$G$502</f>
        <v>13113525</v>
      </c>
      <c r="H539" s="186">
        <f>+H538*$H$503/$H$502</f>
        <v>13113525</v>
      </c>
      <c r="I539" s="186" t="e">
        <f>+I538*$I$503/$I$502</f>
        <v>#REF!</v>
      </c>
      <c r="J539" s="450" t="e">
        <f>+J538*$J$503/$J$502</f>
        <v>#REF!</v>
      </c>
      <c r="K539" s="449"/>
      <c r="L539" s="450"/>
      <c r="M539" s="450"/>
      <c r="N539" s="490"/>
      <c r="O539" s="450"/>
      <c r="P539" s="450">
        <f>+P538*$P$503/$P$502</f>
        <v>58754266.159999996</v>
      </c>
      <c r="Q539" s="450">
        <f>+Q538*$Q$503/$Q$502</f>
        <v>42865699.619999997</v>
      </c>
      <c r="R539" s="450">
        <f>+R538*$R$503/$R$502</f>
        <v>42865699.619999997</v>
      </c>
      <c r="S539" s="163"/>
      <c r="T539" s="186"/>
      <c r="U539" s="186">
        <f>+U538*$U$503/$U$502</f>
        <v>4601700</v>
      </c>
      <c r="V539" s="186" t="e">
        <f>+V538*$V$503/$V$502</f>
        <v>#REF!</v>
      </c>
      <c r="W539" s="450" t="e">
        <f>+W538*$W$503/$W$502</f>
        <v>#REF!</v>
      </c>
      <c r="X539" s="163"/>
      <c r="Y539" s="163"/>
      <c r="Z539" s="163"/>
      <c r="AA539" s="492"/>
      <c r="AB539" s="500"/>
      <c r="AC539" s="449">
        <f>+AC538*$AC$503/$AC$502</f>
        <v>70935866.666666672</v>
      </c>
      <c r="AD539" s="449">
        <f>+AD538*$AD$503/$AD$502</f>
        <v>37131277.533333331</v>
      </c>
      <c r="AE539" s="449" t="e">
        <f>+AE538*$AE$503/$AE$502</f>
        <v>#VALUE!</v>
      </c>
      <c r="AF539" s="713"/>
      <c r="AG539" s="829"/>
      <c r="AH539" s="710"/>
      <c r="AI539" s="710"/>
      <c r="AJ539" s="710"/>
      <c r="AK539" s="710"/>
      <c r="AL539" s="710"/>
      <c r="AM539" s="710"/>
      <c r="AN539" s="710"/>
      <c r="AO539" s="710"/>
      <c r="AP539" s="710"/>
      <c r="AQ539" s="710"/>
      <c r="AR539" s="710"/>
      <c r="AS539" s="710"/>
      <c r="AT539" s="710"/>
      <c r="AU539" s="710"/>
      <c r="AV539" s="710"/>
      <c r="AW539" s="710"/>
      <c r="AX539" s="710"/>
      <c r="AY539" s="710"/>
    </row>
    <row r="540" spans="1:51" ht="27" customHeight="1" x14ac:dyDescent="0.25">
      <c r="A540" s="829"/>
      <c r="B540" s="710"/>
      <c r="C540" s="713"/>
      <c r="D540" s="408" t="s">
        <v>345</v>
      </c>
      <c r="E540" s="499"/>
      <c r="F540" s="189"/>
      <c r="G540" s="186"/>
      <c r="H540" s="186"/>
      <c r="I540" s="186"/>
      <c r="J540" s="450"/>
      <c r="K540" s="449"/>
      <c r="L540" s="450"/>
      <c r="M540" s="450"/>
      <c r="N540" s="490"/>
      <c r="O540" s="450"/>
      <c r="P540" s="450"/>
      <c r="Q540" s="450"/>
      <c r="R540" s="494"/>
      <c r="S540" s="163"/>
      <c r="T540" s="186"/>
      <c r="U540" s="186"/>
      <c r="V540" s="186"/>
      <c r="W540" s="491"/>
      <c r="X540" s="163"/>
      <c r="Y540" s="163"/>
      <c r="Z540" s="163"/>
      <c r="AA540" s="492"/>
      <c r="AB540" s="500"/>
      <c r="AC540" s="501"/>
      <c r="AD540" s="449"/>
      <c r="AE540" s="431"/>
      <c r="AF540" s="713"/>
      <c r="AG540" s="829"/>
      <c r="AH540" s="710"/>
      <c r="AI540" s="710"/>
      <c r="AJ540" s="710"/>
      <c r="AK540" s="710"/>
      <c r="AL540" s="710"/>
      <c r="AM540" s="710"/>
      <c r="AN540" s="710"/>
      <c r="AO540" s="710"/>
      <c r="AP540" s="710"/>
      <c r="AQ540" s="710"/>
      <c r="AR540" s="710"/>
      <c r="AS540" s="710"/>
      <c r="AT540" s="710"/>
      <c r="AU540" s="710"/>
      <c r="AV540" s="710"/>
      <c r="AW540" s="710"/>
      <c r="AX540" s="710"/>
      <c r="AY540" s="710"/>
    </row>
    <row r="541" spans="1:51" ht="27" customHeight="1" x14ac:dyDescent="0.25">
      <c r="A541" s="829"/>
      <c r="B541" s="710"/>
      <c r="C541" s="713"/>
      <c r="D541" s="404" t="s">
        <v>346</v>
      </c>
      <c r="E541" s="499"/>
      <c r="F541" s="189"/>
      <c r="G541" s="186"/>
      <c r="H541" s="186">
        <f>+$U$505/11</f>
        <v>7723875.0909090908</v>
      </c>
      <c r="I541" s="186"/>
      <c r="J541" s="450"/>
      <c r="K541" s="449"/>
      <c r="L541" s="450"/>
      <c r="M541" s="450"/>
      <c r="N541" s="490"/>
      <c r="O541" s="450"/>
      <c r="P541" s="450"/>
      <c r="Q541" s="450"/>
      <c r="R541" s="494"/>
      <c r="S541" s="163"/>
      <c r="T541" s="186">
        <f>+T538*$T$505/$T$502</f>
        <v>5276561.25</v>
      </c>
      <c r="U541" s="186">
        <f>+$U$505/11</f>
        <v>7723875.0909090908</v>
      </c>
      <c r="V541" s="186"/>
      <c r="W541" s="491"/>
      <c r="X541" s="163"/>
      <c r="Y541" s="163"/>
      <c r="Z541" s="163"/>
      <c r="AA541" s="492"/>
      <c r="AB541" s="500"/>
      <c r="AC541" s="501"/>
      <c r="AD541" s="449"/>
      <c r="AE541" s="431"/>
      <c r="AF541" s="713"/>
      <c r="AG541" s="829"/>
      <c r="AH541" s="710"/>
      <c r="AI541" s="710"/>
      <c r="AJ541" s="710"/>
      <c r="AK541" s="710"/>
      <c r="AL541" s="710"/>
      <c r="AM541" s="710"/>
      <c r="AN541" s="710"/>
      <c r="AO541" s="710"/>
      <c r="AP541" s="710"/>
      <c r="AQ541" s="710"/>
      <c r="AR541" s="710"/>
      <c r="AS541" s="710"/>
      <c r="AT541" s="710"/>
      <c r="AU541" s="710"/>
      <c r="AV541" s="710"/>
      <c r="AW541" s="710"/>
      <c r="AX541" s="710"/>
      <c r="AY541" s="710"/>
    </row>
    <row r="542" spans="1:51" ht="27" customHeight="1" x14ac:dyDescent="0.25">
      <c r="A542" s="829"/>
      <c r="B542" s="710"/>
      <c r="C542" s="713"/>
      <c r="D542" s="408" t="s">
        <v>347</v>
      </c>
      <c r="E542" s="179"/>
      <c r="F542" s="180"/>
      <c r="G542" s="178">
        <v>3</v>
      </c>
      <c r="H542" s="178">
        <v>3</v>
      </c>
      <c r="I542" s="178">
        <v>4</v>
      </c>
      <c r="J542" s="410">
        <v>4</v>
      </c>
      <c r="K542" s="409">
        <v>5</v>
      </c>
      <c r="L542" s="410"/>
      <c r="M542" s="410"/>
      <c r="N542" s="410"/>
      <c r="O542" s="410"/>
      <c r="P542" s="410">
        <v>4</v>
      </c>
      <c r="Q542" s="410">
        <v>3</v>
      </c>
      <c r="R542" s="416">
        <v>3</v>
      </c>
      <c r="S542" s="420"/>
      <c r="T542" s="178">
        <v>3</v>
      </c>
      <c r="U542" s="178">
        <v>3</v>
      </c>
      <c r="V542" s="178">
        <v>4</v>
      </c>
      <c r="W542" s="416">
        <v>4</v>
      </c>
      <c r="X542" s="486">
        <v>5</v>
      </c>
      <c r="Y542" s="420"/>
      <c r="Z542" s="420"/>
      <c r="AA542" s="420"/>
      <c r="AB542" s="502"/>
      <c r="AC542" s="401">
        <v>4</v>
      </c>
      <c r="AD542" s="409">
        <v>3</v>
      </c>
      <c r="AE542" s="401">
        <v>3</v>
      </c>
      <c r="AF542" s="713"/>
      <c r="AG542" s="829"/>
      <c r="AH542" s="710"/>
      <c r="AI542" s="710"/>
      <c r="AJ542" s="710"/>
      <c r="AK542" s="710"/>
      <c r="AL542" s="710"/>
      <c r="AM542" s="710"/>
      <c r="AN542" s="710"/>
      <c r="AO542" s="710"/>
      <c r="AP542" s="710"/>
      <c r="AQ542" s="710"/>
      <c r="AR542" s="710"/>
      <c r="AS542" s="710"/>
      <c r="AT542" s="710"/>
      <c r="AU542" s="710"/>
      <c r="AV542" s="710"/>
      <c r="AW542" s="710"/>
      <c r="AX542" s="710"/>
      <c r="AY542" s="710"/>
    </row>
    <row r="543" spans="1:51" ht="27.75" customHeight="1" x14ac:dyDescent="0.25">
      <c r="A543" s="829"/>
      <c r="B543" s="710"/>
      <c r="C543" s="830"/>
      <c r="D543" s="412" t="s">
        <v>348</v>
      </c>
      <c r="E543" s="503"/>
      <c r="F543" s="188"/>
      <c r="G543" s="186">
        <f>+G542*$G$503/$G$502</f>
        <v>13113525</v>
      </c>
      <c r="H543" s="186">
        <f>+H542*$H$503/$H$502</f>
        <v>13113525</v>
      </c>
      <c r="I543" s="186" t="e">
        <f>+I542*$I$503/$I$502</f>
        <v>#REF!</v>
      </c>
      <c r="J543" s="450" t="e">
        <f>+J542*$J$503/$J$502</f>
        <v>#REF!</v>
      </c>
      <c r="K543" s="451"/>
      <c r="L543" s="452"/>
      <c r="M543" s="452"/>
      <c r="N543" s="498"/>
      <c r="O543" s="452"/>
      <c r="P543" s="450">
        <f>+P542*$P$503/$P$502</f>
        <v>58754266.159999996</v>
      </c>
      <c r="Q543" s="450">
        <f>+Q542*$Q$503/$Q$502</f>
        <v>42865699.619999997</v>
      </c>
      <c r="R543" s="450">
        <f>+R542*$R$503/$R$502</f>
        <v>42865699.619999997</v>
      </c>
      <c r="S543" s="444"/>
      <c r="T543" s="187"/>
      <c r="U543" s="186">
        <f>+U542*$U$503/$U$502</f>
        <v>4601700</v>
      </c>
      <c r="V543" s="186" t="e">
        <f>+V542*$V$503/$V$502</f>
        <v>#REF!</v>
      </c>
      <c r="W543" s="450" t="e">
        <f>+W542*$W$503/$W$502</f>
        <v>#REF!</v>
      </c>
      <c r="X543" s="444"/>
      <c r="Y543" s="444"/>
      <c r="Z543" s="444"/>
      <c r="AA543" s="445"/>
      <c r="AB543" s="472"/>
      <c r="AC543" s="449">
        <f>+AC542*$AC$503/$AC$502</f>
        <v>70935866.666666672</v>
      </c>
      <c r="AD543" s="449">
        <f>+AD542*$AD$503/$AD$502</f>
        <v>37131277.533333331</v>
      </c>
      <c r="AE543" s="449" t="e">
        <f>+AE542*$AE$503/$AE$502</f>
        <v>#VALUE!</v>
      </c>
      <c r="AF543" s="830"/>
      <c r="AG543" s="823"/>
      <c r="AH543" s="731"/>
      <c r="AI543" s="731"/>
      <c r="AJ543" s="731"/>
      <c r="AK543" s="731"/>
      <c r="AL543" s="731"/>
      <c r="AM543" s="731"/>
      <c r="AN543" s="731"/>
      <c r="AO543" s="731"/>
      <c r="AP543" s="731"/>
      <c r="AQ543" s="731"/>
      <c r="AR543" s="731"/>
      <c r="AS543" s="731"/>
      <c r="AT543" s="731"/>
      <c r="AU543" s="731"/>
      <c r="AV543" s="731"/>
      <c r="AW543" s="731"/>
      <c r="AX543" s="731"/>
      <c r="AY543" s="731"/>
    </row>
    <row r="544" spans="1:51" ht="18" hidden="1" customHeight="1" x14ac:dyDescent="0.25">
      <c r="A544" s="829"/>
      <c r="B544" s="710"/>
      <c r="C544" s="813" t="s">
        <v>649</v>
      </c>
      <c r="D544" s="413" t="s">
        <v>340</v>
      </c>
      <c r="E544" s="179"/>
      <c r="F544" s="180"/>
      <c r="G544" s="174"/>
      <c r="H544" s="174"/>
      <c r="I544" s="174"/>
      <c r="J544" s="410"/>
      <c r="K544" s="409"/>
      <c r="L544" s="410"/>
      <c r="M544" s="410"/>
      <c r="N544" s="410"/>
      <c r="O544" s="410"/>
      <c r="P544" s="410"/>
      <c r="Q544" s="410"/>
      <c r="R544" s="416"/>
      <c r="S544" s="444"/>
      <c r="T544" s="174"/>
      <c r="U544" s="173"/>
      <c r="V544" s="173"/>
      <c r="W544" s="442"/>
      <c r="X544" s="444"/>
      <c r="Y544" s="444"/>
      <c r="Z544" s="444"/>
      <c r="AA544" s="445"/>
      <c r="AB544" s="472"/>
      <c r="AC544" s="401"/>
      <c r="AD544" s="409"/>
      <c r="AE544" s="447"/>
      <c r="AF544" s="488"/>
      <c r="AG544" s="919" t="str">
        <f>+C544</f>
        <v>BOSA</v>
      </c>
      <c r="AH544" s="813" t="s">
        <v>633</v>
      </c>
      <c r="AI544" s="813" t="s">
        <v>633</v>
      </c>
      <c r="AJ544" s="813" t="s">
        <v>633</v>
      </c>
      <c r="AK544" s="813" t="s">
        <v>457</v>
      </c>
      <c r="AL544" s="813"/>
      <c r="AM544" s="813" t="s">
        <v>1335</v>
      </c>
      <c r="AN544" s="931">
        <v>8185614</v>
      </c>
      <c r="AO544" s="910">
        <v>8185614</v>
      </c>
      <c r="AP544" s="910"/>
      <c r="AQ544" s="915" t="s">
        <v>459</v>
      </c>
      <c r="AR544" s="915" t="s">
        <v>459</v>
      </c>
      <c r="AS544" s="915" t="s">
        <v>459</v>
      </c>
      <c r="AT544" s="915" t="s">
        <v>459</v>
      </c>
      <c r="AU544" s="915" t="s">
        <v>459</v>
      </c>
      <c r="AV544" s="915" t="s">
        <v>459</v>
      </c>
      <c r="AW544" s="915" t="s">
        <v>459</v>
      </c>
      <c r="AX544" s="910">
        <v>8185614</v>
      </c>
      <c r="AY544" s="932"/>
    </row>
    <row r="545" spans="1:51" ht="18" hidden="1" customHeight="1" x14ac:dyDescent="0.25">
      <c r="A545" s="829"/>
      <c r="B545" s="710"/>
      <c r="C545" s="710"/>
      <c r="D545" s="404" t="s">
        <v>343</v>
      </c>
      <c r="E545" s="499"/>
      <c r="F545" s="189"/>
      <c r="G545" s="186"/>
      <c r="H545" s="186"/>
      <c r="I545" s="186"/>
      <c r="J545" s="450"/>
      <c r="K545" s="449"/>
      <c r="L545" s="450"/>
      <c r="M545" s="450"/>
      <c r="N545" s="490"/>
      <c r="O545" s="450"/>
      <c r="P545" s="450"/>
      <c r="Q545" s="450"/>
      <c r="R545" s="494"/>
      <c r="S545" s="163"/>
      <c r="T545" s="186"/>
      <c r="U545" s="162"/>
      <c r="V545" s="162"/>
      <c r="W545" s="491"/>
      <c r="X545" s="163"/>
      <c r="Y545" s="163"/>
      <c r="Z545" s="163"/>
      <c r="AA545" s="492"/>
      <c r="AB545" s="500"/>
      <c r="AC545" s="501"/>
      <c r="AD545" s="449"/>
      <c r="AE545" s="431"/>
      <c r="AF545" s="493"/>
      <c r="AG545" s="829"/>
      <c r="AH545" s="710"/>
      <c r="AI545" s="710"/>
      <c r="AJ545" s="710"/>
      <c r="AK545" s="710"/>
      <c r="AL545" s="710"/>
      <c r="AM545" s="710"/>
      <c r="AN545" s="710"/>
      <c r="AO545" s="710"/>
      <c r="AP545" s="710"/>
      <c r="AQ545" s="710"/>
      <c r="AR545" s="710"/>
      <c r="AS545" s="710"/>
      <c r="AT545" s="710"/>
      <c r="AU545" s="710"/>
      <c r="AV545" s="710"/>
      <c r="AW545" s="710"/>
      <c r="AX545" s="710"/>
      <c r="AY545" s="710"/>
    </row>
    <row r="546" spans="1:51" ht="27" hidden="1" customHeight="1" x14ac:dyDescent="0.25">
      <c r="A546" s="829"/>
      <c r="B546" s="710"/>
      <c r="C546" s="710"/>
      <c r="D546" s="408" t="s">
        <v>345</v>
      </c>
      <c r="E546" s="499"/>
      <c r="F546" s="189"/>
      <c r="G546" s="186"/>
      <c r="H546" s="186"/>
      <c r="I546" s="186"/>
      <c r="J546" s="450"/>
      <c r="K546" s="449"/>
      <c r="L546" s="450"/>
      <c r="M546" s="450"/>
      <c r="N546" s="490"/>
      <c r="O546" s="450"/>
      <c r="P546" s="450"/>
      <c r="Q546" s="450"/>
      <c r="R546" s="494"/>
      <c r="S546" s="163"/>
      <c r="T546" s="186"/>
      <c r="U546" s="162"/>
      <c r="V546" s="162"/>
      <c r="W546" s="491"/>
      <c r="X546" s="163"/>
      <c r="Y546" s="163"/>
      <c r="Z546" s="163"/>
      <c r="AA546" s="492"/>
      <c r="AB546" s="500"/>
      <c r="AC546" s="501"/>
      <c r="AD546" s="449"/>
      <c r="AE546" s="431"/>
      <c r="AF546" s="493"/>
      <c r="AG546" s="829"/>
      <c r="AH546" s="710"/>
      <c r="AI546" s="710"/>
      <c r="AJ546" s="710"/>
      <c r="AK546" s="710"/>
      <c r="AL546" s="710"/>
      <c r="AM546" s="710"/>
      <c r="AN546" s="710"/>
      <c r="AO546" s="710"/>
      <c r="AP546" s="710"/>
      <c r="AQ546" s="710"/>
      <c r="AR546" s="710"/>
      <c r="AS546" s="710"/>
      <c r="AT546" s="710"/>
      <c r="AU546" s="710"/>
      <c r="AV546" s="710"/>
      <c r="AW546" s="710"/>
      <c r="AX546" s="710"/>
      <c r="AY546" s="710"/>
    </row>
    <row r="547" spans="1:51" ht="27" hidden="1" customHeight="1" x14ac:dyDescent="0.25">
      <c r="A547" s="829"/>
      <c r="B547" s="710"/>
      <c r="C547" s="710"/>
      <c r="D547" s="404" t="s">
        <v>346</v>
      </c>
      <c r="E547" s="499"/>
      <c r="F547" s="189"/>
      <c r="G547" s="186"/>
      <c r="H547" s="186"/>
      <c r="I547" s="186"/>
      <c r="J547" s="450"/>
      <c r="K547" s="449"/>
      <c r="L547" s="450"/>
      <c r="M547" s="450"/>
      <c r="N547" s="490"/>
      <c r="O547" s="450"/>
      <c r="P547" s="450"/>
      <c r="Q547" s="450"/>
      <c r="R547" s="494"/>
      <c r="S547" s="163"/>
      <c r="T547" s="186"/>
      <c r="U547" s="162"/>
      <c r="V547" s="162"/>
      <c r="W547" s="491"/>
      <c r="X547" s="163"/>
      <c r="Y547" s="163"/>
      <c r="Z547" s="163"/>
      <c r="AA547" s="492"/>
      <c r="AB547" s="500"/>
      <c r="AC547" s="501"/>
      <c r="AD547" s="449"/>
      <c r="AE547" s="431"/>
      <c r="AF547" s="493"/>
      <c r="AG547" s="829"/>
      <c r="AH547" s="710"/>
      <c r="AI547" s="710"/>
      <c r="AJ547" s="710"/>
      <c r="AK547" s="710"/>
      <c r="AL547" s="710"/>
      <c r="AM547" s="710"/>
      <c r="AN547" s="710"/>
      <c r="AO547" s="710"/>
      <c r="AP547" s="710"/>
      <c r="AQ547" s="710"/>
      <c r="AR547" s="710"/>
      <c r="AS547" s="710"/>
      <c r="AT547" s="710"/>
      <c r="AU547" s="710"/>
      <c r="AV547" s="710"/>
      <c r="AW547" s="710"/>
      <c r="AX547" s="710"/>
      <c r="AY547" s="710"/>
    </row>
    <row r="548" spans="1:51" ht="27" hidden="1" customHeight="1" x14ac:dyDescent="0.25">
      <c r="A548" s="829"/>
      <c r="B548" s="710"/>
      <c r="C548" s="710"/>
      <c r="D548" s="408" t="s">
        <v>347</v>
      </c>
      <c r="E548" s="179"/>
      <c r="F548" s="180"/>
      <c r="G548" s="174"/>
      <c r="H548" s="174"/>
      <c r="I548" s="174"/>
      <c r="J548" s="410"/>
      <c r="K548" s="409"/>
      <c r="L548" s="410"/>
      <c r="M548" s="410"/>
      <c r="N548" s="410"/>
      <c r="O548" s="410"/>
      <c r="P548" s="410"/>
      <c r="Q548" s="410"/>
      <c r="R548" s="416"/>
      <c r="S548" s="420"/>
      <c r="T548" s="174"/>
      <c r="U548" s="184"/>
      <c r="V548" s="184"/>
      <c r="W548" s="416"/>
      <c r="X548" s="420"/>
      <c r="Y548" s="420"/>
      <c r="Z548" s="420"/>
      <c r="AA548" s="420"/>
      <c r="AB548" s="502"/>
      <c r="AC548" s="401"/>
      <c r="AD548" s="409"/>
      <c r="AE548" s="401"/>
      <c r="AF548" s="496"/>
      <c r="AG548" s="829"/>
      <c r="AH548" s="710"/>
      <c r="AI548" s="710"/>
      <c r="AJ548" s="710"/>
      <c r="AK548" s="710"/>
      <c r="AL548" s="710"/>
      <c r="AM548" s="710"/>
      <c r="AN548" s="710"/>
      <c r="AO548" s="710"/>
      <c r="AP548" s="710"/>
      <c r="AQ548" s="710"/>
      <c r="AR548" s="710"/>
      <c r="AS548" s="710"/>
      <c r="AT548" s="710"/>
      <c r="AU548" s="710"/>
      <c r="AV548" s="710"/>
      <c r="AW548" s="710"/>
      <c r="AX548" s="710"/>
      <c r="AY548" s="710"/>
    </row>
    <row r="549" spans="1:51" ht="27.75" hidden="1" customHeight="1" x14ac:dyDescent="0.25">
      <c r="A549" s="829"/>
      <c r="B549" s="710"/>
      <c r="C549" s="731"/>
      <c r="D549" s="412" t="s">
        <v>348</v>
      </c>
      <c r="E549" s="503"/>
      <c r="F549" s="188"/>
      <c r="G549" s="187"/>
      <c r="H549" s="187"/>
      <c r="I549" s="187"/>
      <c r="J549" s="452"/>
      <c r="K549" s="451"/>
      <c r="L549" s="452"/>
      <c r="M549" s="452"/>
      <c r="N549" s="498"/>
      <c r="O549" s="452"/>
      <c r="P549" s="452"/>
      <c r="Q549" s="452"/>
      <c r="R549" s="442"/>
      <c r="S549" s="444"/>
      <c r="T549" s="187"/>
      <c r="U549" s="173"/>
      <c r="V549" s="173"/>
      <c r="W549" s="442"/>
      <c r="X549" s="444"/>
      <c r="Y549" s="444"/>
      <c r="Z549" s="444"/>
      <c r="AA549" s="445"/>
      <c r="AB549" s="472"/>
      <c r="AC549" s="501"/>
      <c r="AD549" s="451"/>
      <c r="AE549" s="447"/>
      <c r="AF549" s="488"/>
      <c r="AG549" s="823"/>
      <c r="AH549" s="731"/>
      <c r="AI549" s="731"/>
      <c r="AJ549" s="731"/>
      <c r="AK549" s="731"/>
      <c r="AL549" s="731"/>
      <c r="AM549" s="731"/>
      <c r="AN549" s="731"/>
      <c r="AO549" s="731"/>
      <c r="AP549" s="731"/>
      <c r="AQ549" s="731"/>
      <c r="AR549" s="731"/>
      <c r="AS549" s="731"/>
      <c r="AT549" s="731"/>
      <c r="AU549" s="731"/>
      <c r="AV549" s="731"/>
      <c r="AW549" s="731"/>
      <c r="AX549" s="731"/>
      <c r="AY549" s="731"/>
    </row>
    <row r="550" spans="1:51" ht="18" customHeight="1" x14ac:dyDescent="0.25">
      <c r="A550" s="829"/>
      <c r="B550" s="710"/>
      <c r="C550" s="961" t="s">
        <v>526</v>
      </c>
      <c r="D550" s="413" t="s">
        <v>340</v>
      </c>
      <c r="E550" s="179"/>
      <c r="F550" s="180"/>
      <c r="G550" s="178">
        <v>1</v>
      </c>
      <c r="H550" s="178">
        <v>1</v>
      </c>
      <c r="I550" s="178">
        <v>1</v>
      </c>
      <c r="J550" s="410">
        <v>1</v>
      </c>
      <c r="K550" s="409">
        <v>1</v>
      </c>
      <c r="L550" s="410"/>
      <c r="M550" s="410"/>
      <c r="N550" s="410"/>
      <c r="O550" s="410"/>
      <c r="P550" s="410">
        <v>2</v>
      </c>
      <c r="Q550" s="410">
        <v>3</v>
      </c>
      <c r="R550" s="416">
        <v>3</v>
      </c>
      <c r="S550" s="444"/>
      <c r="T550" s="178">
        <v>1</v>
      </c>
      <c r="U550" s="178">
        <v>1</v>
      </c>
      <c r="V550" s="178">
        <v>1</v>
      </c>
      <c r="W550" s="442">
        <v>1</v>
      </c>
      <c r="X550" s="444">
        <v>1</v>
      </c>
      <c r="Y550" s="444"/>
      <c r="Z550" s="444"/>
      <c r="AA550" s="445"/>
      <c r="AB550" s="472"/>
      <c r="AC550" s="401">
        <v>2</v>
      </c>
      <c r="AD550" s="409">
        <v>3</v>
      </c>
      <c r="AE550" s="447">
        <v>3</v>
      </c>
      <c r="AF550" s="933" t="s">
        <v>1350</v>
      </c>
      <c r="AG550" s="919" t="str">
        <f>+C550</f>
        <v>KENNEDY</v>
      </c>
      <c r="AH550" s="934" t="s">
        <v>1351</v>
      </c>
      <c r="AI550" s="934" t="s">
        <v>1352</v>
      </c>
      <c r="AJ550" s="935" t="s">
        <v>1340</v>
      </c>
      <c r="AK550" s="813" t="s">
        <v>457</v>
      </c>
      <c r="AL550" s="813" t="s">
        <v>610</v>
      </c>
      <c r="AM550" s="813" t="s">
        <v>1335</v>
      </c>
      <c r="AN550" s="931">
        <v>1080200</v>
      </c>
      <c r="AO550" s="910">
        <v>517025</v>
      </c>
      <c r="AP550" s="910">
        <v>563175</v>
      </c>
      <c r="AQ550" s="915" t="s">
        <v>459</v>
      </c>
      <c r="AR550" s="915" t="s">
        <v>459</v>
      </c>
      <c r="AS550" s="915" t="s">
        <v>459</v>
      </c>
      <c r="AT550" s="915" t="s">
        <v>459</v>
      </c>
      <c r="AU550" s="915" t="s">
        <v>459</v>
      </c>
      <c r="AV550" s="915" t="s">
        <v>459</v>
      </c>
      <c r="AW550" s="915" t="s">
        <v>459</v>
      </c>
      <c r="AX550" s="910">
        <v>1080200</v>
      </c>
      <c r="AY550" s="932" t="s">
        <v>1336</v>
      </c>
    </row>
    <row r="551" spans="1:51" ht="18" customHeight="1" x14ac:dyDescent="0.25">
      <c r="A551" s="829"/>
      <c r="B551" s="710"/>
      <c r="C551" s="713"/>
      <c r="D551" s="404" t="s">
        <v>343</v>
      </c>
      <c r="E551" s="499"/>
      <c r="F551" s="189"/>
      <c r="G551" s="186">
        <f>+G550*$G$503/$G$502</f>
        <v>4371175</v>
      </c>
      <c r="H551" s="186">
        <f>+H550*$H$503/$H$502</f>
        <v>4371175</v>
      </c>
      <c r="I551" s="186" t="e">
        <f>+I550*$I$503/$I$502</f>
        <v>#REF!</v>
      </c>
      <c r="J551" s="450" t="e">
        <f>+J550*$J$503/$J$502</f>
        <v>#REF!</v>
      </c>
      <c r="K551" s="449"/>
      <c r="L551" s="450"/>
      <c r="M551" s="450"/>
      <c r="N551" s="490"/>
      <c r="O551" s="450"/>
      <c r="P551" s="450">
        <f>+P550*$P$503/$P$502</f>
        <v>29377133.079999998</v>
      </c>
      <c r="Q551" s="450">
        <f>+Q550*$Q$503/$Q$502</f>
        <v>42865699.619999997</v>
      </c>
      <c r="R551" s="450">
        <f>+R550*$R$503/$R$502</f>
        <v>42865699.619999997</v>
      </c>
      <c r="S551" s="163"/>
      <c r="T551" s="186"/>
      <c r="U551" s="186">
        <f>+U550*$U$503/$U$502</f>
        <v>1533900</v>
      </c>
      <c r="V551" s="186" t="e">
        <f>+V550*$V$503/$V$502</f>
        <v>#REF!</v>
      </c>
      <c r="W551" s="450" t="e">
        <f>+W550*$W$503/$W$502</f>
        <v>#REF!</v>
      </c>
      <c r="X551" s="163"/>
      <c r="Y551" s="163"/>
      <c r="Z551" s="163"/>
      <c r="AA551" s="492"/>
      <c r="AB551" s="500"/>
      <c r="AC551" s="449">
        <f>+AC550*$AC$503/$AC$502</f>
        <v>35467933.333333336</v>
      </c>
      <c r="AD551" s="449">
        <f>+AD550*$AD$503/$AD$502</f>
        <v>37131277.533333331</v>
      </c>
      <c r="AE551" s="449" t="e">
        <f>+AE550*$AE$503/$AE$502</f>
        <v>#VALUE!</v>
      </c>
      <c r="AF551" s="713"/>
      <c r="AG551" s="829"/>
      <c r="AH551" s="710"/>
      <c r="AI551" s="710"/>
      <c r="AJ551" s="710"/>
      <c r="AK551" s="710"/>
      <c r="AL551" s="710"/>
      <c r="AM551" s="710"/>
      <c r="AN551" s="710"/>
      <c r="AO551" s="710"/>
      <c r="AP551" s="710"/>
      <c r="AQ551" s="710"/>
      <c r="AR551" s="710"/>
      <c r="AS551" s="710"/>
      <c r="AT551" s="710"/>
      <c r="AU551" s="710"/>
      <c r="AV551" s="710"/>
      <c r="AW551" s="710"/>
      <c r="AX551" s="710"/>
      <c r="AY551" s="710"/>
    </row>
    <row r="552" spans="1:51" ht="27" customHeight="1" x14ac:dyDescent="0.25">
      <c r="A552" s="829"/>
      <c r="B552" s="710"/>
      <c r="C552" s="713"/>
      <c r="D552" s="408" t="s">
        <v>345</v>
      </c>
      <c r="E552" s="499"/>
      <c r="F552" s="189"/>
      <c r="G552" s="186"/>
      <c r="H552" s="186"/>
      <c r="I552" s="186"/>
      <c r="J552" s="450"/>
      <c r="K552" s="449"/>
      <c r="L552" s="450"/>
      <c r="M552" s="450"/>
      <c r="N552" s="490"/>
      <c r="O552" s="450"/>
      <c r="P552" s="450"/>
      <c r="Q552" s="450"/>
      <c r="R552" s="494"/>
      <c r="S552" s="163"/>
      <c r="T552" s="186"/>
      <c r="U552" s="186"/>
      <c r="V552" s="186"/>
      <c r="W552" s="491"/>
      <c r="X552" s="163"/>
      <c r="Y552" s="163"/>
      <c r="Z552" s="163"/>
      <c r="AA552" s="492"/>
      <c r="AB552" s="500"/>
      <c r="AC552" s="501"/>
      <c r="AD552" s="449"/>
      <c r="AE552" s="431"/>
      <c r="AF552" s="713"/>
      <c r="AG552" s="829"/>
      <c r="AH552" s="710"/>
      <c r="AI552" s="710"/>
      <c r="AJ552" s="710"/>
      <c r="AK552" s="710"/>
      <c r="AL552" s="710"/>
      <c r="AM552" s="710"/>
      <c r="AN552" s="710"/>
      <c r="AO552" s="710"/>
      <c r="AP552" s="710"/>
      <c r="AQ552" s="710"/>
      <c r="AR552" s="710"/>
      <c r="AS552" s="710"/>
      <c r="AT552" s="710"/>
      <c r="AU552" s="710"/>
      <c r="AV552" s="710"/>
      <c r="AW552" s="710"/>
      <c r="AX552" s="710"/>
      <c r="AY552" s="710"/>
    </row>
    <row r="553" spans="1:51" ht="27" customHeight="1" x14ac:dyDescent="0.25">
      <c r="A553" s="829"/>
      <c r="B553" s="710"/>
      <c r="C553" s="713"/>
      <c r="D553" s="404" t="s">
        <v>346</v>
      </c>
      <c r="E553" s="499"/>
      <c r="F553" s="189"/>
      <c r="G553" s="186"/>
      <c r="H553" s="186">
        <f>+$U$505/11</f>
        <v>7723875.0909090908</v>
      </c>
      <c r="I553" s="186"/>
      <c r="J553" s="450"/>
      <c r="K553" s="449"/>
      <c r="L553" s="450"/>
      <c r="M553" s="450"/>
      <c r="N553" s="490"/>
      <c r="O553" s="450"/>
      <c r="P553" s="450"/>
      <c r="Q553" s="450"/>
      <c r="R553" s="494"/>
      <c r="S553" s="163"/>
      <c r="T553" s="186">
        <f>+T550*$T$505/$T$502</f>
        <v>1758853.75</v>
      </c>
      <c r="U553" s="186">
        <f>+$U$505/11</f>
        <v>7723875.0909090908</v>
      </c>
      <c r="V553" s="186"/>
      <c r="W553" s="491"/>
      <c r="X553" s="163"/>
      <c r="Y553" s="163"/>
      <c r="Z553" s="163"/>
      <c r="AA553" s="492"/>
      <c r="AB553" s="500"/>
      <c r="AC553" s="501"/>
      <c r="AD553" s="449"/>
      <c r="AE553" s="431"/>
      <c r="AF553" s="713"/>
      <c r="AG553" s="829"/>
      <c r="AH553" s="710"/>
      <c r="AI553" s="710"/>
      <c r="AJ553" s="710"/>
      <c r="AK553" s="710"/>
      <c r="AL553" s="710"/>
      <c r="AM553" s="710"/>
      <c r="AN553" s="710"/>
      <c r="AO553" s="710"/>
      <c r="AP553" s="710"/>
      <c r="AQ553" s="710"/>
      <c r="AR553" s="710"/>
      <c r="AS553" s="710"/>
      <c r="AT553" s="710"/>
      <c r="AU553" s="710"/>
      <c r="AV553" s="710"/>
      <c r="AW553" s="710"/>
      <c r="AX553" s="710"/>
      <c r="AY553" s="710"/>
    </row>
    <row r="554" spans="1:51" ht="27" customHeight="1" x14ac:dyDescent="0.25">
      <c r="A554" s="829"/>
      <c r="B554" s="710"/>
      <c r="C554" s="713"/>
      <c r="D554" s="408" t="s">
        <v>347</v>
      </c>
      <c r="E554" s="179"/>
      <c r="F554" s="180"/>
      <c r="G554" s="178">
        <v>1</v>
      </c>
      <c r="H554" s="178">
        <v>1</v>
      </c>
      <c r="I554" s="178">
        <v>1</v>
      </c>
      <c r="J554" s="410">
        <v>1</v>
      </c>
      <c r="K554" s="409">
        <v>1</v>
      </c>
      <c r="L554" s="410"/>
      <c r="M554" s="410"/>
      <c r="N554" s="410"/>
      <c r="O554" s="410"/>
      <c r="P554" s="410">
        <v>2</v>
      </c>
      <c r="Q554" s="410">
        <v>3</v>
      </c>
      <c r="R554" s="416">
        <v>3</v>
      </c>
      <c r="S554" s="420"/>
      <c r="T554" s="178">
        <v>1</v>
      </c>
      <c r="U554" s="178">
        <v>1</v>
      </c>
      <c r="V554" s="178">
        <v>1</v>
      </c>
      <c r="W554" s="416">
        <v>1</v>
      </c>
      <c r="X554" s="169">
        <v>1</v>
      </c>
      <c r="Y554" s="420"/>
      <c r="Z554" s="420"/>
      <c r="AA554" s="420"/>
      <c r="AB554" s="502"/>
      <c r="AC554" s="401">
        <v>2</v>
      </c>
      <c r="AD554" s="409">
        <v>3</v>
      </c>
      <c r="AE554" s="401">
        <v>3</v>
      </c>
      <c r="AF554" s="713"/>
      <c r="AG554" s="829"/>
      <c r="AH554" s="710"/>
      <c r="AI554" s="710"/>
      <c r="AJ554" s="710"/>
      <c r="AK554" s="710"/>
      <c r="AL554" s="710"/>
      <c r="AM554" s="710"/>
      <c r="AN554" s="710"/>
      <c r="AO554" s="710"/>
      <c r="AP554" s="710"/>
      <c r="AQ554" s="710"/>
      <c r="AR554" s="710"/>
      <c r="AS554" s="710"/>
      <c r="AT554" s="710"/>
      <c r="AU554" s="710"/>
      <c r="AV554" s="710"/>
      <c r="AW554" s="710"/>
      <c r="AX554" s="710"/>
      <c r="AY554" s="710"/>
    </row>
    <row r="555" spans="1:51" ht="27.75" customHeight="1" x14ac:dyDescent="0.25">
      <c r="A555" s="829"/>
      <c r="B555" s="710"/>
      <c r="C555" s="830"/>
      <c r="D555" s="412" t="s">
        <v>348</v>
      </c>
      <c r="E555" s="503"/>
      <c r="F555" s="188"/>
      <c r="G555" s="186">
        <f>+G554*$G$503/$G$502</f>
        <v>4371175</v>
      </c>
      <c r="H555" s="186">
        <f>+H554*$H$503/$H$502</f>
        <v>4371175</v>
      </c>
      <c r="I555" s="186" t="e">
        <f>+I554*$I$503/$I$502</f>
        <v>#REF!</v>
      </c>
      <c r="J555" s="450" t="e">
        <f>+J554*$J$503/$J$502</f>
        <v>#REF!</v>
      </c>
      <c r="K555" s="451"/>
      <c r="L555" s="452"/>
      <c r="M555" s="452"/>
      <c r="N555" s="498"/>
      <c r="O555" s="452"/>
      <c r="P555" s="450">
        <f>+P554*$P$503/$P$502</f>
        <v>29377133.079999998</v>
      </c>
      <c r="Q555" s="450">
        <f>+Q554*$Q$503/$Q$502</f>
        <v>42865699.619999997</v>
      </c>
      <c r="R555" s="450">
        <f>+R554*$R$503/$R$502</f>
        <v>42865699.619999997</v>
      </c>
      <c r="S555" s="444"/>
      <c r="T555" s="187"/>
      <c r="U555" s="186">
        <f>+U554*$U$503/$U$502</f>
        <v>1533900</v>
      </c>
      <c r="V555" s="186" t="e">
        <f>+V554*$V$503/$V$502</f>
        <v>#REF!</v>
      </c>
      <c r="W555" s="450" t="e">
        <f>+W554*$W$503/$W$502</f>
        <v>#REF!</v>
      </c>
      <c r="X555" s="444"/>
      <c r="Y555" s="444"/>
      <c r="Z555" s="444"/>
      <c r="AA555" s="445"/>
      <c r="AB555" s="472"/>
      <c r="AC555" s="449">
        <f>+AC554*$AC$503/$AC$502</f>
        <v>35467933.333333336</v>
      </c>
      <c r="AD555" s="449">
        <f>+AD554*$AD$503/$AD$502</f>
        <v>37131277.533333331</v>
      </c>
      <c r="AE555" s="449" t="e">
        <f>+AE554*$AE$503/$AE$502</f>
        <v>#VALUE!</v>
      </c>
      <c r="AF555" s="830"/>
      <c r="AG555" s="823"/>
      <c r="AH555" s="731"/>
      <c r="AI555" s="731"/>
      <c r="AJ555" s="731"/>
      <c r="AK555" s="731"/>
      <c r="AL555" s="731"/>
      <c r="AM555" s="731"/>
      <c r="AN555" s="731"/>
      <c r="AO555" s="731"/>
      <c r="AP555" s="731"/>
      <c r="AQ555" s="731"/>
      <c r="AR555" s="731"/>
      <c r="AS555" s="731"/>
      <c r="AT555" s="731"/>
      <c r="AU555" s="731"/>
      <c r="AV555" s="731"/>
      <c r="AW555" s="731"/>
      <c r="AX555" s="731"/>
      <c r="AY555" s="731"/>
    </row>
    <row r="556" spans="1:51" ht="18" customHeight="1" x14ac:dyDescent="0.25">
      <c r="A556" s="829"/>
      <c r="B556" s="710"/>
      <c r="C556" s="813" t="s">
        <v>652</v>
      </c>
      <c r="D556" s="413" t="s">
        <v>340</v>
      </c>
      <c r="E556" s="179"/>
      <c r="F556" s="180"/>
      <c r="G556" s="178">
        <v>5</v>
      </c>
      <c r="H556" s="178">
        <v>10</v>
      </c>
      <c r="I556" s="178">
        <v>10</v>
      </c>
      <c r="J556" s="410">
        <v>11</v>
      </c>
      <c r="K556" s="409">
        <v>12</v>
      </c>
      <c r="L556" s="410"/>
      <c r="M556" s="410"/>
      <c r="N556" s="410"/>
      <c r="O556" s="410">
        <v>5</v>
      </c>
      <c r="P556" s="452">
        <v>8</v>
      </c>
      <c r="Q556" s="410">
        <v>13</v>
      </c>
      <c r="R556" s="416">
        <v>13</v>
      </c>
      <c r="S556" s="444"/>
      <c r="T556" s="178">
        <v>5</v>
      </c>
      <c r="U556" s="178">
        <v>10</v>
      </c>
      <c r="V556" s="178">
        <v>10</v>
      </c>
      <c r="W556" s="506">
        <v>11</v>
      </c>
      <c r="X556" s="505">
        <v>12</v>
      </c>
      <c r="Y556" s="444"/>
      <c r="Z556" s="444"/>
      <c r="AA556" s="445"/>
      <c r="AB556" s="472">
        <v>5</v>
      </c>
      <c r="AC556" s="401">
        <v>8</v>
      </c>
      <c r="AD556" s="409">
        <v>13</v>
      </c>
      <c r="AE556" s="447">
        <v>13</v>
      </c>
      <c r="AF556" s="936" t="s">
        <v>1353</v>
      </c>
      <c r="AG556" s="937" t="str">
        <f>+C556</f>
        <v>FONTIBON</v>
      </c>
      <c r="AH556" s="938" t="s">
        <v>1354</v>
      </c>
      <c r="AI556" s="938" t="s">
        <v>1355</v>
      </c>
      <c r="AJ556" s="935" t="s">
        <v>1340</v>
      </c>
      <c r="AK556" s="813" t="s">
        <v>457</v>
      </c>
      <c r="AL556" s="813" t="s">
        <v>178</v>
      </c>
      <c r="AM556" s="813" t="s">
        <v>1335</v>
      </c>
      <c r="AN556" s="946">
        <v>388154</v>
      </c>
      <c r="AO556" s="947">
        <v>183971</v>
      </c>
      <c r="AP556" s="947">
        <v>204184</v>
      </c>
      <c r="AQ556" s="915" t="s">
        <v>459</v>
      </c>
      <c r="AR556" s="915" t="s">
        <v>459</v>
      </c>
      <c r="AS556" s="915" t="s">
        <v>459</v>
      </c>
      <c r="AT556" s="915" t="s">
        <v>459</v>
      </c>
      <c r="AU556" s="915" t="s">
        <v>459</v>
      </c>
      <c r="AV556" s="915" t="s">
        <v>459</v>
      </c>
      <c r="AW556" s="915" t="s">
        <v>459</v>
      </c>
      <c r="AX556" s="910">
        <v>388154</v>
      </c>
      <c r="AY556" s="940" t="s">
        <v>1356</v>
      </c>
    </row>
    <row r="557" spans="1:51" ht="15.75" customHeight="1" x14ac:dyDescent="0.25">
      <c r="A557" s="829"/>
      <c r="B557" s="710"/>
      <c r="C557" s="710"/>
      <c r="D557" s="404" t="s">
        <v>343</v>
      </c>
      <c r="E557" s="499"/>
      <c r="F557" s="189"/>
      <c r="G557" s="186">
        <f>+G556*$G$503/$G$502</f>
        <v>21855875</v>
      </c>
      <c r="H557" s="186">
        <f>+H556*$H$503/$H$502</f>
        <v>43711750</v>
      </c>
      <c r="I557" s="186" t="e">
        <f>+I556*$I$503/$I$502</f>
        <v>#REF!</v>
      </c>
      <c r="J557" s="450" t="e">
        <f>+J556*$J$503/$J$502</f>
        <v>#REF!</v>
      </c>
      <c r="K557" s="449"/>
      <c r="L557" s="450"/>
      <c r="M557" s="450"/>
      <c r="N557" s="490"/>
      <c r="O557" s="450">
        <f>+O556*$O$503/$O$502</f>
        <v>64119249</v>
      </c>
      <c r="P557" s="450">
        <f>+P556*$P$503/$P$502</f>
        <v>117508532.31999999</v>
      </c>
      <c r="Q557" s="450">
        <f>+Q556*$Q$503/$Q$502</f>
        <v>185751365.02000001</v>
      </c>
      <c r="R557" s="450">
        <f>+R556*$R$503/$R$502</f>
        <v>185751365.02000001</v>
      </c>
      <c r="S557" s="163"/>
      <c r="T557" s="186"/>
      <c r="U557" s="186">
        <f>+U556*$U$503/$U$502</f>
        <v>15339000</v>
      </c>
      <c r="V557" s="186" t="e">
        <f>+V556*$V$503/$V$502</f>
        <v>#REF!</v>
      </c>
      <c r="W557" s="450" t="e">
        <f>+W556*$W$503/$W$502</f>
        <v>#REF!</v>
      </c>
      <c r="X557" s="163"/>
      <c r="Y557" s="163"/>
      <c r="Z557" s="163"/>
      <c r="AA557" s="492"/>
      <c r="AB557" s="449">
        <f>+AB556*$AB$503/$AB$502</f>
        <v>266009500</v>
      </c>
      <c r="AC557" s="449">
        <f>+AC556*$AC$503/$AC$502</f>
        <v>141871733.33333334</v>
      </c>
      <c r="AD557" s="449">
        <f>+AD556*$AD$503/$AD$502</f>
        <v>160902202.64444444</v>
      </c>
      <c r="AE557" s="449" t="e">
        <f>+AE556*$AE$503/$AE$502</f>
        <v>#VALUE!</v>
      </c>
      <c r="AF557" s="713"/>
      <c r="AG557" s="829"/>
      <c r="AH557" s="710"/>
      <c r="AI557" s="710"/>
      <c r="AJ557" s="710"/>
      <c r="AK557" s="710"/>
      <c r="AL557" s="710"/>
      <c r="AM557" s="710"/>
      <c r="AN557" s="710"/>
      <c r="AO557" s="710"/>
      <c r="AP557" s="710"/>
      <c r="AQ557" s="710"/>
      <c r="AR557" s="710"/>
      <c r="AS557" s="710"/>
      <c r="AT557" s="710"/>
      <c r="AU557" s="710"/>
      <c r="AV557" s="710"/>
      <c r="AW557" s="710"/>
      <c r="AX557" s="710"/>
      <c r="AY557" s="710"/>
    </row>
    <row r="558" spans="1:51" ht="15.75" customHeight="1" x14ac:dyDescent="0.25">
      <c r="A558" s="829"/>
      <c r="B558" s="710"/>
      <c r="C558" s="710"/>
      <c r="D558" s="408" t="s">
        <v>345</v>
      </c>
      <c r="E558" s="499"/>
      <c r="F558" s="189"/>
      <c r="G558" s="186"/>
      <c r="H558" s="186"/>
      <c r="I558" s="186"/>
      <c r="J558" s="450"/>
      <c r="K558" s="449"/>
      <c r="L558" s="450"/>
      <c r="M558" s="450"/>
      <c r="N558" s="490"/>
      <c r="O558" s="450"/>
      <c r="P558" s="452"/>
      <c r="Q558" s="450"/>
      <c r="R558" s="494"/>
      <c r="S558" s="163"/>
      <c r="T558" s="186"/>
      <c r="U558" s="186"/>
      <c r="V558" s="186"/>
      <c r="W558" s="491"/>
      <c r="X558" s="163"/>
      <c r="Y558" s="163"/>
      <c r="Z558" s="163"/>
      <c r="AA558" s="492"/>
      <c r="AB558" s="500"/>
      <c r="AC558" s="501"/>
      <c r="AD558" s="449"/>
      <c r="AE558" s="431"/>
      <c r="AF558" s="713"/>
      <c r="AG558" s="829"/>
      <c r="AH558" s="710"/>
      <c r="AI558" s="710"/>
      <c r="AJ558" s="710"/>
      <c r="AK558" s="710"/>
      <c r="AL558" s="710"/>
      <c r="AM558" s="710"/>
      <c r="AN558" s="710"/>
      <c r="AO558" s="710"/>
      <c r="AP558" s="710"/>
      <c r="AQ558" s="710"/>
      <c r="AR558" s="710"/>
      <c r="AS558" s="710"/>
      <c r="AT558" s="710"/>
      <c r="AU558" s="710"/>
      <c r="AV558" s="710"/>
      <c r="AW558" s="710"/>
      <c r="AX558" s="710"/>
      <c r="AY558" s="710"/>
    </row>
    <row r="559" spans="1:51" ht="18.75" customHeight="1" x14ac:dyDescent="0.25">
      <c r="A559" s="829"/>
      <c r="B559" s="710"/>
      <c r="C559" s="710"/>
      <c r="D559" s="404" t="s">
        <v>346</v>
      </c>
      <c r="E559" s="499"/>
      <c r="F559" s="189"/>
      <c r="G559" s="186"/>
      <c r="H559" s="186">
        <f>+$U$505/11</f>
        <v>7723875.0909090908</v>
      </c>
      <c r="I559" s="186"/>
      <c r="J559" s="450"/>
      <c r="K559" s="449"/>
      <c r="L559" s="450"/>
      <c r="M559" s="450"/>
      <c r="N559" s="490"/>
      <c r="O559" s="450"/>
      <c r="P559" s="452"/>
      <c r="Q559" s="450"/>
      <c r="R559" s="494"/>
      <c r="S559" s="163"/>
      <c r="T559" s="186">
        <f>+T556*$T$505/$T$502</f>
        <v>8794268.75</v>
      </c>
      <c r="U559" s="186">
        <f>+$U$505/11</f>
        <v>7723875.0909090908</v>
      </c>
      <c r="V559" s="186"/>
      <c r="W559" s="491"/>
      <c r="X559" s="163"/>
      <c r="Y559" s="163"/>
      <c r="Z559" s="163"/>
      <c r="AA559" s="492"/>
      <c r="AB559" s="500"/>
      <c r="AC559" s="501"/>
      <c r="AD559" s="449"/>
      <c r="AE559" s="431"/>
      <c r="AF559" s="713"/>
      <c r="AG559" s="829"/>
      <c r="AH559" s="710"/>
      <c r="AI559" s="710"/>
      <c r="AJ559" s="710"/>
      <c r="AK559" s="710"/>
      <c r="AL559" s="710"/>
      <c r="AM559" s="710"/>
      <c r="AN559" s="710"/>
      <c r="AO559" s="710"/>
      <c r="AP559" s="710"/>
      <c r="AQ559" s="710"/>
      <c r="AR559" s="710"/>
      <c r="AS559" s="710"/>
      <c r="AT559" s="710"/>
      <c r="AU559" s="710"/>
      <c r="AV559" s="710"/>
      <c r="AW559" s="710"/>
      <c r="AX559" s="710"/>
      <c r="AY559" s="710"/>
    </row>
    <row r="560" spans="1:51" ht="15.75" customHeight="1" x14ac:dyDescent="0.25">
      <c r="A560" s="829"/>
      <c r="B560" s="710"/>
      <c r="C560" s="710"/>
      <c r="D560" s="408" t="s">
        <v>347</v>
      </c>
      <c r="E560" s="179"/>
      <c r="F560" s="180"/>
      <c r="G560" s="178">
        <v>5</v>
      </c>
      <c r="H560" s="178">
        <v>10</v>
      </c>
      <c r="I560" s="178">
        <v>10</v>
      </c>
      <c r="J560" s="410">
        <v>11</v>
      </c>
      <c r="K560" s="409">
        <v>12</v>
      </c>
      <c r="L560" s="410"/>
      <c r="M560" s="410"/>
      <c r="N560" s="410"/>
      <c r="O560" s="410">
        <f>+O556</f>
        <v>5</v>
      </c>
      <c r="P560" s="452">
        <v>8</v>
      </c>
      <c r="Q560" s="410">
        <v>13</v>
      </c>
      <c r="R560" s="416">
        <v>13</v>
      </c>
      <c r="S560" s="420"/>
      <c r="T560" s="178">
        <v>5</v>
      </c>
      <c r="U560" s="178">
        <v>10</v>
      </c>
      <c r="V560" s="178">
        <v>10</v>
      </c>
      <c r="W560" s="416">
        <v>11</v>
      </c>
      <c r="X560" s="486">
        <v>12</v>
      </c>
      <c r="Y560" s="420"/>
      <c r="Z560" s="420"/>
      <c r="AA560" s="420"/>
      <c r="AB560" s="502">
        <f>+AB556</f>
        <v>5</v>
      </c>
      <c r="AC560" s="401">
        <v>8</v>
      </c>
      <c r="AD560" s="409">
        <v>13</v>
      </c>
      <c r="AE560" s="401">
        <v>13</v>
      </c>
      <c r="AF560" s="713"/>
      <c r="AG560" s="829"/>
      <c r="AH560" s="710"/>
      <c r="AI560" s="710"/>
      <c r="AJ560" s="710"/>
      <c r="AK560" s="710"/>
      <c r="AL560" s="710"/>
      <c r="AM560" s="710"/>
      <c r="AN560" s="710"/>
      <c r="AO560" s="710"/>
      <c r="AP560" s="710"/>
      <c r="AQ560" s="710"/>
      <c r="AR560" s="710"/>
      <c r="AS560" s="710"/>
      <c r="AT560" s="710"/>
      <c r="AU560" s="710"/>
      <c r="AV560" s="710"/>
      <c r="AW560" s="710"/>
      <c r="AX560" s="710"/>
      <c r="AY560" s="710"/>
    </row>
    <row r="561" spans="1:51" ht="15.75" customHeight="1" x14ac:dyDescent="0.25">
      <c r="A561" s="829"/>
      <c r="B561" s="710"/>
      <c r="C561" s="731"/>
      <c r="D561" s="412" t="s">
        <v>348</v>
      </c>
      <c r="E561" s="503"/>
      <c r="F561" s="188"/>
      <c r="G561" s="186">
        <f>+G560*$G$503/$G$502</f>
        <v>21855875</v>
      </c>
      <c r="H561" s="186">
        <f>+H560*$H$503/$H$502</f>
        <v>43711750</v>
      </c>
      <c r="I561" s="186" t="e">
        <f>+I560*$I$503/$I$502</f>
        <v>#REF!</v>
      </c>
      <c r="J561" s="450" t="e">
        <f>+J560*$J$503/$J$502</f>
        <v>#REF!</v>
      </c>
      <c r="K561" s="451"/>
      <c r="L561" s="452"/>
      <c r="M561" s="452"/>
      <c r="N561" s="498"/>
      <c r="O561" s="410">
        <f>+O557</f>
        <v>64119249</v>
      </c>
      <c r="P561" s="450">
        <f>+P560*$P$503/$P$502</f>
        <v>117508532.31999999</v>
      </c>
      <c r="Q561" s="450">
        <f>+Q560*$Q$503/$Q$502</f>
        <v>185751365.02000001</v>
      </c>
      <c r="R561" s="450">
        <f>+R560*$R$503/$R$502</f>
        <v>185751365.02000001</v>
      </c>
      <c r="S561" s="444"/>
      <c r="T561" s="187"/>
      <c r="U561" s="186">
        <f>+U560*$U$503/$U$502</f>
        <v>15339000</v>
      </c>
      <c r="V561" s="186" t="e">
        <f>+V560*$V$503/$V$502</f>
        <v>#REF!</v>
      </c>
      <c r="W561" s="450" t="e">
        <f>+W560*$W$503/$W$502</f>
        <v>#REF!</v>
      </c>
      <c r="X561" s="444"/>
      <c r="Y561" s="444"/>
      <c r="Z561" s="444"/>
      <c r="AA561" s="445"/>
      <c r="AB561" s="502">
        <f>+AB557</f>
        <v>266009500</v>
      </c>
      <c r="AC561" s="449">
        <f>+AC560*$AC$503/$AC$502</f>
        <v>141871733.33333334</v>
      </c>
      <c r="AD561" s="449">
        <f>+AD560*$AD$503/$AD$502</f>
        <v>160902202.64444444</v>
      </c>
      <c r="AE561" s="449" t="e">
        <f>+AE560*$AE$503/$AE$502</f>
        <v>#VALUE!</v>
      </c>
      <c r="AF561" s="830"/>
      <c r="AG561" s="823"/>
      <c r="AH561" s="731"/>
      <c r="AI561" s="731"/>
      <c r="AJ561" s="731"/>
      <c r="AK561" s="731"/>
      <c r="AL561" s="731"/>
      <c r="AM561" s="731"/>
      <c r="AN561" s="731"/>
      <c r="AO561" s="731"/>
      <c r="AP561" s="731"/>
      <c r="AQ561" s="731"/>
      <c r="AR561" s="731"/>
      <c r="AS561" s="731"/>
      <c r="AT561" s="731"/>
      <c r="AU561" s="731"/>
      <c r="AV561" s="731"/>
      <c r="AW561" s="731"/>
      <c r="AX561" s="731"/>
      <c r="AY561" s="731"/>
    </row>
    <row r="562" spans="1:51" ht="18" customHeight="1" x14ac:dyDescent="0.25">
      <c r="A562" s="829"/>
      <c r="B562" s="710"/>
      <c r="C562" s="961" t="s">
        <v>654</v>
      </c>
      <c r="D562" s="413" t="s">
        <v>340</v>
      </c>
      <c r="E562" s="179"/>
      <c r="F562" s="180"/>
      <c r="G562" s="178">
        <v>3</v>
      </c>
      <c r="H562" s="178">
        <v>6</v>
      </c>
      <c r="I562" s="178">
        <v>7</v>
      </c>
      <c r="J562" s="410">
        <v>7</v>
      </c>
      <c r="K562" s="409">
        <v>7</v>
      </c>
      <c r="L562" s="410"/>
      <c r="M562" s="410"/>
      <c r="N562" s="410"/>
      <c r="O562" s="410"/>
      <c r="P562" s="452">
        <v>4</v>
      </c>
      <c r="Q562" s="410">
        <v>8</v>
      </c>
      <c r="R562" s="416">
        <v>8</v>
      </c>
      <c r="S562" s="444"/>
      <c r="T562" s="178">
        <v>3</v>
      </c>
      <c r="U562" s="178">
        <v>6</v>
      </c>
      <c r="V562" s="178">
        <v>7</v>
      </c>
      <c r="W562" s="506">
        <v>7</v>
      </c>
      <c r="X562" s="444"/>
      <c r="Y562" s="444"/>
      <c r="Z562" s="444"/>
      <c r="AA562" s="445"/>
      <c r="AB562" s="472"/>
      <c r="AC562" s="401">
        <v>4</v>
      </c>
      <c r="AD562" s="409">
        <v>8</v>
      </c>
      <c r="AE562" s="447">
        <v>8</v>
      </c>
      <c r="AF562" s="933" t="s">
        <v>1357</v>
      </c>
      <c r="AG562" s="919" t="str">
        <f>+C562</f>
        <v>ENGATIVA</v>
      </c>
      <c r="AH562" s="934" t="s">
        <v>1358</v>
      </c>
      <c r="AI562" s="934" t="s">
        <v>1359</v>
      </c>
      <c r="AJ562" s="935" t="s">
        <v>1340</v>
      </c>
      <c r="AK562" s="813" t="s">
        <v>457</v>
      </c>
      <c r="AL562" s="813" t="s">
        <v>1180</v>
      </c>
      <c r="AM562" s="813" t="s">
        <v>1335</v>
      </c>
      <c r="AN562" s="931">
        <v>840955</v>
      </c>
      <c r="AO562" s="910">
        <v>396682</v>
      </c>
      <c r="AP562" s="910">
        <v>444273</v>
      </c>
      <c r="AQ562" s="915" t="s">
        <v>459</v>
      </c>
      <c r="AR562" s="915" t="s">
        <v>459</v>
      </c>
      <c r="AS562" s="915" t="s">
        <v>459</v>
      </c>
      <c r="AT562" s="915" t="s">
        <v>459</v>
      </c>
      <c r="AU562" s="915" t="s">
        <v>459</v>
      </c>
      <c r="AV562" s="915" t="s">
        <v>459</v>
      </c>
      <c r="AW562" s="915" t="s">
        <v>459</v>
      </c>
      <c r="AX562" s="910">
        <v>840955</v>
      </c>
      <c r="AY562" s="932" t="s">
        <v>1360</v>
      </c>
    </row>
    <row r="563" spans="1:51" ht="18" customHeight="1" x14ac:dyDescent="0.25">
      <c r="A563" s="829"/>
      <c r="B563" s="710"/>
      <c r="C563" s="713"/>
      <c r="D563" s="404" t="s">
        <v>343</v>
      </c>
      <c r="E563" s="499"/>
      <c r="F563" s="189"/>
      <c r="G563" s="186">
        <f>+G562*$G$503/$G$502</f>
        <v>13113525</v>
      </c>
      <c r="H563" s="186">
        <f>+H562*$H$503/$H$502</f>
        <v>26227050</v>
      </c>
      <c r="I563" s="186" t="e">
        <f>+I562*$I$503/$I$502</f>
        <v>#REF!</v>
      </c>
      <c r="J563" s="450" t="e">
        <f>+J562*$J$503/$J$502</f>
        <v>#REF!</v>
      </c>
      <c r="K563" s="449"/>
      <c r="L563" s="450"/>
      <c r="M563" s="450"/>
      <c r="N563" s="490"/>
      <c r="O563" s="450"/>
      <c r="P563" s="450">
        <f>+P562*$P$503/$P$502</f>
        <v>58754266.159999996</v>
      </c>
      <c r="Q563" s="450">
        <f>+Q562*$Q$503/$Q$502</f>
        <v>114308532.31999999</v>
      </c>
      <c r="R563" s="450">
        <f>+R562*$R$503/$R$502</f>
        <v>114308532.31999999</v>
      </c>
      <c r="S563" s="163"/>
      <c r="T563" s="186"/>
      <c r="U563" s="186">
        <f>+U562*$U$503/$U$502</f>
        <v>9203400</v>
      </c>
      <c r="V563" s="186" t="e">
        <f>+V562*$V$503/$V$502</f>
        <v>#REF!</v>
      </c>
      <c r="W563" s="450" t="e">
        <f>+W562*$W$503/$W$502</f>
        <v>#REF!</v>
      </c>
      <c r="X563" s="169">
        <v>7</v>
      </c>
      <c r="Y563" s="163"/>
      <c r="Z563" s="163"/>
      <c r="AA563" s="492"/>
      <c r="AB563" s="500"/>
      <c r="AC563" s="449">
        <f>+AC562*$AC$503/$AC$502</f>
        <v>70935866.666666672</v>
      </c>
      <c r="AD563" s="449">
        <f>+AD562*$AD$503/$AD$502</f>
        <v>99016740.088888884</v>
      </c>
      <c r="AE563" s="449" t="e">
        <f>+AE562*$AE$503/$AE$502</f>
        <v>#VALUE!</v>
      </c>
      <c r="AF563" s="713"/>
      <c r="AG563" s="829"/>
      <c r="AH563" s="710"/>
      <c r="AI563" s="710"/>
      <c r="AJ563" s="710"/>
      <c r="AK563" s="710"/>
      <c r="AL563" s="710"/>
      <c r="AM563" s="710"/>
      <c r="AN563" s="710"/>
      <c r="AO563" s="710"/>
      <c r="AP563" s="710"/>
      <c r="AQ563" s="710"/>
      <c r="AR563" s="710"/>
      <c r="AS563" s="710"/>
      <c r="AT563" s="710"/>
      <c r="AU563" s="710"/>
      <c r="AV563" s="710"/>
      <c r="AW563" s="710"/>
      <c r="AX563" s="710"/>
      <c r="AY563" s="710"/>
    </row>
    <row r="564" spans="1:51" ht="27" customHeight="1" x14ac:dyDescent="0.25">
      <c r="A564" s="829"/>
      <c r="B564" s="710"/>
      <c r="C564" s="713"/>
      <c r="D564" s="408" t="s">
        <v>345</v>
      </c>
      <c r="E564" s="499"/>
      <c r="F564" s="189"/>
      <c r="G564" s="186"/>
      <c r="H564" s="186"/>
      <c r="I564" s="186"/>
      <c r="J564" s="450"/>
      <c r="K564" s="449"/>
      <c r="L564" s="450"/>
      <c r="M564" s="450"/>
      <c r="N564" s="490"/>
      <c r="O564" s="450"/>
      <c r="P564" s="452"/>
      <c r="Q564" s="450"/>
      <c r="R564" s="494"/>
      <c r="S564" s="163"/>
      <c r="T564" s="186"/>
      <c r="U564" s="186"/>
      <c r="V564" s="186"/>
      <c r="W564" s="491"/>
      <c r="X564" s="163"/>
      <c r="Y564" s="163"/>
      <c r="Z564" s="163"/>
      <c r="AA564" s="492"/>
      <c r="AB564" s="500"/>
      <c r="AC564" s="501"/>
      <c r="AD564" s="449"/>
      <c r="AE564" s="431"/>
      <c r="AF564" s="713"/>
      <c r="AG564" s="829"/>
      <c r="AH564" s="710"/>
      <c r="AI564" s="710"/>
      <c r="AJ564" s="710"/>
      <c r="AK564" s="710"/>
      <c r="AL564" s="710"/>
      <c r="AM564" s="710"/>
      <c r="AN564" s="710"/>
      <c r="AO564" s="710"/>
      <c r="AP564" s="710"/>
      <c r="AQ564" s="710"/>
      <c r="AR564" s="710"/>
      <c r="AS564" s="710"/>
      <c r="AT564" s="710"/>
      <c r="AU564" s="710"/>
      <c r="AV564" s="710"/>
      <c r="AW564" s="710"/>
      <c r="AX564" s="710"/>
      <c r="AY564" s="710"/>
    </row>
    <row r="565" spans="1:51" ht="27" customHeight="1" x14ac:dyDescent="0.25">
      <c r="A565" s="829"/>
      <c r="B565" s="710"/>
      <c r="C565" s="713"/>
      <c r="D565" s="404" t="s">
        <v>346</v>
      </c>
      <c r="E565" s="499"/>
      <c r="F565" s="189"/>
      <c r="G565" s="186"/>
      <c r="H565" s="186">
        <f>+$U$505/11</f>
        <v>7723875.0909090908</v>
      </c>
      <c r="I565" s="186"/>
      <c r="J565" s="450"/>
      <c r="K565" s="449"/>
      <c r="L565" s="450"/>
      <c r="M565" s="450"/>
      <c r="N565" s="490"/>
      <c r="O565" s="450"/>
      <c r="P565" s="452"/>
      <c r="Q565" s="450"/>
      <c r="R565" s="494"/>
      <c r="S565" s="163"/>
      <c r="T565" s="186">
        <f>+T562*$T$505/$T$502</f>
        <v>5276561.25</v>
      </c>
      <c r="U565" s="186">
        <f>+$U$505/11</f>
        <v>7723875.0909090908</v>
      </c>
      <c r="V565" s="186"/>
      <c r="W565" s="491"/>
      <c r="X565" s="163"/>
      <c r="Y565" s="163"/>
      <c r="Z565" s="163"/>
      <c r="AA565" s="492"/>
      <c r="AB565" s="500"/>
      <c r="AC565" s="501"/>
      <c r="AD565" s="449"/>
      <c r="AE565" s="431"/>
      <c r="AF565" s="713"/>
      <c r="AG565" s="829"/>
      <c r="AH565" s="710"/>
      <c r="AI565" s="710"/>
      <c r="AJ565" s="710"/>
      <c r="AK565" s="710"/>
      <c r="AL565" s="710"/>
      <c r="AM565" s="710"/>
      <c r="AN565" s="710"/>
      <c r="AO565" s="710"/>
      <c r="AP565" s="710"/>
      <c r="AQ565" s="710"/>
      <c r="AR565" s="710"/>
      <c r="AS565" s="710"/>
      <c r="AT565" s="710"/>
      <c r="AU565" s="710"/>
      <c r="AV565" s="710"/>
      <c r="AW565" s="710"/>
      <c r="AX565" s="710"/>
      <c r="AY565" s="710"/>
    </row>
    <row r="566" spans="1:51" ht="27" customHeight="1" x14ac:dyDescent="0.25">
      <c r="A566" s="829"/>
      <c r="B566" s="710"/>
      <c r="C566" s="713"/>
      <c r="D566" s="408" t="s">
        <v>347</v>
      </c>
      <c r="E566" s="179"/>
      <c r="F566" s="180"/>
      <c r="G566" s="178">
        <v>3</v>
      </c>
      <c r="H566" s="178">
        <v>6</v>
      </c>
      <c r="I566" s="178">
        <v>7</v>
      </c>
      <c r="J566" s="410">
        <v>7</v>
      </c>
      <c r="K566" s="409">
        <v>7</v>
      </c>
      <c r="L566" s="410"/>
      <c r="M566" s="410"/>
      <c r="N566" s="410"/>
      <c r="O566" s="410"/>
      <c r="P566" s="452">
        <v>4</v>
      </c>
      <c r="Q566" s="410">
        <v>8</v>
      </c>
      <c r="R566" s="416">
        <v>8</v>
      </c>
      <c r="S566" s="420"/>
      <c r="T566" s="178">
        <v>3</v>
      </c>
      <c r="U566" s="178">
        <v>6</v>
      </c>
      <c r="V566" s="178">
        <v>7</v>
      </c>
      <c r="W566" s="416">
        <v>7</v>
      </c>
      <c r="X566" s="169">
        <v>7</v>
      </c>
      <c r="Y566" s="420"/>
      <c r="Z566" s="420"/>
      <c r="AA566" s="420"/>
      <c r="AB566" s="502"/>
      <c r="AC566" s="401">
        <v>4</v>
      </c>
      <c r="AD566" s="409">
        <v>8</v>
      </c>
      <c r="AE566" s="401">
        <v>8</v>
      </c>
      <c r="AF566" s="713"/>
      <c r="AG566" s="829"/>
      <c r="AH566" s="710"/>
      <c r="AI566" s="710"/>
      <c r="AJ566" s="710"/>
      <c r="AK566" s="710"/>
      <c r="AL566" s="710"/>
      <c r="AM566" s="710"/>
      <c r="AN566" s="710"/>
      <c r="AO566" s="710"/>
      <c r="AP566" s="710"/>
      <c r="AQ566" s="710"/>
      <c r="AR566" s="710"/>
      <c r="AS566" s="710"/>
      <c r="AT566" s="710"/>
      <c r="AU566" s="710"/>
      <c r="AV566" s="710"/>
      <c r="AW566" s="710"/>
      <c r="AX566" s="710"/>
      <c r="AY566" s="710"/>
    </row>
    <row r="567" spans="1:51" ht="27.75" customHeight="1" x14ac:dyDescent="0.25">
      <c r="A567" s="829"/>
      <c r="B567" s="710"/>
      <c r="C567" s="830"/>
      <c r="D567" s="412" t="s">
        <v>348</v>
      </c>
      <c r="E567" s="503"/>
      <c r="F567" s="188"/>
      <c r="G567" s="186">
        <f>+G566*$G$503/$G$502</f>
        <v>13113525</v>
      </c>
      <c r="H567" s="186">
        <f>+H566*$H$503/$H$502</f>
        <v>26227050</v>
      </c>
      <c r="I567" s="186" t="e">
        <f>+I566*$I$503/$I$502</f>
        <v>#REF!</v>
      </c>
      <c r="J567" s="450" t="e">
        <f>+J566*$J$503/$J$502</f>
        <v>#REF!</v>
      </c>
      <c r="K567" s="451"/>
      <c r="L567" s="452"/>
      <c r="M567" s="452"/>
      <c r="N567" s="498"/>
      <c r="O567" s="452"/>
      <c r="P567" s="450">
        <f>+P566*$P$503/$P$502</f>
        <v>58754266.159999996</v>
      </c>
      <c r="Q567" s="450">
        <f>+Q566*$Q$503/$Q$502</f>
        <v>114308532.31999999</v>
      </c>
      <c r="R567" s="450">
        <f>+R566*$R$503/$R$502</f>
        <v>114308532.31999999</v>
      </c>
      <c r="S567" s="444"/>
      <c r="T567" s="187"/>
      <c r="U567" s="186">
        <f>+U566*$U$503/$U$502</f>
        <v>9203400</v>
      </c>
      <c r="V567" s="186" t="e">
        <f>+V566*$V$503/$V$502</f>
        <v>#REF!</v>
      </c>
      <c r="W567" s="450" t="e">
        <f>+W566*$W$503/$W$502</f>
        <v>#REF!</v>
      </c>
      <c r="X567" s="444"/>
      <c r="Y567" s="444"/>
      <c r="Z567" s="444"/>
      <c r="AA567" s="445"/>
      <c r="AB567" s="472"/>
      <c r="AC567" s="449">
        <f>+AC566*$AC$503/$AC$502</f>
        <v>70935866.666666672</v>
      </c>
      <c r="AD567" s="449">
        <f>+AD566*$AD$503/$AD$502</f>
        <v>99016740.088888884</v>
      </c>
      <c r="AE567" s="449" t="e">
        <f>+AE566*$AE$503/$AE$502</f>
        <v>#VALUE!</v>
      </c>
      <c r="AF567" s="830"/>
      <c r="AG567" s="823"/>
      <c r="AH567" s="731"/>
      <c r="AI567" s="731"/>
      <c r="AJ567" s="731"/>
      <c r="AK567" s="731"/>
      <c r="AL567" s="731"/>
      <c r="AM567" s="731"/>
      <c r="AN567" s="731"/>
      <c r="AO567" s="731"/>
      <c r="AP567" s="731"/>
      <c r="AQ567" s="731"/>
      <c r="AR567" s="731"/>
      <c r="AS567" s="731"/>
      <c r="AT567" s="731"/>
      <c r="AU567" s="731"/>
      <c r="AV567" s="731"/>
      <c r="AW567" s="731"/>
      <c r="AX567" s="731"/>
      <c r="AY567" s="731"/>
    </row>
    <row r="568" spans="1:51" ht="18" customHeight="1" x14ac:dyDescent="0.25">
      <c r="A568" s="829"/>
      <c r="B568" s="710"/>
      <c r="C568" s="813" t="s">
        <v>656</v>
      </c>
      <c r="D568" s="413" t="s">
        <v>340</v>
      </c>
      <c r="E568" s="179"/>
      <c r="F568" s="180"/>
      <c r="G568" s="178">
        <v>2</v>
      </c>
      <c r="H568" s="178">
        <v>2</v>
      </c>
      <c r="I568" s="178">
        <v>3</v>
      </c>
      <c r="J568" s="410">
        <v>4</v>
      </c>
      <c r="K568" s="409">
        <v>4</v>
      </c>
      <c r="L568" s="410"/>
      <c r="M568" s="410"/>
      <c r="N568" s="410"/>
      <c r="O568" s="410"/>
      <c r="P568" s="452"/>
      <c r="Q568" s="410"/>
      <c r="R568" s="416"/>
      <c r="S568" s="444"/>
      <c r="T568" s="178">
        <v>2</v>
      </c>
      <c r="U568" s="178">
        <v>2</v>
      </c>
      <c r="V568" s="178">
        <v>3</v>
      </c>
      <c r="W568" s="506">
        <v>4</v>
      </c>
      <c r="X568" s="444">
        <v>4</v>
      </c>
      <c r="Y568" s="444"/>
      <c r="Z568" s="444"/>
      <c r="AA568" s="445"/>
      <c r="AB568" s="472"/>
      <c r="AC568" s="401"/>
      <c r="AD568" s="409"/>
      <c r="AE568" s="447"/>
      <c r="AF568" s="933" t="s">
        <v>1361</v>
      </c>
      <c r="AG568" s="821" t="str">
        <f>+C568</f>
        <v>SUBA</v>
      </c>
      <c r="AH568" s="782" t="s">
        <v>1362</v>
      </c>
      <c r="AI568" s="782" t="s">
        <v>1363</v>
      </c>
      <c r="AJ568" s="935" t="s">
        <v>1340</v>
      </c>
      <c r="AK568" s="813" t="s">
        <v>457</v>
      </c>
      <c r="AL568" s="813" t="s">
        <v>656</v>
      </c>
      <c r="AM568" s="813" t="s">
        <v>1335</v>
      </c>
      <c r="AN568" s="946">
        <v>1229902</v>
      </c>
      <c r="AO568" s="947">
        <v>579046</v>
      </c>
      <c r="AP568" s="947">
        <v>650857</v>
      </c>
      <c r="AQ568" s="915" t="s">
        <v>459</v>
      </c>
      <c r="AR568" s="915" t="s">
        <v>459</v>
      </c>
      <c r="AS568" s="915" t="s">
        <v>459</v>
      </c>
      <c r="AT568" s="915" t="s">
        <v>459</v>
      </c>
      <c r="AU568" s="915" t="s">
        <v>459</v>
      </c>
      <c r="AV568" s="915" t="s">
        <v>459</v>
      </c>
      <c r="AW568" s="915" t="s">
        <v>459</v>
      </c>
      <c r="AX568" s="910">
        <v>1229902</v>
      </c>
      <c r="AY568" s="932" t="s">
        <v>1364</v>
      </c>
    </row>
    <row r="569" spans="1:51" ht="18" customHeight="1" x14ac:dyDescent="0.25">
      <c r="A569" s="829"/>
      <c r="B569" s="710"/>
      <c r="C569" s="710"/>
      <c r="D569" s="404" t="s">
        <v>343</v>
      </c>
      <c r="E569" s="499"/>
      <c r="F569" s="189"/>
      <c r="G569" s="186">
        <f>+G568*$G$503/$G$502</f>
        <v>8742350</v>
      </c>
      <c r="H569" s="186">
        <f>+H568*$H$503/$H$502</f>
        <v>8742350</v>
      </c>
      <c r="I569" s="186" t="e">
        <f>+I568*$I$503/$I$502</f>
        <v>#REF!</v>
      </c>
      <c r="J569" s="450" t="e">
        <f>+J568*$J$503/$J$502</f>
        <v>#REF!</v>
      </c>
      <c r="K569" s="449"/>
      <c r="L569" s="450"/>
      <c r="M569" s="450"/>
      <c r="N569" s="490"/>
      <c r="O569" s="450"/>
      <c r="P569" s="452"/>
      <c r="Q569" s="450"/>
      <c r="R569" s="494"/>
      <c r="S569" s="163"/>
      <c r="T569" s="186"/>
      <c r="U569" s="186">
        <f>+U568*$U$503/$U$502</f>
        <v>3067800</v>
      </c>
      <c r="V569" s="186" t="e">
        <f>+V568*$V$503/$V$502</f>
        <v>#REF!</v>
      </c>
      <c r="W569" s="450" t="e">
        <f>+W568*$W$503/$W$502</f>
        <v>#REF!</v>
      </c>
      <c r="X569" s="163"/>
      <c r="Y569" s="163"/>
      <c r="Z569" s="163"/>
      <c r="AA569" s="492"/>
      <c r="AB569" s="500"/>
      <c r="AC569" s="501"/>
      <c r="AD569" s="449"/>
      <c r="AE569" s="431"/>
      <c r="AF569" s="713"/>
      <c r="AG569" s="829"/>
      <c r="AH569" s="710"/>
      <c r="AI569" s="710"/>
      <c r="AJ569" s="710"/>
      <c r="AK569" s="710"/>
      <c r="AL569" s="710"/>
      <c r="AM569" s="710"/>
      <c r="AN569" s="710"/>
      <c r="AO569" s="710"/>
      <c r="AP569" s="710"/>
      <c r="AQ569" s="710"/>
      <c r="AR569" s="710"/>
      <c r="AS569" s="710"/>
      <c r="AT569" s="710"/>
      <c r="AU569" s="710"/>
      <c r="AV569" s="710"/>
      <c r="AW569" s="710"/>
      <c r="AX569" s="710"/>
      <c r="AY569" s="710"/>
    </row>
    <row r="570" spans="1:51" ht="27" customHeight="1" x14ac:dyDescent="0.25">
      <c r="A570" s="829"/>
      <c r="B570" s="710"/>
      <c r="C570" s="710"/>
      <c r="D570" s="408" t="s">
        <v>345</v>
      </c>
      <c r="E570" s="499"/>
      <c r="F570" s="189"/>
      <c r="G570" s="186"/>
      <c r="H570" s="186"/>
      <c r="I570" s="186"/>
      <c r="J570" s="450"/>
      <c r="K570" s="449"/>
      <c r="L570" s="450"/>
      <c r="M570" s="450"/>
      <c r="N570" s="490"/>
      <c r="O570" s="450"/>
      <c r="P570" s="452"/>
      <c r="Q570" s="450"/>
      <c r="R570" s="494"/>
      <c r="S570" s="163"/>
      <c r="T570" s="186"/>
      <c r="U570" s="186"/>
      <c r="V570" s="186"/>
      <c r="W570" s="491"/>
      <c r="X570" s="163"/>
      <c r="Y570" s="163"/>
      <c r="Z570" s="163"/>
      <c r="AA570" s="492"/>
      <c r="AB570" s="500"/>
      <c r="AC570" s="501"/>
      <c r="AD570" s="449"/>
      <c r="AE570" s="431"/>
      <c r="AF570" s="713"/>
      <c r="AG570" s="829"/>
      <c r="AH570" s="710"/>
      <c r="AI570" s="710"/>
      <c r="AJ570" s="710"/>
      <c r="AK570" s="710"/>
      <c r="AL570" s="710"/>
      <c r="AM570" s="710"/>
      <c r="AN570" s="710"/>
      <c r="AO570" s="710"/>
      <c r="AP570" s="710"/>
      <c r="AQ570" s="710"/>
      <c r="AR570" s="710"/>
      <c r="AS570" s="710"/>
      <c r="AT570" s="710"/>
      <c r="AU570" s="710"/>
      <c r="AV570" s="710"/>
      <c r="AW570" s="710"/>
      <c r="AX570" s="710"/>
      <c r="AY570" s="710"/>
    </row>
    <row r="571" spans="1:51" ht="27" customHeight="1" x14ac:dyDescent="0.25">
      <c r="A571" s="829"/>
      <c r="B571" s="710"/>
      <c r="C571" s="710"/>
      <c r="D571" s="404" t="s">
        <v>346</v>
      </c>
      <c r="E571" s="499"/>
      <c r="F571" s="189"/>
      <c r="G571" s="186"/>
      <c r="H571" s="186">
        <f>+$U$505/11</f>
        <v>7723875.0909090908</v>
      </c>
      <c r="I571" s="186"/>
      <c r="J571" s="450"/>
      <c r="K571" s="449"/>
      <c r="L571" s="450"/>
      <c r="M571" s="450"/>
      <c r="N571" s="490"/>
      <c r="O571" s="450"/>
      <c r="P571" s="452"/>
      <c r="Q571" s="450"/>
      <c r="R571" s="494"/>
      <c r="S571" s="163"/>
      <c r="T571" s="186">
        <f>+T568*$T$505/$T$502</f>
        <v>3517707.5</v>
      </c>
      <c r="U571" s="186">
        <f>+$U$505/11</f>
        <v>7723875.0909090908</v>
      </c>
      <c r="V571" s="186"/>
      <c r="W571" s="491"/>
      <c r="X571" s="163"/>
      <c r="Y571" s="163"/>
      <c r="Z571" s="163"/>
      <c r="AA571" s="492"/>
      <c r="AB571" s="500"/>
      <c r="AC571" s="501"/>
      <c r="AD571" s="449"/>
      <c r="AE571" s="431"/>
      <c r="AF571" s="713"/>
      <c r="AG571" s="829"/>
      <c r="AH571" s="710"/>
      <c r="AI571" s="710"/>
      <c r="AJ571" s="710"/>
      <c r="AK571" s="710"/>
      <c r="AL571" s="710"/>
      <c r="AM571" s="710"/>
      <c r="AN571" s="710"/>
      <c r="AO571" s="710"/>
      <c r="AP571" s="710"/>
      <c r="AQ571" s="710"/>
      <c r="AR571" s="710"/>
      <c r="AS571" s="710"/>
      <c r="AT571" s="710"/>
      <c r="AU571" s="710"/>
      <c r="AV571" s="710"/>
      <c r="AW571" s="710"/>
      <c r="AX571" s="710"/>
      <c r="AY571" s="710"/>
    </row>
    <row r="572" spans="1:51" ht="27" customHeight="1" x14ac:dyDescent="0.25">
      <c r="A572" s="829"/>
      <c r="B572" s="710"/>
      <c r="C572" s="710"/>
      <c r="D572" s="408" t="s">
        <v>347</v>
      </c>
      <c r="E572" s="179"/>
      <c r="F572" s="180"/>
      <c r="G572" s="178">
        <v>2</v>
      </c>
      <c r="H572" s="178">
        <v>2</v>
      </c>
      <c r="I572" s="178">
        <v>3</v>
      </c>
      <c r="J572" s="410">
        <v>4</v>
      </c>
      <c r="K572" s="409">
        <v>4</v>
      </c>
      <c r="L572" s="410"/>
      <c r="M572" s="410"/>
      <c r="N572" s="410"/>
      <c r="O572" s="410"/>
      <c r="P572" s="452"/>
      <c r="Q572" s="410"/>
      <c r="R572" s="416"/>
      <c r="S572" s="420"/>
      <c r="T572" s="178">
        <v>2</v>
      </c>
      <c r="U572" s="178">
        <v>2</v>
      </c>
      <c r="V572" s="178">
        <v>3</v>
      </c>
      <c r="W572" s="416">
        <v>4</v>
      </c>
      <c r="X572" s="169">
        <v>4</v>
      </c>
      <c r="Y572" s="420"/>
      <c r="Z572" s="420"/>
      <c r="AA572" s="420"/>
      <c r="AB572" s="502"/>
      <c r="AC572" s="401"/>
      <c r="AD572" s="409"/>
      <c r="AE572" s="401"/>
      <c r="AF572" s="713"/>
      <c r="AG572" s="829"/>
      <c r="AH572" s="710"/>
      <c r="AI572" s="710"/>
      <c r="AJ572" s="710"/>
      <c r="AK572" s="710"/>
      <c r="AL572" s="710"/>
      <c r="AM572" s="710"/>
      <c r="AN572" s="710"/>
      <c r="AO572" s="710"/>
      <c r="AP572" s="710"/>
      <c r="AQ572" s="710"/>
      <c r="AR572" s="710"/>
      <c r="AS572" s="710"/>
      <c r="AT572" s="710"/>
      <c r="AU572" s="710"/>
      <c r="AV572" s="710"/>
      <c r="AW572" s="710"/>
      <c r="AX572" s="710"/>
      <c r="AY572" s="710"/>
    </row>
    <row r="573" spans="1:51" ht="27.75" customHeight="1" x14ac:dyDescent="0.25">
      <c r="A573" s="829"/>
      <c r="B573" s="710"/>
      <c r="C573" s="731"/>
      <c r="D573" s="412" t="s">
        <v>348</v>
      </c>
      <c r="E573" s="503"/>
      <c r="F573" s="188"/>
      <c r="G573" s="186">
        <f>+G572*$G$503/$G$502</f>
        <v>8742350</v>
      </c>
      <c r="H573" s="186">
        <f>+H572*$H$503/$H$502</f>
        <v>8742350</v>
      </c>
      <c r="I573" s="186" t="e">
        <f>+I572*$I$503/$I$502</f>
        <v>#REF!</v>
      </c>
      <c r="J573" s="450" t="e">
        <f>+J572*$J$503/$J$502</f>
        <v>#REF!</v>
      </c>
      <c r="K573" s="451"/>
      <c r="L573" s="452"/>
      <c r="M573" s="452"/>
      <c r="N573" s="498"/>
      <c r="O573" s="452"/>
      <c r="P573" s="452"/>
      <c r="Q573" s="452"/>
      <c r="R573" s="442"/>
      <c r="S573" s="444"/>
      <c r="T573" s="187"/>
      <c r="U573" s="186">
        <f>+U572*$U$503/$U$502</f>
        <v>3067800</v>
      </c>
      <c r="V573" s="186" t="e">
        <f>+V572*$V$503/$V$502</f>
        <v>#REF!</v>
      </c>
      <c r="W573" s="450" t="e">
        <f>+W572*$W$503/$W$502</f>
        <v>#REF!</v>
      </c>
      <c r="X573" s="444"/>
      <c r="Y573" s="444"/>
      <c r="Z573" s="444"/>
      <c r="AA573" s="445"/>
      <c r="AB573" s="472"/>
      <c r="AC573" s="501"/>
      <c r="AD573" s="451"/>
      <c r="AE573" s="447"/>
      <c r="AF573" s="830"/>
      <c r="AG573" s="823"/>
      <c r="AH573" s="731"/>
      <c r="AI573" s="731"/>
      <c r="AJ573" s="731"/>
      <c r="AK573" s="731"/>
      <c r="AL573" s="731"/>
      <c r="AM573" s="731"/>
      <c r="AN573" s="731"/>
      <c r="AO573" s="731"/>
      <c r="AP573" s="731"/>
      <c r="AQ573" s="731"/>
      <c r="AR573" s="731"/>
      <c r="AS573" s="731"/>
      <c r="AT573" s="731"/>
      <c r="AU573" s="731"/>
      <c r="AV573" s="731"/>
      <c r="AW573" s="731"/>
      <c r="AX573" s="731"/>
      <c r="AY573" s="731"/>
    </row>
    <row r="574" spans="1:51" ht="18" customHeight="1" x14ac:dyDescent="0.25">
      <c r="A574" s="829"/>
      <c r="B574" s="710"/>
      <c r="C574" s="961" t="s">
        <v>659</v>
      </c>
      <c r="D574" s="413" t="s">
        <v>340</v>
      </c>
      <c r="E574" s="179"/>
      <c r="F574" s="180"/>
      <c r="G574" s="174"/>
      <c r="H574" s="178">
        <v>2</v>
      </c>
      <c r="I574" s="178">
        <v>2</v>
      </c>
      <c r="J574" s="410">
        <v>4</v>
      </c>
      <c r="K574" s="409">
        <v>4</v>
      </c>
      <c r="L574" s="410"/>
      <c r="M574" s="410"/>
      <c r="N574" s="410"/>
      <c r="O574" s="410"/>
      <c r="P574" s="452"/>
      <c r="Q574" s="410"/>
      <c r="R574" s="416"/>
      <c r="S574" s="444"/>
      <c r="T574" s="174"/>
      <c r="U574" s="178">
        <v>2</v>
      </c>
      <c r="V574" s="178">
        <v>2</v>
      </c>
      <c r="W574" s="442">
        <v>4</v>
      </c>
      <c r="X574" s="444">
        <v>4</v>
      </c>
      <c r="Y574" s="444"/>
      <c r="Z574" s="444"/>
      <c r="AA574" s="445"/>
      <c r="AB574" s="472"/>
      <c r="AC574" s="401"/>
      <c r="AD574" s="409"/>
      <c r="AE574" s="447"/>
      <c r="AF574" s="933" t="s">
        <v>1365</v>
      </c>
      <c r="AG574" s="821" t="str">
        <f>+C574</f>
        <v>BARRIOS UNIDOS</v>
      </c>
      <c r="AH574" s="782" t="s">
        <v>1366</v>
      </c>
      <c r="AI574" s="782" t="s">
        <v>1367</v>
      </c>
      <c r="AJ574" s="935" t="s">
        <v>1340</v>
      </c>
      <c r="AK574" s="813" t="s">
        <v>457</v>
      </c>
      <c r="AL574" s="813" t="s">
        <v>178</v>
      </c>
      <c r="AM574" s="813" t="s">
        <v>1335</v>
      </c>
      <c r="AN574" s="946">
        <v>138605</v>
      </c>
      <c r="AO574" s="947">
        <v>65263</v>
      </c>
      <c r="AP574" s="947">
        <v>73342.037997114603</v>
      </c>
      <c r="AQ574" s="915" t="s">
        <v>459</v>
      </c>
      <c r="AR574" s="915" t="s">
        <v>459</v>
      </c>
      <c r="AS574" s="915" t="s">
        <v>459</v>
      </c>
      <c r="AT574" s="915" t="s">
        <v>459</v>
      </c>
      <c r="AU574" s="915" t="s">
        <v>459</v>
      </c>
      <c r="AV574" s="915" t="s">
        <v>459</v>
      </c>
      <c r="AW574" s="915" t="s">
        <v>459</v>
      </c>
      <c r="AX574" s="910">
        <v>8185614</v>
      </c>
      <c r="AY574" s="932" t="s">
        <v>1368</v>
      </c>
    </row>
    <row r="575" spans="1:51" ht="18" customHeight="1" x14ac:dyDescent="0.25">
      <c r="A575" s="829"/>
      <c r="B575" s="710"/>
      <c r="C575" s="713"/>
      <c r="D575" s="404" t="s">
        <v>343</v>
      </c>
      <c r="E575" s="499"/>
      <c r="F575" s="189"/>
      <c r="G575" s="186"/>
      <c r="H575" s="186">
        <f>+H574*$H$503/$H$502</f>
        <v>8742350</v>
      </c>
      <c r="I575" s="186" t="e">
        <f>+I574*$I$503/$I$502</f>
        <v>#REF!</v>
      </c>
      <c r="J575" s="450" t="e">
        <f>+J574*$J$503/$J$502</f>
        <v>#REF!</v>
      </c>
      <c r="K575" s="449"/>
      <c r="L575" s="450"/>
      <c r="M575" s="450"/>
      <c r="N575" s="490"/>
      <c r="O575" s="450"/>
      <c r="P575" s="452"/>
      <c r="Q575" s="450"/>
      <c r="R575" s="494"/>
      <c r="S575" s="163"/>
      <c r="T575" s="186"/>
      <c r="U575" s="186">
        <f>+U574*$U$503/$U$502</f>
        <v>3067800</v>
      </c>
      <c r="V575" s="186" t="e">
        <f>+V574*$V$503/$V$502</f>
        <v>#REF!</v>
      </c>
      <c r="W575" s="450" t="e">
        <f>+W574*$W$503/$W$502</f>
        <v>#REF!</v>
      </c>
      <c r="X575" s="163"/>
      <c r="Y575" s="163"/>
      <c r="Z575" s="163"/>
      <c r="AA575" s="492"/>
      <c r="AB575" s="500"/>
      <c r="AC575" s="501"/>
      <c r="AD575" s="449"/>
      <c r="AE575" s="431"/>
      <c r="AF575" s="713"/>
      <c r="AG575" s="829"/>
      <c r="AH575" s="710"/>
      <c r="AI575" s="710"/>
      <c r="AJ575" s="710"/>
      <c r="AK575" s="710"/>
      <c r="AL575" s="710"/>
      <c r="AM575" s="710"/>
      <c r="AN575" s="710"/>
      <c r="AO575" s="710"/>
      <c r="AP575" s="710"/>
      <c r="AQ575" s="710"/>
      <c r="AR575" s="710"/>
      <c r="AS575" s="710"/>
      <c r="AT575" s="710"/>
      <c r="AU575" s="710"/>
      <c r="AV575" s="710"/>
      <c r="AW575" s="710"/>
      <c r="AX575" s="710"/>
      <c r="AY575" s="710"/>
    </row>
    <row r="576" spans="1:51" ht="27" customHeight="1" x14ac:dyDescent="0.25">
      <c r="A576" s="829"/>
      <c r="B576" s="710"/>
      <c r="C576" s="713"/>
      <c r="D576" s="408" t="s">
        <v>345</v>
      </c>
      <c r="E576" s="499"/>
      <c r="F576" s="189"/>
      <c r="G576" s="186"/>
      <c r="H576" s="186"/>
      <c r="I576" s="186"/>
      <c r="J576" s="450"/>
      <c r="K576" s="449"/>
      <c r="L576" s="450"/>
      <c r="M576" s="450"/>
      <c r="N576" s="490"/>
      <c r="O576" s="450"/>
      <c r="P576" s="452"/>
      <c r="Q576" s="450"/>
      <c r="R576" s="494"/>
      <c r="S576" s="163"/>
      <c r="T576" s="186"/>
      <c r="U576" s="186"/>
      <c r="V576" s="186"/>
      <c r="W576" s="491"/>
      <c r="X576" s="163"/>
      <c r="Y576" s="163"/>
      <c r="Z576" s="163"/>
      <c r="AA576" s="492"/>
      <c r="AB576" s="500"/>
      <c r="AC576" s="501"/>
      <c r="AD576" s="449"/>
      <c r="AE576" s="431"/>
      <c r="AF576" s="713"/>
      <c r="AG576" s="829"/>
      <c r="AH576" s="710"/>
      <c r="AI576" s="710"/>
      <c r="AJ576" s="710"/>
      <c r="AK576" s="710"/>
      <c r="AL576" s="710"/>
      <c r="AM576" s="710"/>
      <c r="AN576" s="710"/>
      <c r="AO576" s="710"/>
      <c r="AP576" s="710"/>
      <c r="AQ576" s="710"/>
      <c r="AR576" s="710"/>
      <c r="AS576" s="710"/>
      <c r="AT576" s="710"/>
      <c r="AU576" s="710"/>
      <c r="AV576" s="710"/>
      <c r="AW576" s="710"/>
      <c r="AX576" s="710"/>
      <c r="AY576" s="710"/>
    </row>
    <row r="577" spans="1:51" ht="27" customHeight="1" x14ac:dyDescent="0.25">
      <c r="A577" s="829"/>
      <c r="B577" s="710"/>
      <c r="C577" s="713"/>
      <c r="D577" s="404" t="s">
        <v>346</v>
      </c>
      <c r="E577" s="499"/>
      <c r="F577" s="189"/>
      <c r="G577" s="186"/>
      <c r="H577" s="186">
        <f>+$U$505/11</f>
        <v>7723875.0909090908</v>
      </c>
      <c r="I577" s="186"/>
      <c r="J577" s="450"/>
      <c r="K577" s="449"/>
      <c r="L577" s="450"/>
      <c r="M577" s="450"/>
      <c r="N577" s="490"/>
      <c r="O577" s="450"/>
      <c r="P577" s="452"/>
      <c r="Q577" s="450"/>
      <c r="R577" s="494"/>
      <c r="S577" s="163"/>
      <c r="T577" s="186"/>
      <c r="U577" s="186">
        <f>+$U$505/11</f>
        <v>7723875.0909090908</v>
      </c>
      <c r="V577" s="186"/>
      <c r="W577" s="491"/>
      <c r="X577" s="163"/>
      <c r="Y577" s="163"/>
      <c r="Z577" s="163"/>
      <c r="AA577" s="492"/>
      <c r="AB577" s="500"/>
      <c r="AC577" s="501"/>
      <c r="AD577" s="449"/>
      <c r="AE577" s="431"/>
      <c r="AF577" s="713"/>
      <c r="AG577" s="829"/>
      <c r="AH577" s="710"/>
      <c r="AI577" s="710"/>
      <c r="AJ577" s="710"/>
      <c r="AK577" s="710"/>
      <c r="AL577" s="710"/>
      <c r="AM577" s="710"/>
      <c r="AN577" s="710"/>
      <c r="AO577" s="710"/>
      <c r="AP577" s="710"/>
      <c r="AQ577" s="710"/>
      <c r="AR577" s="710"/>
      <c r="AS577" s="710"/>
      <c r="AT577" s="710"/>
      <c r="AU577" s="710"/>
      <c r="AV577" s="710"/>
      <c r="AW577" s="710"/>
      <c r="AX577" s="710"/>
      <c r="AY577" s="710"/>
    </row>
    <row r="578" spans="1:51" ht="27" customHeight="1" x14ac:dyDescent="0.25">
      <c r="A578" s="829"/>
      <c r="B578" s="710"/>
      <c r="C578" s="713"/>
      <c r="D578" s="408" t="s">
        <v>347</v>
      </c>
      <c r="E578" s="179"/>
      <c r="F578" s="180"/>
      <c r="G578" s="174"/>
      <c r="H578" s="178">
        <v>2</v>
      </c>
      <c r="I578" s="178">
        <v>2</v>
      </c>
      <c r="J578" s="410">
        <v>4</v>
      </c>
      <c r="K578" s="409">
        <v>4</v>
      </c>
      <c r="L578" s="410"/>
      <c r="M578" s="410"/>
      <c r="N578" s="410"/>
      <c r="O578" s="410"/>
      <c r="P578" s="452"/>
      <c r="Q578" s="410"/>
      <c r="R578" s="416"/>
      <c r="S578" s="420"/>
      <c r="T578" s="174"/>
      <c r="U578" s="178">
        <v>2</v>
      </c>
      <c r="V578" s="178">
        <v>2</v>
      </c>
      <c r="W578" s="416">
        <v>4</v>
      </c>
      <c r="X578" s="169">
        <v>4</v>
      </c>
      <c r="Y578" s="420"/>
      <c r="Z578" s="420"/>
      <c r="AA578" s="420"/>
      <c r="AB578" s="502"/>
      <c r="AC578" s="401"/>
      <c r="AD578" s="409"/>
      <c r="AE578" s="401"/>
      <c r="AF578" s="713"/>
      <c r="AG578" s="829"/>
      <c r="AH578" s="710"/>
      <c r="AI578" s="710"/>
      <c r="AJ578" s="710"/>
      <c r="AK578" s="710"/>
      <c r="AL578" s="710"/>
      <c r="AM578" s="710"/>
      <c r="AN578" s="710"/>
      <c r="AO578" s="710"/>
      <c r="AP578" s="710"/>
      <c r="AQ578" s="710"/>
      <c r="AR578" s="710"/>
      <c r="AS578" s="710"/>
      <c r="AT578" s="710"/>
      <c r="AU578" s="710"/>
      <c r="AV578" s="710"/>
      <c r="AW578" s="710"/>
      <c r="AX578" s="710"/>
      <c r="AY578" s="710"/>
    </row>
    <row r="579" spans="1:51" ht="27.75" customHeight="1" x14ac:dyDescent="0.25">
      <c r="A579" s="829"/>
      <c r="B579" s="710"/>
      <c r="C579" s="830"/>
      <c r="D579" s="412" t="s">
        <v>348</v>
      </c>
      <c r="E579" s="503"/>
      <c r="F579" s="188"/>
      <c r="G579" s="187"/>
      <c r="H579" s="186">
        <f>+H578*$H$503/$H$502</f>
        <v>8742350</v>
      </c>
      <c r="I579" s="186" t="e">
        <f>+I578*$I$503/$I$502</f>
        <v>#REF!</v>
      </c>
      <c r="J579" s="450" t="e">
        <f>+J578*$J$503/$J$502</f>
        <v>#REF!</v>
      </c>
      <c r="K579" s="451"/>
      <c r="L579" s="452"/>
      <c r="M579" s="452"/>
      <c r="N579" s="498"/>
      <c r="O579" s="452"/>
      <c r="P579" s="452"/>
      <c r="Q579" s="452"/>
      <c r="R579" s="442"/>
      <c r="S579" s="444"/>
      <c r="T579" s="187"/>
      <c r="U579" s="186">
        <f>+U578*$U$503/$U$502</f>
        <v>3067800</v>
      </c>
      <c r="V579" s="186" t="e">
        <f>+V578*$V$503/$V$502</f>
        <v>#REF!</v>
      </c>
      <c r="W579" s="450" t="e">
        <f>+W578*$W$503/$W$502</f>
        <v>#REF!</v>
      </c>
      <c r="X579" s="444"/>
      <c r="Y579" s="444"/>
      <c r="Z579" s="444"/>
      <c r="AA579" s="445"/>
      <c r="AB579" s="472"/>
      <c r="AC579" s="501"/>
      <c r="AD579" s="451"/>
      <c r="AE579" s="447"/>
      <c r="AF579" s="830"/>
      <c r="AG579" s="823"/>
      <c r="AH579" s="731"/>
      <c r="AI579" s="731"/>
      <c r="AJ579" s="731"/>
      <c r="AK579" s="731"/>
      <c r="AL579" s="731"/>
      <c r="AM579" s="731"/>
      <c r="AN579" s="731"/>
      <c r="AO579" s="731"/>
      <c r="AP579" s="731"/>
      <c r="AQ579" s="731"/>
      <c r="AR579" s="731"/>
      <c r="AS579" s="731"/>
      <c r="AT579" s="731"/>
      <c r="AU579" s="731"/>
      <c r="AV579" s="731"/>
      <c r="AW579" s="731"/>
      <c r="AX579" s="731"/>
      <c r="AY579" s="731"/>
    </row>
    <row r="580" spans="1:51" ht="18" customHeight="1" x14ac:dyDescent="0.25">
      <c r="A580" s="829"/>
      <c r="B580" s="710"/>
      <c r="C580" s="813" t="s">
        <v>1192</v>
      </c>
      <c r="D580" s="413" t="s">
        <v>340</v>
      </c>
      <c r="E580" s="179"/>
      <c r="F580" s="180"/>
      <c r="G580" s="178">
        <v>1</v>
      </c>
      <c r="H580" s="178">
        <v>2</v>
      </c>
      <c r="I580" s="178">
        <v>2</v>
      </c>
      <c r="J580" s="410">
        <v>2</v>
      </c>
      <c r="K580" s="409">
        <v>3</v>
      </c>
      <c r="L580" s="410"/>
      <c r="M580" s="410"/>
      <c r="N580" s="410"/>
      <c r="O580" s="410">
        <v>1</v>
      </c>
      <c r="P580" s="452">
        <v>1</v>
      </c>
      <c r="Q580" s="410">
        <v>1</v>
      </c>
      <c r="R580" s="416">
        <v>1</v>
      </c>
      <c r="S580" s="444"/>
      <c r="T580" s="178">
        <v>1</v>
      </c>
      <c r="U580" s="178">
        <v>2</v>
      </c>
      <c r="V580" s="178">
        <v>2</v>
      </c>
      <c r="W580" s="442">
        <v>2</v>
      </c>
      <c r="X580" s="505">
        <v>3</v>
      </c>
      <c r="Y580" s="444"/>
      <c r="Z580" s="444"/>
      <c r="AA580" s="445"/>
      <c r="AB580" s="472">
        <v>1</v>
      </c>
      <c r="AC580" s="401">
        <v>1</v>
      </c>
      <c r="AD580" s="409">
        <v>1</v>
      </c>
      <c r="AE580" s="447">
        <v>1</v>
      </c>
      <c r="AF580" s="936" t="s">
        <v>1369</v>
      </c>
      <c r="AG580" s="937" t="str">
        <f>+C580</f>
        <v>TEUSAQUILLO</v>
      </c>
      <c r="AH580" s="938" t="s">
        <v>1370</v>
      </c>
      <c r="AI580" s="938" t="s">
        <v>1371</v>
      </c>
      <c r="AJ580" s="935" t="s">
        <v>1340</v>
      </c>
      <c r="AK580" s="813" t="s">
        <v>457</v>
      </c>
      <c r="AL580" s="813" t="s">
        <v>178</v>
      </c>
      <c r="AM580" s="813" t="s">
        <v>1335</v>
      </c>
      <c r="AN580" s="931">
        <v>153162</v>
      </c>
      <c r="AO580" s="910">
        <v>71661</v>
      </c>
      <c r="AP580" s="910">
        <v>81501</v>
      </c>
      <c r="AQ580" s="915" t="s">
        <v>459</v>
      </c>
      <c r="AR580" s="915" t="s">
        <v>459</v>
      </c>
      <c r="AS580" s="915" t="s">
        <v>459</v>
      </c>
      <c r="AT580" s="915" t="s">
        <v>459</v>
      </c>
      <c r="AU580" s="915" t="s">
        <v>459</v>
      </c>
      <c r="AV580" s="915" t="s">
        <v>459</v>
      </c>
      <c r="AW580" s="915" t="s">
        <v>459</v>
      </c>
      <c r="AX580" s="910">
        <v>153162</v>
      </c>
      <c r="AY580" s="940" t="s">
        <v>1372</v>
      </c>
    </row>
    <row r="581" spans="1:51" ht="15.75" customHeight="1" x14ac:dyDescent="0.25">
      <c r="A581" s="829"/>
      <c r="B581" s="710"/>
      <c r="C581" s="710"/>
      <c r="D581" s="404" t="s">
        <v>343</v>
      </c>
      <c r="E581" s="499"/>
      <c r="F581" s="189"/>
      <c r="G581" s="186">
        <f>+G580*$G$503/$G$502</f>
        <v>4371175</v>
      </c>
      <c r="H581" s="186">
        <f>+H580*$H$503/$H$502</f>
        <v>8742350</v>
      </c>
      <c r="I581" s="186" t="e">
        <f>+I580*$I$503/$I$502</f>
        <v>#REF!</v>
      </c>
      <c r="J581" s="450" t="e">
        <f>+J580*$J$503/$J$502</f>
        <v>#REF!</v>
      </c>
      <c r="K581" s="449"/>
      <c r="L581" s="450"/>
      <c r="M581" s="450"/>
      <c r="N581" s="490"/>
      <c r="O581" s="450">
        <f>+O580*$O$503/$O$502</f>
        <v>12823849.800000001</v>
      </c>
      <c r="P581" s="450">
        <f>+P580*$P$503/$P$502</f>
        <v>14688566.539999999</v>
      </c>
      <c r="Q581" s="450">
        <f>+Q580*$Q$503/$Q$502</f>
        <v>14288566.539999999</v>
      </c>
      <c r="R581" s="450">
        <f>+R580*$R$503/$R$502</f>
        <v>14288566.539999999</v>
      </c>
      <c r="S581" s="163"/>
      <c r="T581" s="186"/>
      <c r="U581" s="186">
        <f>+U580*$U$503/$U$502</f>
        <v>3067800</v>
      </c>
      <c r="V581" s="186" t="e">
        <f>+V580*$V$503/$V$502</f>
        <v>#REF!</v>
      </c>
      <c r="W581" s="450" t="e">
        <f>+W580*$W$503/$W$502</f>
        <v>#REF!</v>
      </c>
      <c r="X581" s="163"/>
      <c r="Y581" s="163"/>
      <c r="Z581" s="163"/>
      <c r="AA581" s="492"/>
      <c r="AB581" s="449">
        <f>+AB580*$AB$503/$AB$502</f>
        <v>53201900</v>
      </c>
      <c r="AC581" s="449">
        <f>+AC580*$AC$503/$AC$502</f>
        <v>17733966.666666668</v>
      </c>
      <c r="AD581" s="449">
        <f>+AD580*$AD$503/$AD$502</f>
        <v>12377092.51111111</v>
      </c>
      <c r="AE581" s="449" t="e">
        <f>+AE580*$AE$503/$AE$502</f>
        <v>#VALUE!</v>
      </c>
      <c r="AF581" s="713"/>
      <c r="AG581" s="829"/>
      <c r="AH581" s="710"/>
      <c r="AI581" s="710"/>
      <c r="AJ581" s="710"/>
      <c r="AK581" s="710"/>
      <c r="AL581" s="710"/>
      <c r="AM581" s="710"/>
      <c r="AN581" s="710"/>
      <c r="AO581" s="710"/>
      <c r="AP581" s="710"/>
      <c r="AQ581" s="710"/>
      <c r="AR581" s="710"/>
      <c r="AS581" s="710"/>
      <c r="AT581" s="710"/>
      <c r="AU581" s="710"/>
      <c r="AV581" s="710"/>
      <c r="AW581" s="710"/>
      <c r="AX581" s="710"/>
      <c r="AY581" s="710"/>
    </row>
    <row r="582" spans="1:51" ht="15.75" customHeight="1" x14ac:dyDescent="0.25">
      <c r="A582" s="829"/>
      <c r="B582" s="710"/>
      <c r="C582" s="710"/>
      <c r="D582" s="408" t="s">
        <v>345</v>
      </c>
      <c r="E582" s="499"/>
      <c r="F582" s="189"/>
      <c r="G582" s="186"/>
      <c r="H582" s="186"/>
      <c r="I582" s="186"/>
      <c r="J582" s="450"/>
      <c r="K582" s="449"/>
      <c r="L582" s="450"/>
      <c r="M582" s="450"/>
      <c r="N582" s="490"/>
      <c r="O582" s="450"/>
      <c r="P582" s="452"/>
      <c r="Q582" s="450"/>
      <c r="R582" s="494"/>
      <c r="S582" s="163"/>
      <c r="T582" s="186"/>
      <c r="U582" s="186"/>
      <c r="V582" s="186"/>
      <c r="W582" s="491"/>
      <c r="X582" s="163"/>
      <c r="Y582" s="163"/>
      <c r="Z582" s="163"/>
      <c r="AA582" s="492"/>
      <c r="AB582" s="500"/>
      <c r="AC582" s="501"/>
      <c r="AD582" s="449"/>
      <c r="AE582" s="431"/>
      <c r="AF582" s="713"/>
      <c r="AG582" s="829"/>
      <c r="AH582" s="710"/>
      <c r="AI582" s="710"/>
      <c r="AJ582" s="710"/>
      <c r="AK582" s="710"/>
      <c r="AL582" s="710"/>
      <c r="AM582" s="710"/>
      <c r="AN582" s="710"/>
      <c r="AO582" s="710"/>
      <c r="AP582" s="710"/>
      <c r="AQ582" s="710"/>
      <c r="AR582" s="710"/>
      <c r="AS582" s="710"/>
      <c r="AT582" s="710"/>
      <c r="AU582" s="710"/>
      <c r="AV582" s="710"/>
      <c r="AW582" s="710"/>
      <c r="AX582" s="710"/>
      <c r="AY582" s="710"/>
    </row>
    <row r="583" spans="1:51" ht="18.75" customHeight="1" x14ac:dyDescent="0.25">
      <c r="A583" s="829"/>
      <c r="B583" s="710"/>
      <c r="C583" s="710"/>
      <c r="D583" s="404" t="s">
        <v>346</v>
      </c>
      <c r="E583" s="499"/>
      <c r="F583" s="189"/>
      <c r="G583" s="186"/>
      <c r="H583" s="186">
        <f>+$U$505/11</f>
        <v>7723875.0909090908</v>
      </c>
      <c r="I583" s="186"/>
      <c r="J583" s="450"/>
      <c r="K583" s="449"/>
      <c r="L583" s="450"/>
      <c r="M583" s="450"/>
      <c r="N583" s="490"/>
      <c r="O583" s="450"/>
      <c r="P583" s="452"/>
      <c r="Q583" s="450"/>
      <c r="R583" s="494"/>
      <c r="S583" s="163"/>
      <c r="T583" s="186">
        <f>+T580*$T$505/$T$502</f>
        <v>1758853.75</v>
      </c>
      <c r="U583" s="186">
        <f>+$U$505/11</f>
        <v>7723875.0909090908</v>
      </c>
      <c r="V583" s="186"/>
      <c r="W583" s="491"/>
      <c r="X583" s="163"/>
      <c r="Y583" s="163"/>
      <c r="Z583" s="163"/>
      <c r="AA583" s="492"/>
      <c r="AB583" s="500"/>
      <c r="AC583" s="501"/>
      <c r="AD583" s="449"/>
      <c r="AE583" s="431"/>
      <c r="AF583" s="713"/>
      <c r="AG583" s="829"/>
      <c r="AH583" s="710"/>
      <c r="AI583" s="710"/>
      <c r="AJ583" s="710"/>
      <c r="AK583" s="710"/>
      <c r="AL583" s="710"/>
      <c r="AM583" s="710"/>
      <c r="AN583" s="710"/>
      <c r="AO583" s="710"/>
      <c r="AP583" s="710"/>
      <c r="AQ583" s="710"/>
      <c r="AR583" s="710"/>
      <c r="AS583" s="710"/>
      <c r="AT583" s="710"/>
      <c r="AU583" s="710"/>
      <c r="AV583" s="710"/>
      <c r="AW583" s="710"/>
      <c r="AX583" s="710"/>
      <c r="AY583" s="710"/>
    </row>
    <row r="584" spans="1:51" ht="15.75" customHeight="1" x14ac:dyDescent="0.25">
      <c r="A584" s="829"/>
      <c r="B584" s="710"/>
      <c r="C584" s="710"/>
      <c r="D584" s="408" t="s">
        <v>347</v>
      </c>
      <c r="E584" s="179"/>
      <c r="F584" s="180"/>
      <c r="G584" s="178">
        <v>1</v>
      </c>
      <c r="H584" s="178">
        <v>2</v>
      </c>
      <c r="I584" s="178">
        <v>2</v>
      </c>
      <c r="J584" s="410">
        <v>2</v>
      </c>
      <c r="K584" s="409">
        <v>3</v>
      </c>
      <c r="L584" s="410"/>
      <c r="M584" s="410"/>
      <c r="N584" s="410"/>
      <c r="O584" s="410">
        <f>+O580</f>
        <v>1</v>
      </c>
      <c r="P584" s="452">
        <v>1</v>
      </c>
      <c r="Q584" s="410">
        <v>1</v>
      </c>
      <c r="R584" s="416">
        <v>1</v>
      </c>
      <c r="S584" s="420"/>
      <c r="T584" s="178">
        <v>1</v>
      </c>
      <c r="U584" s="178">
        <v>2</v>
      </c>
      <c r="V584" s="178">
        <v>2</v>
      </c>
      <c r="W584" s="416">
        <v>2</v>
      </c>
      <c r="X584" s="486">
        <v>3</v>
      </c>
      <c r="Y584" s="420"/>
      <c r="Z584" s="420"/>
      <c r="AA584" s="420"/>
      <c r="AB584" s="502">
        <f>+AB580</f>
        <v>1</v>
      </c>
      <c r="AC584" s="401">
        <v>1</v>
      </c>
      <c r="AD584" s="409">
        <v>1</v>
      </c>
      <c r="AE584" s="401">
        <v>1</v>
      </c>
      <c r="AF584" s="713"/>
      <c r="AG584" s="829"/>
      <c r="AH584" s="710"/>
      <c r="AI584" s="710"/>
      <c r="AJ584" s="710"/>
      <c r="AK584" s="710"/>
      <c r="AL584" s="710"/>
      <c r="AM584" s="710"/>
      <c r="AN584" s="710"/>
      <c r="AO584" s="710"/>
      <c r="AP584" s="710"/>
      <c r="AQ584" s="710"/>
      <c r="AR584" s="710"/>
      <c r="AS584" s="710"/>
      <c r="AT584" s="710"/>
      <c r="AU584" s="710"/>
      <c r="AV584" s="710"/>
      <c r="AW584" s="710"/>
      <c r="AX584" s="710"/>
      <c r="AY584" s="710"/>
    </row>
    <row r="585" spans="1:51" ht="15.75" customHeight="1" x14ac:dyDescent="0.25">
      <c r="A585" s="829"/>
      <c r="B585" s="710"/>
      <c r="C585" s="731"/>
      <c r="D585" s="412" t="s">
        <v>348</v>
      </c>
      <c r="E585" s="503"/>
      <c r="F585" s="188"/>
      <c r="G585" s="186">
        <f>+G584*$G$503/$G$502</f>
        <v>4371175</v>
      </c>
      <c r="H585" s="186">
        <f>+H584*$H$503/$H$502</f>
        <v>8742350</v>
      </c>
      <c r="I585" s="186" t="e">
        <f>+I584*$I$503/$I$502</f>
        <v>#REF!</v>
      </c>
      <c r="J585" s="450" t="e">
        <f>+J584*$J$503/$J$502</f>
        <v>#REF!</v>
      </c>
      <c r="K585" s="451"/>
      <c r="L585" s="452"/>
      <c r="M585" s="452"/>
      <c r="N585" s="498"/>
      <c r="O585" s="410">
        <f>+O581</f>
        <v>12823849.800000001</v>
      </c>
      <c r="P585" s="450">
        <f>+P584*$P$503/$P$502</f>
        <v>14688566.539999999</v>
      </c>
      <c r="Q585" s="450">
        <f>+Q584*$Q$503/$Q$502</f>
        <v>14288566.539999999</v>
      </c>
      <c r="R585" s="450">
        <f>+R584*$R$503/$R$502</f>
        <v>14288566.539999999</v>
      </c>
      <c r="S585" s="444"/>
      <c r="T585" s="187"/>
      <c r="U585" s="186">
        <f>+U584*$U$503/$U$502</f>
        <v>3067800</v>
      </c>
      <c r="V585" s="186" t="e">
        <f>+V584*$V$503/$V$502</f>
        <v>#REF!</v>
      </c>
      <c r="W585" s="450" t="e">
        <f>+W584*$W$503/$W$502</f>
        <v>#REF!</v>
      </c>
      <c r="X585" s="444"/>
      <c r="Y585" s="444"/>
      <c r="Z585" s="444"/>
      <c r="AA585" s="445"/>
      <c r="AB585" s="502">
        <f>+AB581</f>
        <v>53201900</v>
      </c>
      <c r="AC585" s="449">
        <f>+AC584*$AC$503/$AC$502</f>
        <v>17733966.666666668</v>
      </c>
      <c r="AD585" s="449">
        <f>+AD584*$AD$503/$AD$502</f>
        <v>12377092.51111111</v>
      </c>
      <c r="AE585" s="449" t="e">
        <f>+AE584*$AE$503/$AE$502</f>
        <v>#VALUE!</v>
      </c>
      <c r="AF585" s="830"/>
      <c r="AG585" s="823"/>
      <c r="AH585" s="731"/>
      <c r="AI585" s="731"/>
      <c r="AJ585" s="731"/>
      <c r="AK585" s="731"/>
      <c r="AL585" s="731"/>
      <c r="AM585" s="731"/>
      <c r="AN585" s="731"/>
      <c r="AO585" s="731"/>
      <c r="AP585" s="731"/>
      <c r="AQ585" s="731"/>
      <c r="AR585" s="731"/>
      <c r="AS585" s="731"/>
      <c r="AT585" s="731"/>
      <c r="AU585" s="731"/>
      <c r="AV585" s="731"/>
      <c r="AW585" s="731"/>
      <c r="AX585" s="731"/>
      <c r="AY585" s="731"/>
    </row>
    <row r="586" spans="1:51" ht="18" customHeight="1" x14ac:dyDescent="0.25">
      <c r="A586" s="829"/>
      <c r="B586" s="710"/>
      <c r="C586" s="961" t="s">
        <v>1373</v>
      </c>
      <c r="D586" s="413" t="s">
        <v>340</v>
      </c>
      <c r="E586" s="179"/>
      <c r="F586" s="180"/>
      <c r="G586" s="174"/>
      <c r="H586" s="178">
        <v>1</v>
      </c>
      <c r="I586" s="178">
        <v>1</v>
      </c>
      <c r="J586" s="410">
        <v>1</v>
      </c>
      <c r="K586" s="409">
        <v>1</v>
      </c>
      <c r="L586" s="410"/>
      <c r="M586" s="410"/>
      <c r="N586" s="410"/>
      <c r="O586" s="410"/>
      <c r="P586" s="452"/>
      <c r="Q586" s="410">
        <v>1</v>
      </c>
      <c r="R586" s="416">
        <v>1</v>
      </c>
      <c r="S586" s="444"/>
      <c r="T586" s="174"/>
      <c r="U586" s="178">
        <v>1</v>
      </c>
      <c r="V586" s="178">
        <v>1</v>
      </c>
      <c r="W586" s="442">
        <v>1</v>
      </c>
      <c r="X586" s="444">
        <v>1</v>
      </c>
      <c r="Y586" s="444"/>
      <c r="Z586" s="444"/>
      <c r="AA586" s="445"/>
      <c r="AB586" s="472"/>
      <c r="AC586" s="401"/>
      <c r="AD586" s="409">
        <v>1</v>
      </c>
      <c r="AE586" s="504">
        <v>1</v>
      </c>
      <c r="AF586" s="933" t="s">
        <v>1374</v>
      </c>
      <c r="AG586" s="919" t="str">
        <f>+C586</f>
        <v>LOS MÁRTIRES</v>
      </c>
      <c r="AH586" s="934" t="s">
        <v>1375</v>
      </c>
      <c r="AI586" s="934" t="s">
        <v>1376</v>
      </c>
      <c r="AJ586" s="935" t="s">
        <v>1340</v>
      </c>
      <c r="AK586" s="813" t="s">
        <v>457</v>
      </c>
      <c r="AL586" s="813" t="s">
        <v>178</v>
      </c>
      <c r="AM586" s="813" t="s">
        <v>1335</v>
      </c>
      <c r="AN586" s="931">
        <v>76649</v>
      </c>
      <c r="AO586" s="910">
        <v>37529</v>
      </c>
      <c r="AP586" s="910">
        <v>39120</v>
      </c>
      <c r="AQ586" s="915" t="s">
        <v>459</v>
      </c>
      <c r="AR586" s="915" t="s">
        <v>459</v>
      </c>
      <c r="AS586" s="915" t="s">
        <v>459</v>
      </c>
      <c r="AT586" s="915" t="s">
        <v>459</v>
      </c>
      <c r="AU586" s="915" t="s">
        <v>459</v>
      </c>
      <c r="AV586" s="915" t="s">
        <v>459</v>
      </c>
      <c r="AW586" s="915" t="s">
        <v>459</v>
      </c>
      <c r="AX586" s="910">
        <v>76649</v>
      </c>
      <c r="AY586" s="932" t="s">
        <v>1377</v>
      </c>
    </row>
    <row r="587" spans="1:51" ht="18" customHeight="1" x14ac:dyDescent="0.25">
      <c r="A587" s="829"/>
      <c r="B587" s="710"/>
      <c r="C587" s="713"/>
      <c r="D587" s="404" t="s">
        <v>343</v>
      </c>
      <c r="E587" s="499"/>
      <c r="F587" s="189"/>
      <c r="G587" s="186"/>
      <c r="H587" s="186">
        <f>+H586*$H$503/$H$502</f>
        <v>4371175</v>
      </c>
      <c r="I587" s="186" t="e">
        <f>+I586*$I$503/$I$502</f>
        <v>#REF!</v>
      </c>
      <c r="J587" s="450" t="e">
        <f>+J586*$J$503/$J$502</f>
        <v>#REF!</v>
      </c>
      <c r="K587" s="449"/>
      <c r="L587" s="450"/>
      <c r="M587" s="450"/>
      <c r="N587" s="490"/>
      <c r="O587" s="450"/>
      <c r="P587" s="452"/>
      <c r="Q587" s="450">
        <f>+Q586*$Q$503/$Q$502</f>
        <v>14288566.539999999</v>
      </c>
      <c r="R587" s="450">
        <f>+R586*$R$503/$R$502</f>
        <v>14288566.539999999</v>
      </c>
      <c r="S587" s="163"/>
      <c r="T587" s="186"/>
      <c r="U587" s="186">
        <f>+U586*$U$503/$U$502</f>
        <v>1533900</v>
      </c>
      <c r="V587" s="186" t="e">
        <f>+V586*$V$503/$V$502</f>
        <v>#REF!</v>
      </c>
      <c r="W587" s="450" t="e">
        <f>+W586*$W$503/$W$502</f>
        <v>#REF!</v>
      </c>
      <c r="X587" s="163"/>
      <c r="Y587" s="163"/>
      <c r="Z587" s="163"/>
      <c r="AA587" s="492"/>
      <c r="AB587" s="500"/>
      <c r="AC587" s="501"/>
      <c r="AD587" s="449">
        <f>+AD586*$AD$503/$AD$502</f>
        <v>12377092.51111111</v>
      </c>
      <c r="AE587" s="449" t="e">
        <f>+AE586*$AE$503/$AE$502</f>
        <v>#VALUE!</v>
      </c>
      <c r="AF587" s="713"/>
      <c r="AG587" s="829"/>
      <c r="AH587" s="710"/>
      <c r="AI587" s="710"/>
      <c r="AJ587" s="710"/>
      <c r="AK587" s="710"/>
      <c r="AL587" s="710"/>
      <c r="AM587" s="710"/>
      <c r="AN587" s="710"/>
      <c r="AO587" s="710"/>
      <c r="AP587" s="710"/>
      <c r="AQ587" s="710"/>
      <c r="AR587" s="710"/>
      <c r="AS587" s="710"/>
      <c r="AT587" s="710"/>
      <c r="AU587" s="710"/>
      <c r="AV587" s="710"/>
      <c r="AW587" s="710"/>
      <c r="AX587" s="710"/>
      <c r="AY587" s="710"/>
    </row>
    <row r="588" spans="1:51" ht="27" customHeight="1" x14ac:dyDescent="0.25">
      <c r="A588" s="829"/>
      <c r="B588" s="710"/>
      <c r="C588" s="713"/>
      <c r="D588" s="408" t="s">
        <v>345</v>
      </c>
      <c r="E588" s="499"/>
      <c r="F588" s="189"/>
      <c r="G588" s="186"/>
      <c r="H588" s="186"/>
      <c r="I588" s="186"/>
      <c r="J588" s="450"/>
      <c r="K588" s="449"/>
      <c r="L588" s="450"/>
      <c r="M588" s="450"/>
      <c r="N588" s="490"/>
      <c r="O588" s="450"/>
      <c r="P588" s="452"/>
      <c r="Q588" s="450"/>
      <c r="R588" s="494"/>
      <c r="S588" s="163"/>
      <c r="T588" s="186"/>
      <c r="U588" s="186"/>
      <c r="V588" s="186"/>
      <c r="W588" s="491"/>
      <c r="X588" s="163"/>
      <c r="Y588" s="163"/>
      <c r="Z588" s="163"/>
      <c r="AA588" s="492"/>
      <c r="AB588" s="500"/>
      <c r="AC588" s="501"/>
      <c r="AD588" s="449"/>
      <c r="AE588" s="431"/>
      <c r="AF588" s="713"/>
      <c r="AG588" s="829"/>
      <c r="AH588" s="710"/>
      <c r="AI588" s="710"/>
      <c r="AJ588" s="710"/>
      <c r="AK588" s="710"/>
      <c r="AL588" s="710"/>
      <c r="AM588" s="710"/>
      <c r="AN588" s="710"/>
      <c r="AO588" s="710"/>
      <c r="AP588" s="710"/>
      <c r="AQ588" s="710"/>
      <c r="AR588" s="710"/>
      <c r="AS588" s="710"/>
      <c r="AT588" s="710"/>
      <c r="AU588" s="710"/>
      <c r="AV588" s="710"/>
      <c r="AW588" s="710"/>
      <c r="AX588" s="710"/>
      <c r="AY588" s="710"/>
    </row>
    <row r="589" spans="1:51" ht="27" customHeight="1" x14ac:dyDescent="0.25">
      <c r="A589" s="829"/>
      <c r="B589" s="710"/>
      <c r="C589" s="713"/>
      <c r="D589" s="404" t="s">
        <v>346</v>
      </c>
      <c r="E589" s="499"/>
      <c r="F589" s="189"/>
      <c r="G589" s="186"/>
      <c r="H589" s="186">
        <f>+$U$505/11</f>
        <v>7723875.0909090908</v>
      </c>
      <c r="I589" s="186"/>
      <c r="J589" s="450"/>
      <c r="K589" s="449"/>
      <c r="L589" s="450"/>
      <c r="M589" s="450"/>
      <c r="N589" s="490"/>
      <c r="O589" s="450"/>
      <c r="P589" s="452"/>
      <c r="Q589" s="450"/>
      <c r="R589" s="494"/>
      <c r="S589" s="163"/>
      <c r="T589" s="186"/>
      <c r="U589" s="186">
        <f>+$U$505/11</f>
        <v>7723875.0909090908</v>
      </c>
      <c r="V589" s="186"/>
      <c r="W589" s="491"/>
      <c r="X589" s="163"/>
      <c r="Y589" s="163"/>
      <c r="Z589" s="163"/>
      <c r="AA589" s="492"/>
      <c r="AB589" s="500"/>
      <c r="AC589" s="501"/>
      <c r="AD589" s="449"/>
      <c r="AE589" s="431"/>
      <c r="AF589" s="713"/>
      <c r="AG589" s="829"/>
      <c r="AH589" s="710"/>
      <c r="AI589" s="710"/>
      <c r="AJ589" s="710"/>
      <c r="AK589" s="710"/>
      <c r="AL589" s="710"/>
      <c r="AM589" s="710"/>
      <c r="AN589" s="710"/>
      <c r="AO589" s="710"/>
      <c r="AP589" s="710"/>
      <c r="AQ589" s="710"/>
      <c r="AR589" s="710"/>
      <c r="AS589" s="710"/>
      <c r="AT589" s="710"/>
      <c r="AU589" s="710"/>
      <c r="AV589" s="710"/>
      <c r="AW589" s="710"/>
      <c r="AX589" s="710"/>
      <c r="AY589" s="710"/>
    </row>
    <row r="590" spans="1:51" ht="27" customHeight="1" x14ac:dyDescent="0.25">
      <c r="A590" s="829"/>
      <c r="B590" s="710"/>
      <c r="C590" s="713"/>
      <c r="D590" s="408" t="s">
        <v>347</v>
      </c>
      <c r="E590" s="179"/>
      <c r="F590" s="180"/>
      <c r="G590" s="174"/>
      <c r="H590" s="178">
        <v>1</v>
      </c>
      <c r="I590" s="178">
        <v>1</v>
      </c>
      <c r="J590" s="410">
        <v>1</v>
      </c>
      <c r="K590" s="409">
        <v>1</v>
      </c>
      <c r="L590" s="410"/>
      <c r="M590" s="410"/>
      <c r="N590" s="410"/>
      <c r="O590" s="410"/>
      <c r="P590" s="452"/>
      <c r="Q590" s="410">
        <v>1</v>
      </c>
      <c r="R590" s="416">
        <v>1</v>
      </c>
      <c r="S590" s="420"/>
      <c r="T590" s="174"/>
      <c r="U590" s="178">
        <v>1</v>
      </c>
      <c r="V590" s="178">
        <v>1</v>
      </c>
      <c r="W590" s="416">
        <v>1</v>
      </c>
      <c r="X590" s="169">
        <v>1</v>
      </c>
      <c r="Y590" s="420"/>
      <c r="Z590" s="420"/>
      <c r="AA590" s="420"/>
      <c r="AB590" s="502"/>
      <c r="AC590" s="401"/>
      <c r="AD590" s="409">
        <v>1</v>
      </c>
      <c r="AE590" s="401">
        <v>1</v>
      </c>
      <c r="AF590" s="713"/>
      <c r="AG590" s="829"/>
      <c r="AH590" s="710"/>
      <c r="AI590" s="710"/>
      <c r="AJ590" s="710"/>
      <c r="AK590" s="710"/>
      <c r="AL590" s="710"/>
      <c r="AM590" s="710"/>
      <c r="AN590" s="710"/>
      <c r="AO590" s="710"/>
      <c r="AP590" s="710"/>
      <c r="AQ590" s="710"/>
      <c r="AR590" s="710"/>
      <c r="AS590" s="710"/>
      <c r="AT590" s="710"/>
      <c r="AU590" s="710"/>
      <c r="AV590" s="710"/>
      <c r="AW590" s="710"/>
      <c r="AX590" s="710"/>
      <c r="AY590" s="710"/>
    </row>
    <row r="591" spans="1:51" ht="27.75" customHeight="1" x14ac:dyDescent="0.25">
      <c r="A591" s="829"/>
      <c r="B591" s="710"/>
      <c r="C591" s="830"/>
      <c r="D591" s="412" t="s">
        <v>348</v>
      </c>
      <c r="E591" s="503"/>
      <c r="F591" s="188"/>
      <c r="G591" s="187"/>
      <c r="H591" s="186">
        <f>+H590*$H$503/$H$502</f>
        <v>4371175</v>
      </c>
      <c r="I591" s="186" t="e">
        <f>+I590*$I$503/$I$502</f>
        <v>#REF!</v>
      </c>
      <c r="J591" s="450" t="e">
        <f>+J590*$J$503/$J$502</f>
        <v>#REF!</v>
      </c>
      <c r="K591" s="451"/>
      <c r="L591" s="452"/>
      <c r="M591" s="452"/>
      <c r="N591" s="498"/>
      <c r="O591" s="452"/>
      <c r="P591" s="452"/>
      <c r="Q591" s="450">
        <f>+Q590*$Q$503/$Q$502</f>
        <v>14288566.539999999</v>
      </c>
      <c r="R591" s="450">
        <f>+R590*$R$503/$R$502</f>
        <v>14288566.539999999</v>
      </c>
      <c r="S591" s="444"/>
      <c r="T591" s="187"/>
      <c r="U591" s="186">
        <f>+U590*$U$503/$U$502</f>
        <v>1533900</v>
      </c>
      <c r="V591" s="186" t="e">
        <f>+V590*$V$503/$V$502</f>
        <v>#REF!</v>
      </c>
      <c r="W591" s="450" t="e">
        <f>+W590*$W$503/$W$502</f>
        <v>#REF!</v>
      </c>
      <c r="X591" s="444"/>
      <c r="Y591" s="444"/>
      <c r="Z591" s="444"/>
      <c r="AA591" s="445"/>
      <c r="AB591" s="472"/>
      <c r="AC591" s="501"/>
      <c r="AD591" s="449">
        <f>+AD590*$AD$503/$AD$502</f>
        <v>12377092.51111111</v>
      </c>
      <c r="AE591" s="449" t="e">
        <f>+AE590*$AE$503/$AE$502</f>
        <v>#VALUE!</v>
      </c>
      <c r="AF591" s="830"/>
      <c r="AG591" s="823"/>
      <c r="AH591" s="731"/>
      <c r="AI591" s="731"/>
      <c r="AJ591" s="731"/>
      <c r="AK591" s="731"/>
      <c r="AL591" s="731"/>
      <c r="AM591" s="731"/>
      <c r="AN591" s="731"/>
      <c r="AO591" s="731"/>
      <c r="AP591" s="731"/>
      <c r="AQ591" s="731"/>
      <c r="AR591" s="731"/>
      <c r="AS591" s="731"/>
      <c r="AT591" s="731"/>
      <c r="AU591" s="731"/>
      <c r="AV591" s="731"/>
      <c r="AW591" s="731"/>
      <c r="AX591" s="731"/>
      <c r="AY591" s="731"/>
    </row>
    <row r="592" spans="1:51" ht="18" hidden="1" customHeight="1" x14ac:dyDescent="0.25">
      <c r="A592" s="829"/>
      <c r="B592" s="710"/>
      <c r="C592" s="813" t="s">
        <v>666</v>
      </c>
      <c r="D592" s="413" t="s">
        <v>340</v>
      </c>
      <c r="E592" s="179"/>
      <c r="F592" s="180"/>
      <c r="G592" s="174"/>
      <c r="H592" s="174"/>
      <c r="I592" s="174"/>
      <c r="J592" s="410"/>
      <c r="K592" s="409"/>
      <c r="L592" s="410"/>
      <c r="M592" s="410"/>
      <c r="N592" s="410"/>
      <c r="O592" s="410"/>
      <c r="P592" s="452">
        <v>1</v>
      </c>
      <c r="Q592" s="410">
        <v>1</v>
      </c>
      <c r="R592" s="416">
        <v>2</v>
      </c>
      <c r="S592" s="444"/>
      <c r="T592" s="174"/>
      <c r="U592" s="173"/>
      <c r="V592" s="173"/>
      <c r="W592" s="442"/>
      <c r="X592" s="444"/>
      <c r="Y592" s="444"/>
      <c r="Z592" s="444"/>
      <c r="AA592" s="445"/>
      <c r="AB592" s="472"/>
      <c r="AC592" s="401">
        <v>1</v>
      </c>
      <c r="AD592" s="409">
        <v>1</v>
      </c>
      <c r="AE592" s="504">
        <v>2</v>
      </c>
      <c r="AF592" s="488"/>
      <c r="AG592" s="919" t="str">
        <f>+C592</f>
        <v>ANTONIO NARIÑO</v>
      </c>
      <c r="AH592" s="813" t="s">
        <v>633</v>
      </c>
      <c r="AI592" s="813" t="s">
        <v>633</v>
      </c>
      <c r="AJ592" s="813" t="s">
        <v>633</v>
      </c>
      <c r="AK592" s="813" t="s">
        <v>457</v>
      </c>
      <c r="AL592" s="813" t="s">
        <v>178</v>
      </c>
      <c r="AM592" s="813" t="s">
        <v>1335</v>
      </c>
      <c r="AN592" s="931">
        <v>82820.0295724889</v>
      </c>
      <c r="AO592" s="910">
        <v>39611.475796289997</v>
      </c>
      <c r="AP592" s="910">
        <v>43208.553776198802</v>
      </c>
      <c r="AQ592" s="915" t="s">
        <v>459</v>
      </c>
      <c r="AR592" s="915" t="s">
        <v>459</v>
      </c>
      <c r="AS592" s="915" t="s">
        <v>459</v>
      </c>
      <c r="AT592" s="915" t="s">
        <v>459</v>
      </c>
      <c r="AU592" s="915" t="s">
        <v>459</v>
      </c>
      <c r="AV592" s="915" t="s">
        <v>459</v>
      </c>
      <c r="AW592" s="915" t="s">
        <v>459</v>
      </c>
      <c r="AX592" s="910">
        <v>8185614</v>
      </c>
      <c r="AY592" s="932" t="s">
        <v>1336</v>
      </c>
    </row>
    <row r="593" spans="1:51" ht="18" hidden="1" customHeight="1" x14ac:dyDescent="0.25">
      <c r="A593" s="829"/>
      <c r="B593" s="710"/>
      <c r="C593" s="710"/>
      <c r="D593" s="404" t="s">
        <v>343</v>
      </c>
      <c r="E593" s="499"/>
      <c r="F593" s="189"/>
      <c r="G593" s="186"/>
      <c r="H593" s="186"/>
      <c r="I593" s="186"/>
      <c r="J593" s="450"/>
      <c r="K593" s="449"/>
      <c r="L593" s="450"/>
      <c r="M593" s="450"/>
      <c r="N593" s="490"/>
      <c r="O593" s="450"/>
      <c r="P593" s="450">
        <f>+P592*$P$503/$P$502</f>
        <v>14688566.539999999</v>
      </c>
      <c r="Q593" s="450">
        <f>+Q592*$Q$503/$Q$502</f>
        <v>14288566.539999999</v>
      </c>
      <c r="R593" s="450">
        <f>+R592*$R$503/$R$502</f>
        <v>28577133.079999998</v>
      </c>
      <c r="S593" s="163"/>
      <c r="T593" s="186"/>
      <c r="U593" s="162"/>
      <c r="V593" s="162"/>
      <c r="W593" s="491"/>
      <c r="X593" s="163"/>
      <c r="Y593" s="163"/>
      <c r="Z593" s="163"/>
      <c r="AA593" s="492"/>
      <c r="AB593" s="500"/>
      <c r="AC593" s="449">
        <f>+AC592*$AC$503/$AC$502</f>
        <v>17733966.666666668</v>
      </c>
      <c r="AD593" s="449">
        <f>+AD592*$AD$503/$AD$502</f>
        <v>12377092.51111111</v>
      </c>
      <c r="AE593" s="449" t="e">
        <f>+AE592*$AE$503/$AE$502</f>
        <v>#VALUE!</v>
      </c>
      <c r="AF593" s="493"/>
      <c r="AG593" s="829"/>
      <c r="AH593" s="710"/>
      <c r="AI593" s="710"/>
      <c r="AJ593" s="710"/>
      <c r="AK593" s="710"/>
      <c r="AL593" s="710"/>
      <c r="AM593" s="710"/>
      <c r="AN593" s="710"/>
      <c r="AO593" s="710"/>
      <c r="AP593" s="710"/>
      <c r="AQ593" s="710"/>
      <c r="AR593" s="710"/>
      <c r="AS593" s="710"/>
      <c r="AT593" s="710"/>
      <c r="AU593" s="710"/>
      <c r="AV593" s="710"/>
      <c r="AW593" s="710"/>
      <c r="AX593" s="710"/>
      <c r="AY593" s="710"/>
    </row>
    <row r="594" spans="1:51" ht="27" hidden="1" customHeight="1" x14ac:dyDescent="0.25">
      <c r="A594" s="829"/>
      <c r="B594" s="710"/>
      <c r="C594" s="710"/>
      <c r="D594" s="408" t="s">
        <v>345</v>
      </c>
      <c r="E594" s="499"/>
      <c r="F594" s="189"/>
      <c r="G594" s="186"/>
      <c r="H594" s="186"/>
      <c r="I594" s="186"/>
      <c r="J594" s="450"/>
      <c r="K594" s="449"/>
      <c r="L594" s="450"/>
      <c r="M594" s="450"/>
      <c r="N594" s="490"/>
      <c r="O594" s="450"/>
      <c r="P594" s="452"/>
      <c r="Q594" s="450"/>
      <c r="R594" s="494"/>
      <c r="S594" s="163"/>
      <c r="T594" s="186"/>
      <c r="U594" s="162"/>
      <c r="V594" s="162"/>
      <c r="W594" s="491"/>
      <c r="X594" s="163"/>
      <c r="Y594" s="163"/>
      <c r="Z594" s="163"/>
      <c r="AA594" s="492"/>
      <c r="AB594" s="500"/>
      <c r="AC594" s="501"/>
      <c r="AD594" s="449"/>
      <c r="AE594" s="431"/>
      <c r="AF594" s="493"/>
      <c r="AG594" s="829"/>
      <c r="AH594" s="710"/>
      <c r="AI594" s="710"/>
      <c r="AJ594" s="710"/>
      <c r="AK594" s="710"/>
      <c r="AL594" s="710"/>
      <c r="AM594" s="710"/>
      <c r="AN594" s="710"/>
      <c r="AO594" s="710"/>
      <c r="AP594" s="710"/>
      <c r="AQ594" s="710"/>
      <c r="AR594" s="710"/>
      <c r="AS594" s="710"/>
      <c r="AT594" s="710"/>
      <c r="AU594" s="710"/>
      <c r="AV594" s="710"/>
      <c r="AW594" s="710"/>
      <c r="AX594" s="710"/>
      <c r="AY594" s="710"/>
    </row>
    <row r="595" spans="1:51" ht="27" hidden="1" customHeight="1" x14ac:dyDescent="0.25">
      <c r="A595" s="829"/>
      <c r="B595" s="710"/>
      <c r="C595" s="710"/>
      <c r="D595" s="404" t="s">
        <v>346</v>
      </c>
      <c r="E595" s="499"/>
      <c r="F595" s="189"/>
      <c r="G595" s="186"/>
      <c r="H595" s="186"/>
      <c r="I595" s="186"/>
      <c r="J595" s="450"/>
      <c r="K595" s="449"/>
      <c r="L595" s="450"/>
      <c r="M595" s="450"/>
      <c r="N595" s="490"/>
      <c r="O595" s="450"/>
      <c r="P595" s="452"/>
      <c r="Q595" s="450"/>
      <c r="R595" s="494"/>
      <c r="S595" s="163"/>
      <c r="T595" s="186"/>
      <c r="U595" s="162"/>
      <c r="V595" s="162"/>
      <c r="W595" s="491"/>
      <c r="X595" s="163"/>
      <c r="Y595" s="163"/>
      <c r="Z595" s="163"/>
      <c r="AA595" s="492"/>
      <c r="AB595" s="500"/>
      <c r="AC595" s="501"/>
      <c r="AD595" s="449"/>
      <c r="AE595" s="431"/>
      <c r="AF595" s="493"/>
      <c r="AG595" s="829"/>
      <c r="AH595" s="710"/>
      <c r="AI595" s="710"/>
      <c r="AJ595" s="710"/>
      <c r="AK595" s="710"/>
      <c r="AL595" s="710"/>
      <c r="AM595" s="710"/>
      <c r="AN595" s="710"/>
      <c r="AO595" s="710"/>
      <c r="AP595" s="710"/>
      <c r="AQ595" s="710"/>
      <c r="AR595" s="710"/>
      <c r="AS595" s="710"/>
      <c r="AT595" s="710"/>
      <c r="AU595" s="710"/>
      <c r="AV595" s="710"/>
      <c r="AW595" s="710"/>
      <c r="AX595" s="710"/>
      <c r="AY595" s="710"/>
    </row>
    <row r="596" spans="1:51" ht="27" hidden="1" customHeight="1" x14ac:dyDescent="0.25">
      <c r="A596" s="829"/>
      <c r="B596" s="710"/>
      <c r="C596" s="710"/>
      <c r="D596" s="408" t="s">
        <v>347</v>
      </c>
      <c r="E596" s="179"/>
      <c r="F596" s="180"/>
      <c r="G596" s="174"/>
      <c r="H596" s="174"/>
      <c r="I596" s="174"/>
      <c r="J596" s="410"/>
      <c r="K596" s="409"/>
      <c r="L596" s="410"/>
      <c r="M596" s="410"/>
      <c r="N596" s="410"/>
      <c r="O596" s="410"/>
      <c r="P596" s="452">
        <v>1</v>
      </c>
      <c r="Q596" s="410">
        <v>1</v>
      </c>
      <c r="R596" s="416">
        <v>2</v>
      </c>
      <c r="S596" s="420"/>
      <c r="T596" s="174"/>
      <c r="U596" s="184"/>
      <c r="V596" s="184"/>
      <c r="W596" s="416"/>
      <c r="X596" s="420"/>
      <c r="Y596" s="420"/>
      <c r="Z596" s="420"/>
      <c r="AA596" s="420"/>
      <c r="AB596" s="502"/>
      <c r="AC596" s="401">
        <v>1</v>
      </c>
      <c r="AD596" s="409">
        <v>1</v>
      </c>
      <c r="AE596" s="401">
        <v>2</v>
      </c>
      <c r="AF596" s="496"/>
      <c r="AG596" s="829"/>
      <c r="AH596" s="710"/>
      <c r="AI596" s="710"/>
      <c r="AJ596" s="710"/>
      <c r="AK596" s="710"/>
      <c r="AL596" s="710"/>
      <c r="AM596" s="710"/>
      <c r="AN596" s="710"/>
      <c r="AO596" s="710"/>
      <c r="AP596" s="710"/>
      <c r="AQ596" s="710"/>
      <c r="AR596" s="710"/>
      <c r="AS596" s="710"/>
      <c r="AT596" s="710"/>
      <c r="AU596" s="710"/>
      <c r="AV596" s="710"/>
      <c r="AW596" s="710"/>
      <c r="AX596" s="710"/>
      <c r="AY596" s="710"/>
    </row>
    <row r="597" spans="1:51" ht="27.75" hidden="1" customHeight="1" x14ac:dyDescent="0.25">
      <c r="A597" s="829"/>
      <c r="B597" s="710"/>
      <c r="C597" s="731"/>
      <c r="D597" s="412" t="s">
        <v>348</v>
      </c>
      <c r="E597" s="503"/>
      <c r="F597" s="188"/>
      <c r="G597" s="187"/>
      <c r="H597" s="187"/>
      <c r="I597" s="187"/>
      <c r="J597" s="452"/>
      <c r="K597" s="451"/>
      <c r="L597" s="452"/>
      <c r="M597" s="452"/>
      <c r="N597" s="498"/>
      <c r="O597" s="452"/>
      <c r="P597" s="450">
        <f>+P596*$P$503/$P$502</f>
        <v>14688566.539999999</v>
      </c>
      <c r="Q597" s="450">
        <f>+Q596*$Q$503/$Q$502</f>
        <v>14288566.539999999</v>
      </c>
      <c r="R597" s="450">
        <f>+R596*$R$503/$R$502</f>
        <v>28577133.079999998</v>
      </c>
      <c r="S597" s="444"/>
      <c r="T597" s="187"/>
      <c r="U597" s="173"/>
      <c r="V597" s="173"/>
      <c r="W597" s="442"/>
      <c r="X597" s="444"/>
      <c r="Y597" s="444"/>
      <c r="Z597" s="444"/>
      <c r="AA597" s="445"/>
      <c r="AB597" s="472"/>
      <c r="AC597" s="449">
        <f>+AC596*$AC$503/$AC$502</f>
        <v>17733966.666666668</v>
      </c>
      <c r="AD597" s="449">
        <f>+AD596*$AD$503/$AD$502</f>
        <v>12377092.51111111</v>
      </c>
      <c r="AE597" s="449" t="e">
        <f>+AE596*$AE$503/$AE$502</f>
        <v>#VALUE!</v>
      </c>
      <c r="AF597" s="488"/>
      <c r="AG597" s="823"/>
      <c r="AH597" s="731"/>
      <c r="AI597" s="731"/>
      <c r="AJ597" s="731"/>
      <c r="AK597" s="731"/>
      <c r="AL597" s="731"/>
      <c r="AM597" s="731"/>
      <c r="AN597" s="731"/>
      <c r="AO597" s="731"/>
      <c r="AP597" s="731"/>
      <c r="AQ597" s="731"/>
      <c r="AR597" s="731"/>
      <c r="AS597" s="731"/>
      <c r="AT597" s="731"/>
      <c r="AU597" s="731"/>
      <c r="AV597" s="731"/>
      <c r="AW597" s="731"/>
      <c r="AX597" s="731"/>
      <c r="AY597" s="731"/>
    </row>
    <row r="598" spans="1:51" ht="18" customHeight="1" x14ac:dyDescent="0.25">
      <c r="A598" s="829"/>
      <c r="B598" s="710"/>
      <c r="C598" s="961" t="s">
        <v>670</v>
      </c>
      <c r="D598" s="413" t="s">
        <v>340</v>
      </c>
      <c r="E598" s="179"/>
      <c r="F598" s="180"/>
      <c r="G598" s="178">
        <v>4</v>
      </c>
      <c r="H598" s="178">
        <v>10</v>
      </c>
      <c r="I598" s="178">
        <v>10</v>
      </c>
      <c r="J598" s="410">
        <v>11</v>
      </c>
      <c r="K598" s="409">
        <v>13</v>
      </c>
      <c r="L598" s="410"/>
      <c r="M598" s="410"/>
      <c r="N598" s="410"/>
      <c r="O598" s="410">
        <v>3</v>
      </c>
      <c r="P598" s="452">
        <v>7</v>
      </c>
      <c r="Q598" s="410">
        <v>9</v>
      </c>
      <c r="R598" s="416">
        <v>11</v>
      </c>
      <c r="S598" s="444"/>
      <c r="T598" s="178">
        <v>4</v>
      </c>
      <c r="U598" s="178">
        <v>10</v>
      </c>
      <c r="V598" s="178">
        <v>10</v>
      </c>
      <c r="W598" s="442">
        <v>11</v>
      </c>
      <c r="X598" s="505">
        <v>13</v>
      </c>
      <c r="Y598" s="444"/>
      <c r="Z598" s="444"/>
      <c r="AA598" s="445"/>
      <c r="AB598" s="472">
        <v>3</v>
      </c>
      <c r="AC598" s="401">
        <v>7</v>
      </c>
      <c r="AD598" s="409">
        <v>9</v>
      </c>
      <c r="AE598" s="504">
        <v>11</v>
      </c>
      <c r="AF598" s="936" t="s">
        <v>1378</v>
      </c>
      <c r="AG598" s="937" t="str">
        <f>+C598</f>
        <v>PUENTE ARANDA</v>
      </c>
      <c r="AH598" s="938" t="s">
        <v>1379</v>
      </c>
      <c r="AI598" s="938" t="s">
        <v>1380</v>
      </c>
      <c r="AJ598" s="935" t="s">
        <v>1340</v>
      </c>
      <c r="AK598" s="813" t="s">
        <v>457</v>
      </c>
      <c r="AL598" s="813" t="s">
        <v>610</v>
      </c>
      <c r="AM598" s="813" t="s">
        <v>1335</v>
      </c>
      <c r="AN598" s="946">
        <v>254469</v>
      </c>
      <c r="AO598" s="947">
        <v>120116</v>
      </c>
      <c r="AP598" s="947">
        <v>134352</v>
      </c>
      <c r="AQ598" s="915" t="s">
        <v>459</v>
      </c>
      <c r="AR598" s="915" t="s">
        <v>459</v>
      </c>
      <c r="AS598" s="915" t="s">
        <v>459</v>
      </c>
      <c r="AT598" s="915" t="s">
        <v>459</v>
      </c>
      <c r="AU598" s="915" t="s">
        <v>459</v>
      </c>
      <c r="AV598" s="915" t="s">
        <v>459</v>
      </c>
      <c r="AW598" s="915" t="s">
        <v>459</v>
      </c>
      <c r="AX598" s="910">
        <v>254469</v>
      </c>
      <c r="AY598" s="940" t="s">
        <v>1381</v>
      </c>
    </row>
    <row r="599" spans="1:51" ht="15.75" customHeight="1" x14ac:dyDescent="0.25">
      <c r="A599" s="829"/>
      <c r="B599" s="710"/>
      <c r="C599" s="713"/>
      <c r="D599" s="404" t="s">
        <v>343</v>
      </c>
      <c r="E599" s="499"/>
      <c r="F599" s="189"/>
      <c r="G599" s="186">
        <f>+G598*$G$503/$G$502</f>
        <v>17484700</v>
      </c>
      <c r="H599" s="186">
        <f>+H598*$H$503/$H$502</f>
        <v>43711750</v>
      </c>
      <c r="I599" s="186" t="e">
        <f>+I598*$I$503/$I$502</f>
        <v>#REF!</v>
      </c>
      <c r="J599" s="450" t="e">
        <f>+J598*$J$503/$J$502</f>
        <v>#REF!</v>
      </c>
      <c r="K599" s="449"/>
      <c r="L599" s="450"/>
      <c r="M599" s="450"/>
      <c r="N599" s="490"/>
      <c r="O599" s="450">
        <f>+O598*$O$503/$O$502</f>
        <v>38471549.399999999</v>
      </c>
      <c r="P599" s="450">
        <f>+P598*$P$503/$P$502</f>
        <v>102819965.78</v>
      </c>
      <c r="Q599" s="450">
        <f>+Q598*$Q$503/$Q$502</f>
        <v>128597098.86</v>
      </c>
      <c r="R599" s="450">
        <f>+R598*$R$503/$R$502</f>
        <v>157174231.94</v>
      </c>
      <c r="S599" s="163"/>
      <c r="T599" s="186"/>
      <c r="U599" s="186">
        <f>+U598*$U$503/$U$502</f>
        <v>15339000</v>
      </c>
      <c r="V599" s="186" t="e">
        <f>+V598*$V$503/$V$502</f>
        <v>#REF!</v>
      </c>
      <c r="W599" s="450" t="e">
        <f>+W598*$W$503/$W$502</f>
        <v>#REF!</v>
      </c>
      <c r="X599" s="163"/>
      <c r="Y599" s="163"/>
      <c r="Z599" s="163"/>
      <c r="AA599" s="492"/>
      <c r="AB599" s="449">
        <f>+AB598*$AB$503/$AB$502</f>
        <v>159605700</v>
      </c>
      <c r="AC599" s="449">
        <f>+AC598*$AC$503/$AC$502</f>
        <v>124137766.66666667</v>
      </c>
      <c r="AD599" s="449">
        <f>+AD598*$AD$503/$AD$502</f>
        <v>111393832.59999999</v>
      </c>
      <c r="AE599" s="449" t="e">
        <f>+AE598*$AE$503/$AE$502</f>
        <v>#VALUE!</v>
      </c>
      <c r="AF599" s="713"/>
      <c r="AG599" s="829"/>
      <c r="AH599" s="710"/>
      <c r="AI599" s="710"/>
      <c r="AJ599" s="710"/>
      <c r="AK599" s="710"/>
      <c r="AL599" s="710"/>
      <c r="AM599" s="710"/>
      <c r="AN599" s="710"/>
      <c r="AO599" s="710"/>
      <c r="AP599" s="710"/>
      <c r="AQ599" s="710"/>
      <c r="AR599" s="710"/>
      <c r="AS599" s="710"/>
      <c r="AT599" s="710"/>
      <c r="AU599" s="710"/>
      <c r="AV599" s="710"/>
      <c r="AW599" s="710"/>
      <c r="AX599" s="710"/>
      <c r="AY599" s="710"/>
    </row>
    <row r="600" spans="1:51" ht="15.75" customHeight="1" x14ac:dyDescent="0.25">
      <c r="A600" s="829"/>
      <c r="B600" s="710"/>
      <c r="C600" s="713"/>
      <c r="D600" s="408" t="s">
        <v>345</v>
      </c>
      <c r="E600" s="499"/>
      <c r="F600" s="189"/>
      <c r="G600" s="186"/>
      <c r="H600" s="186"/>
      <c r="I600" s="186"/>
      <c r="J600" s="450"/>
      <c r="K600" s="449"/>
      <c r="L600" s="450"/>
      <c r="M600" s="450"/>
      <c r="N600" s="490"/>
      <c r="O600" s="450"/>
      <c r="P600" s="452"/>
      <c r="Q600" s="450"/>
      <c r="R600" s="494"/>
      <c r="S600" s="163"/>
      <c r="T600" s="186"/>
      <c r="U600" s="186"/>
      <c r="V600" s="186"/>
      <c r="W600" s="491"/>
      <c r="X600" s="163"/>
      <c r="Y600" s="163"/>
      <c r="Z600" s="163"/>
      <c r="AA600" s="492"/>
      <c r="AB600" s="500"/>
      <c r="AC600" s="501"/>
      <c r="AD600" s="449"/>
      <c r="AE600" s="431"/>
      <c r="AF600" s="713"/>
      <c r="AG600" s="829"/>
      <c r="AH600" s="710"/>
      <c r="AI600" s="710"/>
      <c r="AJ600" s="710"/>
      <c r="AK600" s="710"/>
      <c r="AL600" s="710"/>
      <c r="AM600" s="710"/>
      <c r="AN600" s="710"/>
      <c r="AO600" s="710"/>
      <c r="AP600" s="710"/>
      <c r="AQ600" s="710"/>
      <c r="AR600" s="710"/>
      <c r="AS600" s="710"/>
      <c r="AT600" s="710"/>
      <c r="AU600" s="710"/>
      <c r="AV600" s="710"/>
      <c r="AW600" s="710"/>
      <c r="AX600" s="710"/>
      <c r="AY600" s="710"/>
    </row>
    <row r="601" spans="1:51" ht="18.75" customHeight="1" x14ac:dyDescent="0.25">
      <c r="A601" s="829"/>
      <c r="B601" s="710"/>
      <c r="C601" s="713"/>
      <c r="D601" s="404" t="s">
        <v>346</v>
      </c>
      <c r="E601" s="499"/>
      <c r="F601" s="189"/>
      <c r="G601" s="186"/>
      <c r="H601" s="186">
        <f>+$U$505/11</f>
        <v>7723875.0909090908</v>
      </c>
      <c r="I601" s="186"/>
      <c r="J601" s="450"/>
      <c r="K601" s="449"/>
      <c r="L601" s="450"/>
      <c r="M601" s="450"/>
      <c r="N601" s="490"/>
      <c r="O601" s="450"/>
      <c r="P601" s="452"/>
      <c r="Q601" s="450"/>
      <c r="R601" s="494"/>
      <c r="S601" s="163"/>
      <c r="T601" s="186">
        <f>+T598*$T$505/$T$502</f>
        <v>7035415</v>
      </c>
      <c r="U601" s="186">
        <f>+$U$505/11</f>
        <v>7723875.0909090908</v>
      </c>
      <c r="V601" s="186"/>
      <c r="W601" s="491"/>
      <c r="X601" s="163"/>
      <c r="Y601" s="163"/>
      <c r="Z601" s="163"/>
      <c r="AA601" s="492"/>
      <c r="AB601" s="500"/>
      <c r="AC601" s="501"/>
      <c r="AD601" s="449"/>
      <c r="AE601" s="431"/>
      <c r="AF601" s="713"/>
      <c r="AG601" s="829"/>
      <c r="AH601" s="710"/>
      <c r="AI601" s="710"/>
      <c r="AJ601" s="710"/>
      <c r="AK601" s="710"/>
      <c r="AL601" s="710"/>
      <c r="AM601" s="710"/>
      <c r="AN601" s="710"/>
      <c r="AO601" s="710"/>
      <c r="AP601" s="710"/>
      <c r="AQ601" s="710"/>
      <c r="AR601" s="710"/>
      <c r="AS601" s="710"/>
      <c r="AT601" s="710"/>
      <c r="AU601" s="710"/>
      <c r="AV601" s="710"/>
      <c r="AW601" s="710"/>
      <c r="AX601" s="710"/>
      <c r="AY601" s="710"/>
    </row>
    <row r="602" spans="1:51" ht="15.75" customHeight="1" x14ac:dyDescent="0.25">
      <c r="A602" s="829"/>
      <c r="B602" s="710"/>
      <c r="C602" s="713"/>
      <c r="D602" s="408" t="s">
        <v>347</v>
      </c>
      <c r="E602" s="179"/>
      <c r="F602" s="180"/>
      <c r="G602" s="178">
        <v>4</v>
      </c>
      <c r="H602" s="178">
        <v>10</v>
      </c>
      <c r="I602" s="178">
        <v>10</v>
      </c>
      <c r="J602" s="410">
        <v>11</v>
      </c>
      <c r="K602" s="409">
        <v>13</v>
      </c>
      <c r="L602" s="410"/>
      <c r="M602" s="410"/>
      <c r="N602" s="410"/>
      <c r="O602" s="410">
        <f>+O598</f>
        <v>3</v>
      </c>
      <c r="P602" s="452">
        <v>7</v>
      </c>
      <c r="Q602" s="410">
        <v>9</v>
      </c>
      <c r="R602" s="416">
        <v>11</v>
      </c>
      <c r="S602" s="420"/>
      <c r="T602" s="178">
        <v>4</v>
      </c>
      <c r="U602" s="178">
        <v>10</v>
      </c>
      <c r="V602" s="178">
        <v>10</v>
      </c>
      <c r="W602" s="416">
        <v>11</v>
      </c>
      <c r="X602" s="486">
        <v>13</v>
      </c>
      <c r="Y602" s="420"/>
      <c r="Z602" s="420"/>
      <c r="AA602" s="420"/>
      <c r="AB602" s="502">
        <f>+AB598</f>
        <v>3</v>
      </c>
      <c r="AC602" s="401">
        <v>7</v>
      </c>
      <c r="AD602" s="409">
        <v>9</v>
      </c>
      <c r="AE602" s="401">
        <v>11</v>
      </c>
      <c r="AF602" s="713"/>
      <c r="AG602" s="829"/>
      <c r="AH602" s="710"/>
      <c r="AI602" s="710"/>
      <c r="AJ602" s="710"/>
      <c r="AK602" s="710"/>
      <c r="AL602" s="710"/>
      <c r="AM602" s="710"/>
      <c r="AN602" s="710"/>
      <c r="AO602" s="710"/>
      <c r="AP602" s="710"/>
      <c r="AQ602" s="710"/>
      <c r="AR602" s="710"/>
      <c r="AS602" s="710"/>
      <c r="AT602" s="710"/>
      <c r="AU602" s="710"/>
      <c r="AV602" s="710"/>
      <c r="AW602" s="710"/>
      <c r="AX602" s="710"/>
      <c r="AY602" s="710"/>
    </row>
    <row r="603" spans="1:51" ht="15.75" customHeight="1" x14ac:dyDescent="0.25">
      <c r="A603" s="829"/>
      <c r="B603" s="710"/>
      <c r="C603" s="830"/>
      <c r="D603" s="412" t="s">
        <v>348</v>
      </c>
      <c r="E603" s="503"/>
      <c r="F603" s="188"/>
      <c r="G603" s="186">
        <f>+G602*$G$503/$G$502</f>
        <v>17484700</v>
      </c>
      <c r="H603" s="186">
        <f>+H602*$H$503/$H$502</f>
        <v>43711750</v>
      </c>
      <c r="I603" s="186" t="e">
        <f>+I602*$I$503/$I$502</f>
        <v>#REF!</v>
      </c>
      <c r="J603" s="450" t="e">
        <f>+J602*$J$503/$J$502</f>
        <v>#REF!</v>
      </c>
      <c r="K603" s="451"/>
      <c r="L603" s="452"/>
      <c r="M603" s="452"/>
      <c r="N603" s="498"/>
      <c r="O603" s="410">
        <f>+O599</f>
        <v>38471549.399999999</v>
      </c>
      <c r="P603" s="450">
        <f>+P602*$P$503/$P$502</f>
        <v>102819965.78</v>
      </c>
      <c r="Q603" s="450">
        <f>+Q602*$Q$503/$Q$502</f>
        <v>128597098.86</v>
      </c>
      <c r="R603" s="450">
        <f>+R602*$R$503/$R$502</f>
        <v>157174231.94</v>
      </c>
      <c r="S603" s="444"/>
      <c r="T603" s="187"/>
      <c r="U603" s="186">
        <f>+U602*$U$503/$U$502</f>
        <v>15339000</v>
      </c>
      <c r="V603" s="186" t="e">
        <f>+V602*$V$503/$V$502</f>
        <v>#REF!</v>
      </c>
      <c r="W603" s="450" t="e">
        <f>+W602*$W$503/$W$502</f>
        <v>#REF!</v>
      </c>
      <c r="X603" s="444"/>
      <c r="Y603" s="444"/>
      <c r="Z603" s="444"/>
      <c r="AA603" s="445"/>
      <c r="AB603" s="502">
        <f>+AB599</f>
        <v>159605700</v>
      </c>
      <c r="AC603" s="449">
        <f>+AC602*$AC$503/$AC$502</f>
        <v>124137766.66666667</v>
      </c>
      <c r="AD603" s="449">
        <f>+AD602*$AD$503/$AD$502</f>
        <v>111393832.59999999</v>
      </c>
      <c r="AE603" s="449" t="e">
        <f>+AE602*$AE$503/$AE$502</f>
        <v>#VALUE!</v>
      </c>
      <c r="AF603" s="830"/>
      <c r="AG603" s="823"/>
      <c r="AH603" s="731"/>
      <c r="AI603" s="731"/>
      <c r="AJ603" s="731"/>
      <c r="AK603" s="731"/>
      <c r="AL603" s="731"/>
      <c r="AM603" s="731"/>
      <c r="AN603" s="731"/>
      <c r="AO603" s="731"/>
      <c r="AP603" s="731"/>
      <c r="AQ603" s="731"/>
      <c r="AR603" s="731"/>
      <c r="AS603" s="731"/>
      <c r="AT603" s="731"/>
      <c r="AU603" s="731"/>
      <c r="AV603" s="731"/>
      <c r="AW603" s="731"/>
      <c r="AX603" s="731"/>
      <c r="AY603" s="731"/>
    </row>
    <row r="604" spans="1:51" ht="18" hidden="1" customHeight="1" x14ac:dyDescent="0.25">
      <c r="A604" s="829"/>
      <c r="B604" s="710"/>
      <c r="C604" s="813" t="s">
        <v>1146</v>
      </c>
      <c r="D604" s="413" t="s">
        <v>340</v>
      </c>
      <c r="E604" s="179"/>
      <c r="F604" s="180"/>
      <c r="G604" s="174"/>
      <c r="H604" s="174"/>
      <c r="I604" s="174"/>
      <c r="J604" s="410"/>
      <c r="K604" s="409"/>
      <c r="L604" s="410"/>
      <c r="M604" s="410"/>
      <c r="N604" s="410"/>
      <c r="O604" s="410"/>
      <c r="P604" s="452"/>
      <c r="Q604" s="410"/>
      <c r="R604" s="416"/>
      <c r="S604" s="444"/>
      <c r="T604" s="174"/>
      <c r="U604" s="173"/>
      <c r="V604" s="173"/>
      <c r="W604" s="442"/>
      <c r="X604" s="444"/>
      <c r="Y604" s="444"/>
      <c r="Z604" s="444"/>
      <c r="AA604" s="445"/>
      <c r="AB604" s="472"/>
      <c r="AC604" s="401"/>
      <c r="AD604" s="409"/>
      <c r="AE604" s="447"/>
      <c r="AF604" s="488"/>
      <c r="AG604" s="919" t="str">
        <f>+C604</f>
        <v>LA CANDELARIA</v>
      </c>
      <c r="AH604" s="813" t="s">
        <v>633</v>
      </c>
      <c r="AI604" s="813" t="s">
        <v>633</v>
      </c>
      <c r="AJ604" s="813" t="s">
        <v>633</v>
      </c>
      <c r="AK604" s="813" t="s">
        <v>457</v>
      </c>
      <c r="AL604" s="813"/>
      <c r="AM604" s="813" t="s">
        <v>1335</v>
      </c>
      <c r="AN604" s="931">
        <v>8185614</v>
      </c>
      <c r="AO604" s="948">
        <v>8185614</v>
      </c>
      <c r="AP604" s="949"/>
      <c r="AQ604" s="915" t="s">
        <v>459</v>
      </c>
      <c r="AR604" s="915" t="s">
        <v>459</v>
      </c>
      <c r="AS604" s="915" t="s">
        <v>459</v>
      </c>
      <c r="AT604" s="915" t="s">
        <v>459</v>
      </c>
      <c r="AU604" s="915" t="s">
        <v>459</v>
      </c>
      <c r="AV604" s="915" t="s">
        <v>459</v>
      </c>
      <c r="AW604" s="915" t="s">
        <v>459</v>
      </c>
      <c r="AX604" s="910">
        <v>8185614</v>
      </c>
      <c r="AY604" s="932"/>
    </row>
    <row r="605" spans="1:51" ht="18" hidden="1" customHeight="1" x14ac:dyDescent="0.25">
      <c r="A605" s="829"/>
      <c r="B605" s="710"/>
      <c r="C605" s="710"/>
      <c r="D605" s="404" t="s">
        <v>343</v>
      </c>
      <c r="E605" s="499"/>
      <c r="F605" s="189"/>
      <c r="G605" s="186"/>
      <c r="H605" s="186"/>
      <c r="I605" s="186"/>
      <c r="J605" s="450"/>
      <c r="K605" s="449"/>
      <c r="L605" s="450"/>
      <c r="M605" s="450"/>
      <c r="N605" s="490"/>
      <c r="O605" s="450"/>
      <c r="P605" s="452"/>
      <c r="Q605" s="450"/>
      <c r="R605" s="494"/>
      <c r="S605" s="163"/>
      <c r="T605" s="186"/>
      <c r="U605" s="162"/>
      <c r="V605" s="162"/>
      <c r="W605" s="491"/>
      <c r="X605" s="163"/>
      <c r="Y605" s="163"/>
      <c r="Z605" s="163"/>
      <c r="AA605" s="492"/>
      <c r="AB605" s="500"/>
      <c r="AC605" s="501"/>
      <c r="AD605" s="449"/>
      <c r="AE605" s="431"/>
      <c r="AF605" s="493"/>
      <c r="AG605" s="829"/>
      <c r="AH605" s="710"/>
      <c r="AI605" s="710"/>
      <c r="AJ605" s="710"/>
      <c r="AK605" s="710"/>
      <c r="AL605" s="710"/>
      <c r="AM605" s="710"/>
      <c r="AN605" s="710"/>
      <c r="AO605" s="950"/>
      <c r="AP605" s="822"/>
      <c r="AQ605" s="710"/>
      <c r="AR605" s="710"/>
      <c r="AS605" s="710"/>
      <c r="AT605" s="710"/>
      <c r="AU605" s="710"/>
      <c r="AV605" s="710"/>
      <c r="AW605" s="710"/>
      <c r="AX605" s="710"/>
      <c r="AY605" s="710"/>
    </row>
    <row r="606" spans="1:51" ht="27" hidden="1" customHeight="1" x14ac:dyDescent="0.25">
      <c r="A606" s="829"/>
      <c r="B606" s="710"/>
      <c r="C606" s="710"/>
      <c r="D606" s="408" t="s">
        <v>345</v>
      </c>
      <c r="E606" s="499"/>
      <c r="F606" s="189"/>
      <c r="G606" s="186"/>
      <c r="H606" s="186"/>
      <c r="I606" s="186"/>
      <c r="J606" s="450"/>
      <c r="K606" s="449"/>
      <c r="L606" s="450"/>
      <c r="M606" s="450"/>
      <c r="N606" s="490"/>
      <c r="O606" s="450"/>
      <c r="P606" s="452"/>
      <c r="Q606" s="450"/>
      <c r="R606" s="494"/>
      <c r="S606" s="163"/>
      <c r="T606" s="186"/>
      <c r="U606" s="162"/>
      <c r="V606" s="162"/>
      <c r="W606" s="491"/>
      <c r="X606" s="163"/>
      <c r="Y606" s="163"/>
      <c r="Z606" s="163"/>
      <c r="AA606" s="492"/>
      <c r="AB606" s="500"/>
      <c r="AC606" s="501"/>
      <c r="AD606" s="449"/>
      <c r="AE606" s="431"/>
      <c r="AF606" s="493"/>
      <c r="AG606" s="829"/>
      <c r="AH606" s="710"/>
      <c r="AI606" s="710"/>
      <c r="AJ606" s="710"/>
      <c r="AK606" s="710"/>
      <c r="AL606" s="710"/>
      <c r="AM606" s="710"/>
      <c r="AN606" s="710"/>
      <c r="AO606" s="950"/>
      <c r="AP606" s="822"/>
      <c r="AQ606" s="710"/>
      <c r="AR606" s="710"/>
      <c r="AS606" s="710"/>
      <c r="AT606" s="710"/>
      <c r="AU606" s="710"/>
      <c r="AV606" s="710"/>
      <c r="AW606" s="710"/>
      <c r="AX606" s="710"/>
      <c r="AY606" s="710"/>
    </row>
    <row r="607" spans="1:51" ht="27" hidden="1" customHeight="1" x14ac:dyDescent="0.25">
      <c r="A607" s="829"/>
      <c r="B607" s="710"/>
      <c r="C607" s="710"/>
      <c r="D607" s="404" t="s">
        <v>346</v>
      </c>
      <c r="E607" s="499"/>
      <c r="F607" s="189"/>
      <c r="G607" s="186"/>
      <c r="H607" s="186"/>
      <c r="I607" s="186"/>
      <c r="J607" s="450"/>
      <c r="K607" s="449"/>
      <c r="L607" s="450"/>
      <c r="M607" s="450"/>
      <c r="N607" s="490"/>
      <c r="O607" s="450"/>
      <c r="P607" s="452"/>
      <c r="Q607" s="450"/>
      <c r="R607" s="494"/>
      <c r="S607" s="163"/>
      <c r="T607" s="186"/>
      <c r="U607" s="162"/>
      <c r="V607" s="162"/>
      <c r="W607" s="491"/>
      <c r="X607" s="163"/>
      <c r="Y607" s="163"/>
      <c r="Z607" s="163"/>
      <c r="AA607" s="492"/>
      <c r="AB607" s="500"/>
      <c r="AC607" s="501"/>
      <c r="AD607" s="449"/>
      <c r="AE607" s="431"/>
      <c r="AF607" s="493"/>
      <c r="AG607" s="829"/>
      <c r="AH607" s="710"/>
      <c r="AI607" s="710"/>
      <c r="AJ607" s="710"/>
      <c r="AK607" s="710"/>
      <c r="AL607" s="710"/>
      <c r="AM607" s="710"/>
      <c r="AN607" s="710"/>
      <c r="AO607" s="950"/>
      <c r="AP607" s="822"/>
      <c r="AQ607" s="710"/>
      <c r="AR607" s="710"/>
      <c r="AS607" s="710"/>
      <c r="AT607" s="710"/>
      <c r="AU607" s="710"/>
      <c r="AV607" s="710"/>
      <c r="AW607" s="710"/>
      <c r="AX607" s="710"/>
      <c r="AY607" s="710"/>
    </row>
    <row r="608" spans="1:51" ht="27" hidden="1" customHeight="1" x14ac:dyDescent="0.25">
      <c r="A608" s="829"/>
      <c r="B608" s="710"/>
      <c r="C608" s="710"/>
      <c r="D608" s="408" t="s">
        <v>347</v>
      </c>
      <c r="E608" s="179"/>
      <c r="F608" s="180"/>
      <c r="G608" s="174"/>
      <c r="H608" s="174"/>
      <c r="I608" s="174"/>
      <c r="J608" s="410"/>
      <c r="K608" s="409"/>
      <c r="L608" s="410"/>
      <c r="M608" s="410"/>
      <c r="N608" s="410"/>
      <c r="O608" s="410"/>
      <c r="P608" s="452"/>
      <c r="Q608" s="410"/>
      <c r="R608" s="416"/>
      <c r="S608" s="420"/>
      <c r="T608" s="174"/>
      <c r="U608" s="184"/>
      <c r="V608" s="184"/>
      <c r="W608" s="416"/>
      <c r="X608" s="420"/>
      <c r="Y608" s="420"/>
      <c r="Z608" s="420"/>
      <c r="AA608" s="420"/>
      <c r="AB608" s="502"/>
      <c r="AC608" s="401"/>
      <c r="AD608" s="409"/>
      <c r="AE608" s="401"/>
      <c r="AF608" s="496"/>
      <c r="AG608" s="829"/>
      <c r="AH608" s="710"/>
      <c r="AI608" s="710"/>
      <c r="AJ608" s="710"/>
      <c r="AK608" s="710"/>
      <c r="AL608" s="710"/>
      <c r="AM608" s="710"/>
      <c r="AN608" s="710"/>
      <c r="AO608" s="950"/>
      <c r="AP608" s="822"/>
      <c r="AQ608" s="710"/>
      <c r="AR608" s="710"/>
      <c r="AS608" s="710"/>
      <c r="AT608" s="710"/>
      <c r="AU608" s="710"/>
      <c r="AV608" s="710"/>
      <c r="AW608" s="710"/>
      <c r="AX608" s="710"/>
      <c r="AY608" s="710"/>
    </row>
    <row r="609" spans="1:51" ht="27.75" hidden="1" customHeight="1" x14ac:dyDescent="0.25">
      <c r="A609" s="829"/>
      <c r="B609" s="710"/>
      <c r="C609" s="731"/>
      <c r="D609" s="412" t="s">
        <v>348</v>
      </c>
      <c r="E609" s="503"/>
      <c r="F609" s="188"/>
      <c r="G609" s="187"/>
      <c r="H609" s="187"/>
      <c r="I609" s="187"/>
      <c r="J609" s="452"/>
      <c r="K609" s="451"/>
      <c r="L609" s="452"/>
      <c r="M609" s="452"/>
      <c r="N609" s="498"/>
      <c r="O609" s="452"/>
      <c r="P609" s="452"/>
      <c r="Q609" s="452"/>
      <c r="R609" s="442"/>
      <c r="S609" s="444"/>
      <c r="T609" s="187"/>
      <c r="U609" s="173"/>
      <c r="V609" s="173"/>
      <c r="W609" s="442"/>
      <c r="X609" s="444"/>
      <c r="Y609" s="444"/>
      <c r="Z609" s="444"/>
      <c r="AA609" s="445"/>
      <c r="AB609" s="472"/>
      <c r="AC609" s="501"/>
      <c r="AD609" s="451"/>
      <c r="AE609" s="447"/>
      <c r="AF609" s="488"/>
      <c r="AG609" s="823"/>
      <c r="AH609" s="731"/>
      <c r="AI609" s="731"/>
      <c r="AJ609" s="731"/>
      <c r="AK609" s="731"/>
      <c r="AL609" s="731"/>
      <c r="AM609" s="731"/>
      <c r="AN609" s="731"/>
      <c r="AO609" s="951"/>
      <c r="AP609" s="883"/>
      <c r="AQ609" s="731"/>
      <c r="AR609" s="731"/>
      <c r="AS609" s="731"/>
      <c r="AT609" s="731"/>
      <c r="AU609" s="731"/>
      <c r="AV609" s="731"/>
      <c r="AW609" s="731"/>
      <c r="AX609" s="731"/>
      <c r="AY609" s="731"/>
    </row>
    <row r="610" spans="1:51" ht="18" hidden="1" customHeight="1" x14ac:dyDescent="0.25">
      <c r="A610" s="829"/>
      <c r="B610" s="710"/>
      <c r="C610" s="961" t="s">
        <v>1382</v>
      </c>
      <c r="D610" s="413" t="s">
        <v>340</v>
      </c>
      <c r="E610" s="179"/>
      <c r="F610" s="180"/>
      <c r="G610" s="174"/>
      <c r="H610" s="174"/>
      <c r="I610" s="174"/>
      <c r="J610" s="410"/>
      <c r="K610" s="409"/>
      <c r="L610" s="410"/>
      <c r="M610" s="410"/>
      <c r="N610" s="410"/>
      <c r="O610" s="410"/>
      <c r="P610" s="452"/>
      <c r="Q610" s="410"/>
      <c r="R610" s="416"/>
      <c r="S610" s="444"/>
      <c r="T610" s="174"/>
      <c r="U610" s="173"/>
      <c r="V610" s="173"/>
      <c r="W610" s="442"/>
      <c r="X610" s="444"/>
      <c r="Y610" s="444"/>
      <c r="Z610" s="444"/>
      <c r="AA610" s="445"/>
      <c r="AB610" s="472"/>
      <c r="AC610" s="401"/>
      <c r="AD610" s="409"/>
      <c r="AE610" s="447"/>
      <c r="AF610" s="488"/>
      <c r="AG610" s="919" t="str">
        <f>+C610</f>
        <v>RAFAEL URIBE</v>
      </c>
      <c r="AH610" s="813" t="s">
        <v>633</v>
      </c>
      <c r="AI610" s="813" t="s">
        <v>633</v>
      </c>
      <c r="AJ610" s="813" t="s">
        <v>633</v>
      </c>
      <c r="AK610" s="813" t="s">
        <v>457</v>
      </c>
      <c r="AL610" s="813"/>
      <c r="AM610" s="813" t="s">
        <v>1335</v>
      </c>
      <c r="AN610" s="931">
        <v>8185614</v>
      </c>
      <c r="AO610" s="948">
        <v>8185614</v>
      </c>
      <c r="AP610" s="949"/>
      <c r="AQ610" s="915" t="s">
        <v>459</v>
      </c>
      <c r="AR610" s="915" t="s">
        <v>459</v>
      </c>
      <c r="AS610" s="915" t="s">
        <v>459</v>
      </c>
      <c r="AT610" s="915" t="s">
        <v>459</v>
      </c>
      <c r="AU610" s="915" t="s">
        <v>459</v>
      </c>
      <c r="AV610" s="915" t="s">
        <v>459</v>
      </c>
      <c r="AW610" s="915" t="s">
        <v>459</v>
      </c>
      <c r="AX610" s="910">
        <v>8185614</v>
      </c>
      <c r="AY610" s="932"/>
    </row>
    <row r="611" spans="1:51" ht="18" hidden="1" customHeight="1" x14ac:dyDescent="0.25">
      <c r="A611" s="829"/>
      <c r="B611" s="710"/>
      <c r="C611" s="713"/>
      <c r="D611" s="404" t="s">
        <v>343</v>
      </c>
      <c r="E611" s="499"/>
      <c r="F611" s="189"/>
      <c r="G611" s="186"/>
      <c r="H611" s="186"/>
      <c r="I611" s="186"/>
      <c r="J611" s="450"/>
      <c r="K611" s="449"/>
      <c r="L611" s="450"/>
      <c r="M611" s="450"/>
      <c r="N611" s="490"/>
      <c r="O611" s="450"/>
      <c r="P611" s="452"/>
      <c r="Q611" s="450"/>
      <c r="R611" s="494"/>
      <c r="S611" s="163"/>
      <c r="T611" s="186"/>
      <c r="U611" s="162"/>
      <c r="V611" s="162"/>
      <c r="W611" s="491"/>
      <c r="X611" s="163"/>
      <c r="Y611" s="163"/>
      <c r="Z611" s="163"/>
      <c r="AA611" s="492"/>
      <c r="AB611" s="500"/>
      <c r="AC611" s="501"/>
      <c r="AD611" s="449"/>
      <c r="AE611" s="431"/>
      <c r="AF611" s="493"/>
      <c r="AG611" s="829"/>
      <c r="AH611" s="710"/>
      <c r="AI611" s="710"/>
      <c r="AJ611" s="710"/>
      <c r="AK611" s="710"/>
      <c r="AL611" s="710"/>
      <c r="AM611" s="710"/>
      <c r="AN611" s="710"/>
      <c r="AO611" s="950"/>
      <c r="AP611" s="822"/>
      <c r="AQ611" s="710"/>
      <c r="AR611" s="710"/>
      <c r="AS611" s="710"/>
      <c r="AT611" s="710"/>
      <c r="AU611" s="710"/>
      <c r="AV611" s="710"/>
      <c r="AW611" s="710"/>
      <c r="AX611" s="710"/>
      <c r="AY611" s="710"/>
    </row>
    <row r="612" spans="1:51" ht="27" hidden="1" customHeight="1" x14ac:dyDescent="0.25">
      <c r="A612" s="829"/>
      <c r="B612" s="710"/>
      <c r="C612" s="713"/>
      <c r="D612" s="408" t="s">
        <v>345</v>
      </c>
      <c r="E612" s="499"/>
      <c r="F612" s="189"/>
      <c r="G612" s="186"/>
      <c r="H612" s="186"/>
      <c r="I612" s="186"/>
      <c r="J612" s="450"/>
      <c r="K612" s="449"/>
      <c r="L612" s="450"/>
      <c r="M612" s="450"/>
      <c r="N612" s="490"/>
      <c r="O612" s="450"/>
      <c r="P612" s="452"/>
      <c r="Q612" s="450"/>
      <c r="R612" s="494"/>
      <c r="S612" s="163"/>
      <c r="T612" s="186"/>
      <c r="U612" s="162"/>
      <c r="V612" s="162"/>
      <c r="W612" s="491"/>
      <c r="X612" s="163"/>
      <c r="Y612" s="163"/>
      <c r="Z612" s="163"/>
      <c r="AA612" s="492"/>
      <c r="AB612" s="500"/>
      <c r="AC612" s="501"/>
      <c r="AD612" s="449"/>
      <c r="AE612" s="431"/>
      <c r="AF612" s="493"/>
      <c r="AG612" s="829"/>
      <c r="AH612" s="710"/>
      <c r="AI612" s="710"/>
      <c r="AJ612" s="710"/>
      <c r="AK612" s="710"/>
      <c r="AL612" s="710"/>
      <c r="AM612" s="710"/>
      <c r="AN612" s="710"/>
      <c r="AO612" s="950"/>
      <c r="AP612" s="822"/>
      <c r="AQ612" s="710"/>
      <c r="AR612" s="710"/>
      <c r="AS612" s="710"/>
      <c r="AT612" s="710"/>
      <c r="AU612" s="710"/>
      <c r="AV612" s="710"/>
      <c r="AW612" s="710"/>
      <c r="AX612" s="710"/>
      <c r="AY612" s="710"/>
    </row>
    <row r="613" spans="1:51" ht="27" hidden="1" customHeight="1" x14ac:dyDescent="0.25">
      <c r="A613" s="829"/>
      <c r="B613" s="710"/>
      <c r="C613" s="713"/>
      <c r="D613" s="404" t="s">
        <v>346</v>
      </c>
      <c r="E613" s="499"/>
      <c r="F613" s="189"/>
      <c r="G613" s="186"/>
      <c r="H613" s="186"/>
      <c r="I613" s="186"/>
      <c r="J613" s="450"/>
      <c r="K613" s="449"/>
      <c r="L613" s="450"/>
      <c r="M613" s="450"/>
      <c r="N613" s="490"/>
      <c r="O613" s="450"/>
      <c r="P613" s="452"/>
      <c r="Q613" s="450"/>
      <c r="R613" s="494"/>
      <c r="S613" s="163"/>
      <c r="T613" s="186"/>
      <c r="U613" s="162"/>
      <c r="V613" s="162"/>
      <c r="W613" s="491"/>
      <c r="X613" s="163"/>
      <c r="Y613" s="163"/>
      <c r="Z613" s="163"/>
      <c r="AA613" s="492"/>
      <c r="AB613" s="500"/>
      <c r="AC613" s="501"/>
      <c r="AD613" s="449"/>
      <c r="AE613" s="431"/>
      <c r="AF613" s="493"/>
      <c r="AG613" s="829"/>
      <c r="AH613" s="710"/>
      <c r="AI613" s="710"/>
      <c r="AJ613" s="710"/>
      <c r="AK613" s="710"/>
      <c r="AL613" s="710"/>
      <c r="AM613" s="710"/>
      <c r="AN613" s="710"/>
      <c r="AO613" s="950"/>
      <c r="AP613" s="822"/>
      <c r="AQ613" s="710"/>
      <c r="AR613" s="710"/>
      <c r="AS613" s="710"/>
      <c r="AT613" s="710"/>
      <c r="AU613" s="710"/>
      <c r="AV613" s="710"/>
      <c r="AW613" s="710"/>
      <c r="AX613" s="710"/>
      <c r="AY613" s="710"/>
    </row>
    <row r="614" spans="1:51" ht="27" hidden="1" customHeight="1" x14ac:dyDescent="0.25">
      <c r="A614" s="829"/>
      <c r="B614" s="710"/>
      <c r="C614" s="713"/>
      <c r="D614" s="408" t="s">
        <v>347</v>
      </c>
      <c r="E614" s="179"/>
      <c r="F614" s="180"/>
      <c r="G614" s="174"/>
      <c r="H614" s="174"/>
      <c r="I614" s="174"/>
      <c r="J614" s="410"/>
      <c r="K614" s="409"/>
      <c r="L614" s="410"/>
      <c r="M614" s="410"/>
      <c r="N614" s="410"/>
      <c r="O614" s="410"/>
      <c r="P614" s="452"/>
      <c r="Q614" s="410"/>
      <c r="R614" s="416"/>
      <c r="S614" s="420"/>
      <c r="T614" s="174"/>
      <c r="U614" s="184"/>
      <c r="V614" s="184"/>
      <c r="W614" s="416"/>
      <c r="X614" s="420"/>
      <c r="Y614" s="420"/>
      <c r="Z614" s="420"/>
      <c r="AA614" s="420"/>
      <c r="AB614" s="502"/>
      <c r="AC614" s="401"/>
      <c r="AD614" s="409"/>
      <c r="AE614" s="401"/>
      <c r="AF614" s="496"/>
      <c r="AG614" s="829"/>
      <c r="AH614" s="710"/>
      <c r="AI614" s="710"/>
      <c r="AJ614" s="710"/>
      <c r="AK614" s="710"/>
      <c r="AL614" s="710"/>
      <c r="AM614" s="710"/>
      <c r="AN614" s="710"/>
      <c r="AO614" s="950"/>
      <c r="AP614" s="822"/>
      <c r="AQ614" s="710"/>
      <c r="AR614" s="710"/>
      <c r="AS614" s="710"/>
      <c r="AT614" s="710"/>
      <c r="AU614" s="710"/>
      <c r="AV614" s="710"/>
      <c r="AW614" s="710"/>
      <c r="AX614" s="710"/>
      <c r="AY614" s="710"/>
    </row>
    <row r="615" spans="1:51" ht="27.75" hidden="1" customHeight="1" x14ac:dyDescent="0.25">
      <c r="A615" s="829"/>
      <c r="B615" s="710"/>
      <c r="C615" s="830"/>
      <c r="D615" s="412" t="s">
        <v>348</v>
      </c>
      <c r="E615" s="503"/>
      <c r="F615" s="188"/>
      <c r="G615" s="187"/>
      <c r="H615" s="187"/>
      <c r="I615" s="187"/>
      <c r="J615" s="452"/>
      <c r="K615" s="451"/>
      <c r="L615" s="452"/>
      <c r="M615" s="452"/>
      <c r="N615" s="498"/>
      <c r="O615" s="452"/>
      <c r="P615" s="452"/>
      <c r="Q615" s="452"/>
      <c r="R615" s="442"/>
      <c r="S615" s="444"/>
      <c r="T615" s="187"/>
      <c r="U615" s="173"/>
      <c r="V615" s="173"/>
      <c r="W615" s="442"/>
      <c r="X615" s="444"/>
      <c r="Y615" s="444"/>
      <c r="Z615" s="444"/>
      <c r="AA615" s="445"/>
      <c r="AB615" s="472"/>
      <c r="AC615" s="501"/>
      <c r="AD615" s="451"/>
      <c r="AE615" s="447"/>
      <c r="AF615" s="488"/>
      <c r="AG615" s="823"/>
      <c r="AH615" s="731"/>
      <c r="AI615" s="731"/>
      <c r="AJ615" s="731"/>
      <c r="AK615" s="731"/>
      <c r="AL615" s="731"/>
      <c r="AM615" s="731"/>
      <c r="AN615" s="731"/>
      <c r="AO615" s="951"/>
      <c r="AP615" s="883"/>
      <c r="AQ615" s="731"/>
      <c r="AR615" s="731"/>
      <c r="AS615" s="731"/>
      <c r="AT615" s="731"/>
      <c r="AU615" s="731"/>
      <c r="AV615" s="731"/>
      <c r="AW615" s="731"/>
      <c r="AX615" s="731"/>
      <c r="AY615" s="731"/>
    </row>
    <row r="616" spans="1:51" ht="18" customHeight="1" x14ac:dyDescent="0.25">
      <c r="A616" s="829"/>
      <c r="B616" s="710"/>
      <c r="C616" s="813" t="s">
        <v>1207</v>
      </c>
      <c r="D616" s="413" t="s">
        <v>340</v>
      </c>
      <c r="E616" s="179"/>
      <c r="F616" s="180"/>
      <c r="G616" s="178">
        <v>1</v>
      </c>
      <c r="H616" s="178">
        <v>2</v>
      </c>
      <c r="I616" s="178">
        <v>2</v>
      </c>
      <c r="J616" s="410">
        <v>2</v>
      </c>
      <c r="K616" s="409">
        <v>2</v>
      </c>
      <c r="L616" s="410"/>
      <c r="M616" s="410"/>
      <c r="N616" s="410"/>
      <c r="O616" s="410"/>
      <c r="P616" s="452"/>
      <c r="Q616" s="410">
        <v>1</v>
      </c>
      <c r="R616" s="416">
        <v>1</v>
      </c>
      <c r="S616" s="444"/>
      <c r="T616" s="178">
        <v>1</v>
      </c>
      <c r="U616" s="178">
        <v>2</v>
      </c>
      <c r="V616" s="178">
        <v>2</v>
      </c>
      <c r="W616" s="442">
        <v>2</v>
      </c>
      <c r="X616" s="444">
        <v>2</v>
      </c>
      <c r="Y616" s="444"/>
      <c r="Z616" s="444"/>
      <c r="AA616" s="445"/>
      <c r="AB616" s="472"/>
      <c r="AC616" s="401"/>
      <c r="AD616" s="409">
        <v>1</v>
      </c>
      <c r="AE616" s="447">
        <v>1</v>
      </c>
      <c r="AF616" s="933" t="s">
        <v>1383</v>
      </c>
      <c r="AG616" s="920" t="str">
        <f>+C616</f>
        <v>CIUDAD BOLIVAR</v>
      </c>
      <c r="AH616" s="934" t="s">
        <v>1384</v>
      </c>
      <c r="AI616" s="934" t="s">
        <v>1385</v>
      </c>
      <c r="AJ616" s="935" t="s">
        <v>1340</v>
      </c>
      <c r="AK616" s="813" t="s">
        <v>457</v>
      </c>
      <c r="AL616" s="813" t="s">
        <v>1386</v>
      </c>
      <c r="AM616" s="813" t="s">
        <v>1335</v>
      </c>
      <c r="AN616" s="931">
        <v>628526</v>
      </c>
      <c r="AO616" s="910">
        <v>306776</v>
      </c>
      <c r="AP616" s="910">
        <v>321750</v>
      </c>
      <c r="AQ616" s="915" t="s">
        <v>459</v>
      </c>
      <c r="AR616" s="915" t="s">
        <v>459</v>
      </c>
      <c r="AS616" s="915" t="s">
        <v>459</v>
      </c>
      <c r="AT616" s="915" t="s">
        <v>459</v>
      </c>
      <c r="AU616" s="915" t="s">
        <v>459</v>
      </c>
      <c r="AV616" s="915" t="s">
        <v>459</v>
      </c>
      <c r="AW616" s="915" t="s">
        <v>459</v>
      </c>
      <c r="AX616" s="910">
        <v>628526</v>
      </c>
      <c r="AY616" s="932" t="s">
        <v>1387</v>
      </c>
    </row>
    <row r="617" spans="1:51" ht="18" customHeight="1" x14ac:dyDescent="0.25">
      <c r="A617" s="829"/>
      <c r="B617" s="710"/>
      <c r="C617" s="710"/>
      <c r="D617" s="404" t="s">
        <v>343</v>
      </c>
      <c r="E617" s="499"/>
      <c r="F617" s="189"/>
      <c r="G617" s="186">
        <f>+G616*$G$503/$G$502</f>
        <v>4371175</v>
      </c>
      <c r="H617" s="186">
        <f>+H616*$H$503/$H$502</f>
        <v>8742350</v>
      </c>
      <c r="I617" s="186" t="e">
        <f>+I616*$I$503/$I$502</f>
        <v>#REF!</v>
      </c>
      <c r="J617" s="450" t="e">
        <f>+J616*$J$503/$J$502</f>
        <v>#REF!</v>
      </c>
      <c r="K617" s="449"/>
      <c r="L617" s="450"/>
      <c r="M617" s="450"/>
      <c r="N617" s="490"/>
      <c r="O617" s="450"/>
      <c r="P617" s="452"/>
      <c r="Q617" s="450">
        <f>+Q616*$Q$503/$Q$502</f>
        <v>14288566.539999999</v>
      </c>
      <c r="R617" s="450">
        <f>+R616*$R$503/$R$502</f>
        <v>14288566.539999999</v>
      </c>
      <c r="S617" s="163"/>
      <c r="T617" s="186"/>
      <c r="U617" s="186">
        <f>+U616*$U$503/$U$502</f>
        <v>3067800</v>
      </c>
      <c r="V617" s="186" t="e">
        <f>+V616*$V$503/$V$502</f>
        <v>#REF!</v>
      </c>
      <c r="W617" s="450" t="e">
        <f>+W616*$W$503/$W$502</f>
        <v>#REF!</v>
      </c>
      <c r="X617" s="163"/>
      <c r="Y617" s="163"/>
      <c r="Z617" s="163"/>
      <c r="AA617" s="492"/>
      <c r="AB617" s="500"/>
      <c r="AC617" s="501"/>
      <c r="AD617" s="449">
        <f>+AD616*$AD$503/$AD$502</f>
        <v>12377092.51111111</v>
      </c>
      <c r="AE617" s="449" t="e">
        <f>+AE616*$AE$503/$AE$502</f>
        <v>#VALUE!</v>
      </c>
      <c r="AF617" s="713"/>
      <c r="AG617" s="724"/>
      <c r="AH617" s="710"/>
      <c r="AI617" s="710"/>
      <c r="AJ617" s="710"/>
      <c r="AK617" s="710"/>
      <c r="AL617" s="710"/>
      <c r="AM617" s="710"/>
      <c r="AN617" s="710"/>
      <c r="AO617" s="710"/>
      <c r="AP617" s="710"/>
      <c r="AQ617" s="710"/>
      <c r="AR617" s="710"/>
      <c r="AS617" s="710"/>
      <c r="AT617" s="710"/>
      <c r="AU617" s="710"/>
      <c r="AV617" s="710"/>
      <c r="AW617" s="710"/>
      <c r="AX617" s="710"/>
      <c r="AY617" s="710"/>
    </row>
    <row r="618" spans="1:51" ht="27" customHeight="1" x14ac:dyDescent="0.25">
      <c r="A618" s="829"/>
      <c r="B618" s="710"/>
      <c r="C618" s="710"/>
      <c r="D618" s="408" t="s">
        <v>345</v>
      </c>
      <c r="E618" s="499"/>
      <c r="F618" s="189"/>
      <c r="G618" s="186"/>
      <c r="H618" s="186"/>
      <c r="I618" s="186"/>
      <c r="J618" s="450"/>
      <c r="K618" s="449"/>
      <c r="L618" s="450"/>
      <c r="M618" s="450"/>
      <c r="N618" s="490"/>
      <c r="O618" s="450"/>
      <c r="P618" s="452"/>
      <c r="Q618" s="450"/>
      <c r="R618" s="494"/>
      <c r="S618" s="163"/>
      <c r="T618" s="186"/>
      <c r="U618" s="186"/>
      <c r="V618" s="186"/>
      <c r="W618" s="491"/>
      <c r="X618" s="163"/>
      <c r="Y618" s="163"/>
      <c r="Z618" s="163"/>
      <c r="AA618" s="492"/>
      <c r="AB618" s="500"/>
      <c r="AC618" s="501"/>
      <c r="AD618" s="449"/>
      <c r="AE618" s="431"/>
      <c r="AF618" s="713"/>
      <c r="AG618" s="724"/>
      <c r="AH618" s="710"/>
      <c r="AI618" s="710"/>
      <c r="AJ618" s="710"/>
      <c r="AK618" s="710"/>
      <c r="AL618" s="710"/>
      <c r="AM618" s="710"/>
      <c r="AN618" s="710"/>
      <c r="AO618" s="710"/>
      <c r="AP618" s="710"/>
      <c r="AQ618" s="710"/>
      <c r="AR618" s="710"/>
      <c r="AS618" s="710"/>
      <c r="AT618" s="710"/>
      <c r="AU618" s="710"/>
      <c r="AV618" s="710"/>
      <c r="AW618" s="710"/>
      <c r="AX618" s="710"/>
      <c r="AY618" s="710"/>
    </row>
    <row r="619" spans="1:51" ht="27" customHeight="1" x14ac:dyDescent="0.25">
      <c r="A619" s="829"/>
      <c r="B619" s="710"/>
      <c r="C619" s="710"/>
      <c r="D619" s="404" t="s">
        <v>346</v>
      </c>
      <c r="E619" s="499"/>
      <c r="F619" s="189"/>
      <c r="G619" s="186"/>
      <c r="H619" s="186">
        <f>+$U$505/11</f>
        <v>7723875.0909090908</v>
      </c>
      <c r="I619" s="186"/>
      <c r="J619" s="450"/>
      <c r="K619" s="449"/>
      <c r="L619" s="450"/>
      <c r="M619" s="450"/>
      <c r="N619" s="490"/>
      <c r="O619" s="450"/>
      <c r="P619" s="452"/>
      <c r="Q619" s="450"/>
      <c r="R619" s="494"/>
      <c r="S619" s="163"/>
      <c r="T619" s="186">
        <f>+T616*$T$505/$T$502</f>
        <v>1758853.75</v>
      </c>
      <c r="U619" s="186">
        <f>+$U$505/11</f>
        <v>7723875.0909090908</v>
      </c>
      <c r="V619" s="186"/>
      <c r="W619" s="491"/>
      <c r="X619" s="163"/>
      <c r="Y619" s="163"/>
      <c r="Z619" s="163"/>
      <c r="AA619" s="492"/>
      <c r="AB619" s="500"/>
      <c r="AC619" s="501"/>
      <c r="AD619" s="449"/>
      <c r="AE619" s="431"/>
      <c r="AF619" s="713"/>
      <c r="AG619" s="724"/>
      <c r="AH619" s="710"/>
      <c r="AI619" s="710"/>
      <c r="AJ619" s="710"/>
      <c r="AK619" s="710"/>
      <c r="AL619" s="710"/>
      <c r="AM619" s="710"/>
      <c r="AN619" s="710"/>
      <c r="AO619" s="710"/>
      <c r="AP619" s="710"/>
      <c r="AQ619" s="710"/>
      <c r="AR619" s="710"/>
      <c r="AS619" s="710"/>
      <c r="AT619" s="710"/>
      <c r="AU619" s="710"/>
      <c r="AV619" s="710"/>
      <c r="AW619" s="710"/>
      <c r="AX619" s="710"/>
      <c r="AY619" s="710"/>
    </row>
    <row r="620" spans="1:51" ht="27" customHeight="1" x14ac:dyDescent="0.25">
      <c r="A620" s="829"/>
      <c r="B620" s="710"/>
      <c r="C620" s="710"/>
      <c r="D620" s="408" t="s">
        <v>347</v>
      </c>
      <c r="E620" s="179"/>
      <c r="F620" s="180"/>
      <c r="G620" s="178">
        <v>1</v>
      </c>
      <c r="H620" s="178">
        <v>2</v>
      </c>
      <c r="I620" s="178">
        <v>2</v>
      </c>
      <c r="J620" s="410">
        <v>2</v>
      </c>
      <c r="K620" s="409">
        <v>2</v>
      </c>
      <c r="L620" s="410"/>
      <c r="M620" s="410"/>
      <c r="N620" s="410"/>
      <c r="O620" s="410"/>
      <c r="P620" s="452"/>
      <c r="Q620" s="410">
        <v>1</v>
      </c>
      <c r="R620" s="416">
        <v>1</v>
      </c>
      <c r="S620" s="420"/>
      <c r="T620" s="178">
        <v>1</v>
      </c>
      <c r="U620" s="178">
        <v>2</v>
      </c>
      <c r="V620" s="178">
        <v>2</v>
      </c>
      <c r="W620" s="416">
        <v>2</v>
      </c>
      <c r="X620" s="169">
        <v>2</v>
      </c>
      <c r="Y620" s="420"/>
      <c r="Z620" s="420"/>
      <c r="AA620" s="420"/>
      <c r="AB620" s="502"/>
      <c r="AC620" s="401"/>
      <c r="AD620" s="409">
        <v>1</v>
      </c>
      <c r="AE620" s="401">
        <v>1</v>
      </c>
      <c r="AF620" s="713"/>
      <c r="AG620" s="724"/>
      <c r="AH620" s="710"/>
      <c r="AI620" s="710"/>
      <c r="AJ620" s="710"/>
      <c r="AK620" s="710"/>
      <c r="AL620" s="710"/>
      <c r="AM620" s="710"/>
      <c r="AN620" s="710"/>
      <c r="AO620" s="710"/>
      <c r="AP620" s="710"/>
      <c r="AQ620" s="710"/>
      <c r="AR620" s="710"/>
      <c r="AS620" s="710"/>
      <c r="AT620" s="710"/>
      <c r="AU620" s="710"/>
      <c r="AV620" s="710"/>
      <c r="AW620" s="710"/>
      <c r="AX620" s="710"/>
      <c r="AY620" s="710"/>
    </row>
    <row r="621" spans="1:51" ht="27.75" customHeight="1" x14ac:dyDescent="0.25">
      <c r="A621" s="829"/>
      <c r="B621" s="710"/>
      <c r="C621" s="731"/>
      <c r="D621" s="412" t="s">
        <v>348</v>
      </c>
      <c r="E621" s="503"/>
      <c r="F621" s="188"/>
      <c r="G621" s="186">
        <f>+G620*$G$503/$G$502</f>
        <v>4371175</v>
      </c>
      <c r="H621" s="186">
        <f>+H620*$H$503/$H$502</f>
        <v>8742350</v>
      </c>
      <c r="I621" s="186" t="e">
        <f>+I620*$I$503/$I$502</f>
        <v>#REF!</v>
      </c>
      <c r="J621" s="450" t="e">
        <f>+J620*$J$503/$J$502</f>
        <v>#REF!</v>
      </c>
      <c r="K621" s="451"/>
      <c r="L621" s="452"/>
      <c r="M621" s="452"/>
      <c r="N621" s="498"/>
      <c r="O621" s="452"/>
      <c r="P621" s="452"/>
      <c r="Q621" s="450">
        <f>+Q620*$Q$503/$Q$502</f>
        <v>14288566.539999999</v>
      </c>
      <c r="R621" s="450">
        <f>+R620*$R$503/$R$502</f>
        <v>14288566.539999999</v>
      </c>
      <c r="S621" s="444"/>
      <c r="T621" s="187"/>
      <c r="U621" s="186">
        <f>+U620*$U$503/$U$502</f>
        <v>3067800</v>
      </c>
      <c r="V621" s="186" t="e">
        <f>+V620*$V$503/$V$502</f>
        <v>#REF!</v>
      </c>
      <c r="W621" s="450" t="e">
        <f>+W620*$W$503/$W$502</f>
        <v>#REF!</v>
      </c>
      <c r="X621" s="444"/>
      <c r="Y621" s="444"/>
      <c r="Z621" s="444"/>
      <c r="AA621" s="445"/>
      <c r="AB621" s="472"/>
      <c r="AC621" s="501"/>
      <c r="AD621" s="449">
        <f>+AD620*$AD$503/$AD$502</f>
        <v>12377092.51111111</v>
      </c>
      <c r="AE621" s="449" t="e">
        <f>+AE620*$AE$503/$AE$502</f>
        <v>#VALUE!</v>
      </c>
      <c r="AF621" s="830"/>
      <c r="AG621" s="876"/>
      <c r="AH621" s="731"/>
      <c r="AI621" s="731"/>
      <c r="AJ621" s="731"/>
      <c r="AK621" s="731"/>
      <c r="AL621" s="731"/>
      <c r="AM621" s="731"/>
      <c r="AN621" s="731"/>
      <c r="AO621" s="731"/>
      <c r="AP621" s="731"/>
      <c r="AQ621" s="731"/>
      <c r="AR621" s="731"/>
      <c r="AS621" s="731"/>
      <c r="AT621" s="731"/>
      <c r="AU621" s="731"/>
      <c r="AV621" s="731"/>
      <c r="AW621" s="731"/>
      <c r="AX621" s="731"/>
      <c r="AY621" s="731"/>
    </row>
    <row r="622" spans="1:51" ht="18" customHeight="1" x14ac:dyDescent="0.25">
      <c r="A622" s="829"/>
      <c r="B622" s="710"/>
      <c r="C622" s="963" t="s">
        <v>511</v>
      </c>
      <c r="D622" s="413" t="s">
        <v>340</v>
      </c>
      <c r="E622" s="179"/>
      <c r="F622" s="180"/>
      <c r="G622" s="178">
        <v>140</v>
      </c>
      <c r="H622" s="178">
        <v>120</v>
      </c>
      <c r="I622" s="178">
        <v>115</v>
      </c>
      <c r="J622" s="410">
        <v>110</v>
      </c>
      <c r="K622" s="409">
        <v>105</v>
      </c>
      <c r="L622" s="410"/>
      <c r="M622" s="410"/>
      <c r="N622" s="410"/>
      <c r="O622" s="410">
        <v>40</v>
      </c>
      <c r="P622" s="507">
        <v>20</v>
      </c>
      <c r="Q622" s="410">
        <v>5</v>
      </c>
      <c r="R622" s="416">
        <v>0</v>
      </c>
      <c r="S622" s="411"/>
      <c r="T622" s="167"/>
      <c r="U622" s="167"/>
      <c r="V622" s="167"/>
      <c r="W622" s="415"/>
      <c r="X622" s="411"/>
      <c r="Y622" s="411"/>
      <c r="Z622" s="411"/>
      <c r="AA622" s="433"/>
      <c r="AB622" s="419"/>
      <c r="AC622" s="401"/>
      <c r="AD622" s="431"/>
      <c r="AE622" s="411"/>
      <c r="AF622" s="508"/>
      <c r="AG622" s="919" t="s">
        <v>632</v>
      </c>
      <c r="AH622" s="813" t="s">
        <v>633</v>
      </c>
      <c r="AI622" s="813" t="s">
        <v>633</v>
      </c>
      <c r="AJ622" s="813" t="s">
        <v>633</v>
      </c>
      <c r="AK622" s="813" t="s">
        <v>457</v>
      </c>
      <c r="AL622" s="813"/>
      <c r="AM622" s="813" t="s">
        <v>1335</v>
      </c>
      <c r="AN622" s="910">
        <v>7804660</v>
      </c>
      <c r="AO622" s="910">
        <v>3721767</v>
      </c>
      <c r="AP622" s="910">
        <v>4082893</v>
      </c>
      <c r="AQ622" s="911" t="s">
        <v>459</v>
      </c>
      <c r="AR622" s="911" t="s">
        <v>459</v>
      </c>
      <c r="AS622" s="911" t="s">
        <v>459</v>
      </c>
      <c r="AT622" s="911" t="s">
        <v>459</v>
      </c>
      <c r="AU622" s="915" t="s">
        <v>459</v>
      </c>
      <c r="AV622" s="915" t="s">
        <v>459</v>
      </c>
      <c r="AW622" s="915" t="s">
        <v>459</v>
      </c>
      <c r="AX622" s="910">
        <v>7804660</v>
      </c>
      <c r="AY622" s="427"/>
    </row>
    <row r="623" spans="1:51" ht="15.75" customHeight="1" x14ac:dyDescent="0.25">
      <c r="A623" s="829"/>
      <c r="B623" s="710"/>
      <c r="C623" s="713"/>
      <c r="D623" s="404" t="s">
        <v>343</v>
      </c>
      <c r="E623" s="179"/>
      <c r="F623" s="180"/>
      <c r="G623" s="186">
        <f>+G622*$G$503/$G$502</f>
        <v>611964500</v>
      </c>
      <c r="H623" s="186">
        <f>+H622*$H$503/$H$502</f>
        <v>524541000</v>
      </c>
      <c r="I623" s="186" t="e">
        <f>+I622*$I$503/$I$502</f>
        <v>#REF!</v>
      </c>
      <c r="J623" s="450" t="e">
        <f>+J622*$J$503/$J$502</f>
        <v>#REF!</v>
      </c>
      <c r="K623" s="409"/>
      <c r="L623" s="410"/>
      <c r="M623" s="410"/>
      <c r="N623" s="410"/>
      <c r="O623" s="450">
        <f>+O622*$O$503/$O$502</f>
        <v>512953992</v>
      </c>
      <c r="P623" s="450">
        <f>+P622*$P$503/$P$502</f>
        <v>293771330.80000001</v>
      </c>
      <c r="Q623" s="450">
        <f>+Q622*$Q$503/$Q$502</f>
        <v>71442832.700000003</v>
      </c>
      <c r="R623" s="450"/>
      <c r="S623" s="411"/>
      <c r="T623" s="167"/>
      <c r="U623" s="167"/>
      <c r="V623" s="167"/>
      <c r="W623" s="415"/>
      <c r="X623" s="411"/>
      <c r="Y623" s="411"/>
      <c r="Z623" s="411"/>
      <c r="AA623" s="433"/>
      <c r="AB623" s="419"/>
      <c r="AC623" s="401"/>
      <c r="AD623" s="431"/>
      <c r="AE623" s="411"/>
      <c r="AF623" s="508"/>
      <c r="AG623" s="829"/>
      <c r="AH623" s="710"/>
      <c r="AI623" s="710"/>
      <c r="AJ623" s="710"/>
      <c r="AK623" s="710"/>
      <c r="AL623" s="710"/>
      <c r="AM623" s="710"/>
      <c r="AN623" s="710"/>
      <c r="AO623" s="710"/>
      <c r="AP623" s="710"/>
      <c r="AQ623" s="710"/>
      <c r="AR623" s="710"/>
      <c r="AS623" s="710"/>
      <c r="AT623" s="710"/>
      <c r="AU623" s="710"/>
      <c r="AV623" s="710"/>
      <c r="AW623" s="710"/>
      <c r="AX623" s="710"/>
      <c r="AY623" s="427"/>
    </row>
    <row r="624" spans="1:51" ht="15.75" customHeight="1" x14ac:dyDescent="0.25">
      <c r="A624" s="829"/>
      <c r="B624" s="710"/>
      <c r="C624" s="713"/>
      <c r="D624" s="408" t="s">
        <v>345</v>
      </c>
      <c r="E624" s="179"/>
      <c r="F624" s="180"/>
      <c r="G624" s="174"/>
      <c r="H624" s="174"/>
      <c r="I624" s="174"/>
      <c r="J624" s="410"/>
      <c r="K624" s="409"/>
      <c r="L624" s="410"/>
      <c r="M624" s="410"/>
      <c r="N624" s="410"/>
      <c r="O624" s="410"/>
      <c r="P624" s="507"/>
      <c r="Q624" s="410"/>
      <c r="R624" s="416"/>
      <c r="S624" s="411"/>
      <c r="T624" s="167"/>
      <c r="U624" s="167"/>
      <c r="V624" s="167"/>
      <c r="W624" s="415"/>
      <c r="X624" s="411"/>
      <c r="Y624" s="411"/>
      <c r="Z624" s="411"/>
      <c r="AA624" s="433"/>
      <c r="AB624" s="419"/>
      <c r="AC624" s="401"/>
      <c r="AD624" s="431"/>
      <c r="AE624" s="411"/>
      <c r="AF624" s="508"/>
      <c r="AG624" s="829"/>
      <c r="AH624" s="710"/>
      <c r="AI624" s="710"/>
      <c r="AJ624" s="710"/>
      <c r="AK624" s="710"/>
      <c r="AL624" s="710"/>
      <c r="AM624" s="710"/>
      <c r="AN624" s="710"/>
      <c r="AO624" s="710"/>
      <c r="AP624" s="710"/>
      <c r="AQ624" s="710"/>
      <c r="AR624" s="710"/>
      <c r="AS624" s="710"/>
      <c r="AT624" s="710"/>
      <c r="AU624" s="710"/>
      <c r="AV624" s="710"/>
      <c r="AW624" s="710"/>
      <c r="AX624" s="710"/>
      <c r="AY624" s="427"/>
    </row>
    <row r="625" spans="1:51" ht="15.75" customHeight="1" x14ac:dyDescent="0.25">
      <c r="A625" s="829"/>
      <c r="B625" s="710"/>
      <c r="C625" s="713"/>
      <c r="D625" s="404" t="s">
        <v>346</v>
      </c>
      <c r="E625" s="179"/>
      <c r="F625" s="180"/>
      <c r="G625" s="174"/>
      <c r="H625" s="174">
        <v>164188018</v>
      </c>
      <c r="I625" s="174"/>
      <c r="J625" s="410"/>
      <c r="K625" s="409"/>
      <c r="L625" s="410"/>
      <c r="M625" s="410"/>
      <c r="N625" s="410"/>
      <c r="O625" s="410"/>
      <c r="P625" s="507"/>
      <c r="Q625" s="410"/>
      <c r="R625" s="416"/>
      <c r="S625" s="411"/>
      <c r="T625" s="167"/>
      <c r="U625" s="167"/>
      <c r="V625" s="167"/>
      <c r="W625" s="415"/>
      <c r="X625" s="411"/>
      <c r="Y625" s="411"/>
      <c r="Z625" s="411"/>
      <c r="AA625" s="433"/>
      <c r="AB625" s="419"/>
      <c r="AC625" s="401"/>
      <c r="AD625" s="431"/>
      <c r="AE625" s="411"/>
      <c r="AF625" s="508"/>
      <c r="AG625" s="829"/>
      <c r="AH625" s="710"/>
      <c r="AI625" s="710"/>
      <c r="AJ625" s="710"/>
      <c r="AK625" s="710"/>
      <c r="AL625" s="710"/>
      <c r="AM625" s="710"/>
      <c r="AN625" s="710"/>
      <c r="AO625" s="710"/>
      <c r="AP625" s="710"/>
      <c r="AQ625" s="710"/>
      <c r="AR625" s="710"/>
      <c r="AS625" s="710"/>
      <c r="AT625" s="710"/>
      <c r="AU625" s="710"/>
      <c r="AV625" s="710"/>
      <c r="AW625" s="710"/>
      <c r="AX625" s="710"/>
      <c r="AY625" s="427"/>
    </row>
    <row r="626" spans="1:51" ht="15.75" customHeight="1" x14ac:dyDescent="0.25">
      <c r="A626" s="829"/>
      <c r="B626" s="710"/>
      <c r="C626" s="713"/>
      <c r="D626" s="408" t="s">
        <v>347</v>
      </c>
      <c r="E626" s="179"/>
      <c r="F626" s="180"/>
      <c r="G626" s="178">
        <v>140</v>
      </c>
      <c r="H626" s="178">
        <v>120</v>
      </c>
      <c r="I626" s="178">
        <v>115</v>
      </c>
      <c r="J626" s="410">
        <v>110</v>
      </c>
      <c r="K626" s="409">
        <v>105</v>
      </c>
      <c r="L626" s="410"/>
      <c r="M626" s="410"/>
      <c r="N626" s="410"/>
      <c r="O626" s="410">
        <f>+O622</f>
        <v>40</v>
      </c>
      <c r="P626" s="507">
        <v>20</v>
      </c>
      <c r="Q626" s="410">
        <v>5</v>
      </c>
      <c r="R626" s="416">
        <v>0</v>
      </c>
      <c r="S626" s="411"/>
      <c r="T626" s="167"/>
      <c r="U626" s="167"/>
      <c r="V626" s="167"/>
      <c r="W626" s="415"/>
      <c r="X626" s="169"/>
      <c r="Y626" s="411"/>
      <c r="Z626" s="411"/>
      <c r="AA626" s="433"/>
      <c r="AB626" s="419"/>
      <c r="AC626" s="401"/>
      <c r="AD626" s="431"/>
      <c r="AE626" s="411"/>
      <c r="AF626" s="508"/>
      <c r="AG626" s="829"/>
      <c r="AH626" s="710"/>
      <c r="AI626" s="710"/>
      <c r="AJ626" s="710"/>
      <c r="AK626" s="710"/>
      <c r="AL626" s="710"/>
      <c r="AM626" s="710"/>
      <c r="AN626" s="710"/>
      <c r="AO626" s="710"/>
      <c r="AP626" s="710"/>
      <c r="AQ626" s="710"/>
      <c r="AR626" s="710"/>
      <c r="AS626" s="710"/>
      <c r="AT626" s="710"/>
      <c r="AU626" s="710"/>
      <c r="AV626" s="710"/>
      <c r="AW626" s="710"/>
      <c r="AX626" s="710"/>
      <c r="AY626" s="427"/>
    </row>
    <row r="627" spans="1:51" ht="15.75" customHeight="1" x14ac:dyDescent="0.25">
      <c r="A627" s="829"/>
      <c r="B627" s="710"/>
      <c r="C627" s="830"/>
      <c r="D627" s="412" t="s">
        <v>348</v>
      </c>
      <c r="E627" s="179"/>
      <c r="F627" s="180"/>
      <c r="G627" s="186">
        <f>+G626*$G$503/$G$502</f>
        <v>611964500</v>
      </c>
      <c r="H627" s="186">
        <f>+H626*$H$503/$H$502</f>
        <v>524541000</v>
      </c>
      <c r="I627" s="186" t="e">
        <f>+I626*$I$503/$I$502</f>
        <v>#REF!</v>
      </c>
      <c r="J627" s="450" t="e">
        <f>+J626*$J$503/$J$502</f>
        <v>#REF!</v>
      </c>
      <c r="K627" s="409"/>
      <c r="L627" s="410"/>
      <c r="M627" s="410"/>
      <c r="N627" s="410"/>
      <c r="O627" s="410">
        <f>+O623</f>
        <v>512953992</v>
      </c>
      <c r="P627" s="450">
        <f>+P626*$P$503/$P$502</f>
        <v>293771330.80000001</v>
      </c>
      <c r="Q627" s="450">
        <f>+Q626*$Q$503/$Q$502</f>
        <v>71442832.700000003</v>
      </c>
      <c r="R627" s="416"/>
      <c r="S627" s="411"/>
      <c r="T627" s="167"/>
      <c r="U627" s="167"/>
      <c r="V627" s="167"/>
      <c r="W627" s="415"/>
      <c r="X627" s="169"/>
      <c r="Y627" s="411"/>
      <c r="Z627" s="411"/>
      <c r="AA627" s="433"/>
      <c r="AB627" s="419"/>
      <c r="AC627" s="401"/>
      <c r="AD627" s="431"/>
      <c r="AE627" s="411"/>
      <c r="AF627" s="508"/>
      <c r="AG627" s="823"/>
      <c r="AH627" s="731"/>
      <c r="AI627" s="731"/>
      <c r="AJ627" s="731"/>
      <c r="AK627" s="731"/>
      <c r="AL627" s="731"/>
      <c r="AM627" s="731"/>
      <c r="AN627" s="731"/>
      <c r="AO627" s="731"/>
      <c r="AP627" s="731"/>
      <c r="AQ627" s="731"/>
      <c r="AR627" s="731"/>
      <c r="AS627" s="731"/>
      <c r="AT627" s="731"/>
      <c r="AU627" s="731"/>
      <c r="AV627" s="731"/>
      <c r="AW627" s="731"/>
      <c r="AX627" s="731"/>
      <c r="AY627" s="427"/>
    </row>
    <row r="628" spans="1:51" ht="18" customHeight="1" x14ac:dyDescent="0.25">
      <c r="A628" s="829"/>
      <c r="B628" s="710"/>
      <c r="C628" s="914" t="s">
        <v>512</v>
      </c>
      <c r="D628" s="413" t="s">
        <v>340</v>
      </c>
      <c r="E628" s="179"/>
      <c r="F628" s="180"/>
      <c r="G628" s="174">
        <f t="shared" ref="G628:G633" si="48">+G538+G550+G556+G562+G568+G580+G598+G616+G622</f>
        <v>160</v>
      </c>
      <c r="H628" s="174">
        <f t="shared" ref="H628:H633" si="49">H514+H538+H550+H556+H562+H568+H574+H580+H586+H598+H616+H622</f>
        <v>160</v>
      </c>
      <c r="I628" s="174">
        <f t="shared" ref="I628:J633" si="50">I514+I520+I538+I550+I556+I562+I568+I574+I580+I586+I598+I616+I622</f>
        <v>160</v>
      </c>
      <c r="J628" s="416">
        <f t="shared" si="50"/>
        <v>160</v>
      </c>
      <c r="K628" s="409">
        <v>160</v>
      </c>
      <c r="L628" s="410"/>
      <c r="M628" s="410"/>
      <c r="N628" s="410">
        <f t="shared" ref="N628:N633" si="51">+N502</f>
        <v>50</v>
      </c>
      <c r="O628" s="509">
        <f t="shared" ref="O628:O633" si="52">+O514+O556+O580+O598+O622</f>
        <v>50</v>
      </c>
      <c r="P628" s="410">
        <f t="shared" ref="P628:P633" si="53">+P508+P514+P532+P538+P550+P562+P556+P580+P598+P592+P622</f>
        <v>50</v>
      </c>
      <c r="Q628" s="410">
        <f t="shared" ref="Q628:R633" si="54">+Q508+Q514+Q520+Q532+Q538+Q550+Q562+Q556+Q580+Q586+Q598+Q592+Q616+Q622</f>
        <v>50</v>
      </c>
      <c r="R628" s="410">
        <f t="shared" si="54"/>
        <v>50</v>
      </c>
      <c r="S628" s="411"/>
      <c r="T628" s="174">
        <f t="shared" ref="T628:T633" si="55">+T538+T550+T556+T562+T568+T580+T598+T616+T622</f>
        <v>20</v>
      </c>
      <c r="U628" s="174">
        <f t="shared" ref="U628:U633" si="56">U514+U538+U550+U556+U562+U568+U574+U580+U586+U598+U616+U622</f>
        <v>40</v>
      </c>
      <c r="V628" s="174">
        <f t="shared" ref="V628:V633" si="57">V514+V520+V538+V550+V556+V562+V568+V574+V580+V586+V598+V616+V622</f>
        <v>45</v>
      </c>
      <c r="W628" s="416">
        <f t="shared" ref="W628:W633" si="58">W514+W520+W538+W550+W556+W562+W568+W574+W580+W586+W598+W616</f>
        <v>50</v>
      </c>
      <c r="X628" s="185">
        <f>X514+X520+X538+X550+X556+X563+X568+X574+X580+X586+X598+X616</f>
        <v>55</v>
      </c>
      <c r="Y628" s="411"/>
      <c r="Z628" s="411"/>
      <c r="AA628" s="420">
        <f t="shared" ref="AA628:AA633" si="59">+AA502</f>
        <v>5</v>
      </c>
      <c r="AB628" s="428">
        <f t="shared" ref="AB628:AB633" si="60">+AB514+AB556+AB580+AB598</f>
        <v>10</v>
      </c>
      <c r="AC628" s="409">
        <f t="shared" ref="AC628:AC633" si="61">+AC508+AC514+AC532+AC538+AC550+AC562+AC556+AC580+AC598+AC592+AC622</f>
        <v>30</v>
      </c>
      <c r="AD628" s="409">
        <f>+AD508+AD514+AD520+AD532+AD538+AD550+AD562+AD556+AD580+AD586+AD598+AD592+AD616+AD622</f>
        <v>45</v>
      </c>
      <c r="AE628" s="420">
        <f>+AE508+AE514+AE520+AE532+AE538+AE550+AE562+AE556+AE580+AE586+AE598+AE592+AE616+AE622</f>
        <v>50</v>
      </c>
      <c r="AF628" s="467"/>
      <c r="AG628" s="919" t="s">
        <v>632</v>
      </c>
      <c r="AH628" s="813" t="s">
        <v>633</v>
      </c>
      <c r="AI628" s="813" t="s">
        <v>633</v>
      </c>
      <c r="AJ628" s="813" t="s">
        <v>633</v>
      </c>
      <c r="AK628" s="813" t="s">
        <v>457</v>
      </c>
      <c r="AL628" s="813"/>
      <c r="AM628" s="813" t="s">
        <v>1335</v>
      </c>
      <c r="AN628" s="910">
        <v>7804660</v>
      </c>
      <c r="AO628" s="910">
        <v>3721767</v>
      </c>
      <c r="AP628" s="910">
        <v>4082893</v>
      </c>
      <c r="AQ628" s="915" t="s">
        <v>459</v>
      </c>
      <c r="AR628" s="915" t="s">
        <v>459</v>
      </c>
      <c r="AS628" s="915" t="s">
        <v>459</v>
      </c>
      <c r="AT628" s="915" t="s">
        <v>459</v>
      </c>
      <c r="AU628" s="915" t="s">
        <v>459</v>
      </c>
      <c r="AV628" s="915" t="s">
        <v>459</v>
      </c>
      <c r="AW628" s="915" t="s">
        <v>459</v>
      </c>
      <c r="AX628" s="910">
        <v>7804660</v>
      </c>
      <c r="AY628" s="427"/>
    </row>
    <row r="629" spans="1:51" ht="15.75" customHeight="1" x14ac:dyDescent="0.25">
      <c r="A629" s="829"/>
      <c r="B629" s="710"/>
      <c r="C629" s="710"/>
      <c r="D629" s="404" t="s">
        <v>343</v>
      </c>
      <c r="E629" s="179"/>
      <c r="F629" s="180"/>
      <c r="G629" s="174">
        <f t="shared" si="48"/>
        <v>699388000</v>
      </c>
      <c r="H629" s="174">
        <f t="shared" si="49"/>
        <v>699388000</v>
      </c>
      <c r="I629" s="174" t="e">
        <f t="shared" si="50"/>
        <v>#REF!</v>
      </c>
      <c r="J629" s="416" t="e">
        <f t="shared" si="50"/>
        <v>#REF!</v>
      </c>
      <c r="K629" s="409"/>
      <c r="L629" s="410"/>
      <c r="M629" s="410"/>
      <c r="N629" s="410">
        <f t="shared" si="51"/>
        <v>641192490</v>
      </c>
      <c r="O629" s="509">
        <f t="shared" si="52"/>
        <v>641192490</v>
      </c>
      <c r="P629" s="410">
        <f t="shared" si="53"/>
        <v>734428327</v>
      </c>
      <c r="Q629" s="410">
        <f t="shared" si="54"/>
        <v>714428327</v>
      </c>
      <c r="R629" s="410">
        <f t="shared" si="54"/>
        <v>714428327.00000012</v>
      </c>
      <c r="S629" s="411"/>
      <c r="T629" s="174">
        <f t="shared" si="55"/>
        <v>0</v>
      </c>
      <c r="U629" s="174">
        <f t="shared" si="56"/>
        <v>61356000</v>
      </c>
      <c r="V629" s="174" t="e">
        <f t="shared" si="57"/>
        <v>#REF!</v>
      </c>
      <c r="W629" s="416" t="e">
        <f t="shared" si="58"/>
        <v>#REF!</v>
      </c>
      <c r="X629" s="411"/>
      <c r="Y629" s="411"/>
      <c r="Z629" s="411"/>
      <c r="AA629" s="420">
        <f t="shared" si="59"/>
        <v>519353000</v>
      </c>
      <c r="AB629" s="428">
        <f t="shared" si="60"/>
        <v>532019000</v>
      </c>
      <c r="AC629" s="409">
        <f t="shared" si="61"/>
        <v>532019000.00000006</v>
      </c>
      <c r="AD629" s="409">
        <f>+AD509+AD515+AD521+AD533+AD539+AD551+AD563+AD557+AD581+AD587+AD599+AD593+AD617+AD623</f>
        <v>556969163.00000012</v>
      </c>
      <c r="AE629" s="409" t="e">
        <f>+AE509+AE515+AE521+AE533+AE539+AE551+AE563+AE557+AE581+AE587+AE599+AE593+AE617+AE623</f>
        <v>#VALUE!</v>
      </c>
      <c r="AF629" s="467"/>
      <c r="AG629" s="829"/>
      <c r="AH629" s="710"/>
      <c r="AI629" s="710"/>
      <c r="AJ629" s="710"/>
      <c r="AK629" s="710"/>
      <c r="AL629" s="710"/>
      <c r="AM629" s="710"/>
      <c r="AN629" s="710"/>
      <c r="AO629" s="710"/>
      <c r="AP629" s="710"/>
      <c r="AQ629" s="710"/>
      <c r="AR629" s="710"/>
      <c r="AS629" s="710"/>
      <c r="AT629" s="710"/>
      <c r="AU629" s="710"/>
      <c r="AV629" s="710"/>
      <c r="AW629" s="710"/>
      <c r="AX629" s="710"/>
      <c r="AY629" s="427"/>
    </row>
    <row r="630" spans="1:51" ht="15.75" customHeight="1" x14ac:dyDescent="0.25">
      <c r="A630" s="829"/>
      <c r="B630" s="710"/>
      <c r="C630" s="710"/>
      <c r="D630" s="408" t="s">
        <v>345</v>
      </c>
      <c r="E630" s="179"/>
      <c r="F630" s="180"/>
      <c r="G630" s="174">
        <f t="shared" si="48"/>
        <v>0</v>
      </c>
      <c r="H630" s="174">
        <f t="shared" si="49"/>
        <v>0</v>
      </c>
      <c r="I630" s="174">
        <f t="shared" si="50"/>
        <v>0</v>
      </c>
      <c r="J630" s="416">
        <f t="shared" si="50"/>
        <v>0</v>
      </c>
      <c r="K630" s="409"/>
      <c r="L630" s="410"/>
      <c r="M630" s="410"/>
      <c r="N630" s="410">
        <f t="shared" si="51"/>
        <v>0</v>
      </c>
      <c r="O630" s="509">
        <f t="shared" si="52"/>
        <v>0</v>
      </c>
      <c r="P630" s="410">
        <f t="shared" si="53"/>
        <v>0</v>
      </c>
      <c r="Q630" s="410">
        <f t="shared" si="54"/>
        <v>0</v>
      </c>
      <c r="R630" s="410">
        <f t="shared" si="54"/>
        <v>0</v>
      </c>
      <c r="S630" s="411"/>
      <c r="T630" s="174">
        <f t="shared" si="55"/>
        <v>0</v>
      </c>
      <c r="U630" s="174">
        <f t="shared" si="56"/>
        <v>0</v>
      </c>
      <c r="V630" s="174">
        <f t="shared" si="57"/>
        <v>0</v>
      </c>
      <c r="W630" s="416">
        <f t="shared" si="58"/>
        <v>0</v>
      </c>
      <c r="X630" s="411"/>
      <c r="Y630" s="411"/>
      <c r="Z630" s="411"/>
      <c r="AA630" s="420">
        <f t="shared" si="59"/>
        <v>0</v>
      </c>
      <c r="AB630" s="428">
        <f t="shared" si="60"/>
        <v>0</v>
      </c>
      <c r="AC630" s="409">
        <f t="shared" si="61"/>
        <v>0</v>
      </c>
      <c r="AD630" s="409">
        <f>+AD510+AD516+AD522+AD534+AD540+AD552+AD564+AD558+AD582+AD588+AD600+AD594+AD618+AD624</f>
        <v>0</v>
      </c>
      <c r="AE630" s="411"/>
      <c r="AF630" s="467"/>
      <c r="AG630" s="829"/>
      <c r="AH630" s="710"/>
      <c r="AI630" s="710"/>
      <c r="AJ630" s="710"/>
      <c r="AK630" s="710"/>
      <c r="AL630" s="710"/>
      <c r="AM630" s="710"/>
      <c r="AN630" s="710"/>
      <c r="AO630" s="710"/>
      <c r="AP630" s="710"/>
      <c r="AQ630" s="710"/>
      <c r="AR630" s="710"/>
      <c r="AS630" s="710"/>
      <c r="AT630" s="710"/>
      <c r="AU630" s="710"/>
      <c r="AV630" s="710"/>
      <c r="AW630" s="710"/>
      <c r="AX630" s="710"/>
      <c r="AY630" s="427"/>
    </row>
    <row r="631" spans="1:51" ht="15.75" customHeight="1" x14ac:dyDescent="0.25">
      <c r="A631" s="829"/>
      <c r="B631" s="710"/>
      <c r="C631" s="710"/>
      <c r="D631" s="404" t="s">
        <v>346</v>
      </c>
      <c r="E631" s="179"/>
      <c r="F631" s="180"/>
      <c r="G631" s="174">
        <f t="shared" si="48"/>
        <v>0</v>
      </c>
      <c r="H631" s="174">
        <f t="shared" si="49"/>
        <v>249150644</v>
      </c>
      <c r="I631" s="174">
        <f t="shared" si="50"/>
        <v>0</v>
      </c>
      <c r="J631" s="416">
        <f t="shared" si="50"/>
        <v>0</v>
      </c>
      <c r="K631" s="409"/>
      <c r="L631" s="410"/>
      <c r="M631" s="410"/>
      <c r="N631" s="410">
        <f t="shared" si="51"/>
        <v>0</v>
      </c>
      <c r="O631" s="509">
        <f t="shared" si="52"/>
        <v>0</v>
      </c>
      <c r="P631" s="410">
        <f t="shared" si="53"/>
        <v>0</v>
      </c>
      <c r="Q631" s="410">
        <f t="shared" si="54"/>
        <v>0</v>
      </c>
      <c r="R631" s="410">
        <f t="shared" si="54"/>
        <v>0</v>
      </c>
      <c r="S631" s="411"/>
      <c r="T631" s="174">
        <f t="shared" si="55"/>
        <v>35177075</v>
      </c>
      <c r="U631" s="174">
        <f t="shared" si="56"/>
        <v>84962626.000000015</v>
      </c>
      <c r="V631" s="174">
        <f t="shared" si="57"/>
        <v>0</v>
      </c>
      <c r="W631" s="416">
        <f t="shared" si="58"/>
        <v>0</v>
      </c>
      <c r="X631" s="411"/>
      <c r="Y631" s="411"/>
      <c r="Z631" s="411"/>
      <c r="AA631" s="420">
        <f t="shared" si="59"/>
        <v>0</v>
      </c>
      <c r="AB631" s="428">
        <f t="shared" si="60"/>
        <v>0</v>
      </c>
      <c r="AC631" s="409">
        <f t="shared" si="61"/>
        <v>0</v>
      </c>
      <c r="AD631" s="409">
        <f>+AD511+AD517+AD523+AD535+AD541+AD553+AD565+AD559+AD583+AD589+AD601+AD595+AD619+AD625</f>
        <v>0</v>
      </c>
      <c r="AE631" s="411"/>
      <c r="AF631" s="467"/>
      <c r="AG631" s="829"/>
      <c r="AH631" s="710"/>
      <c r="AI631" s="710"/>
      <c r="AJ631" s="710"/>
      <c r="AK631" s="710"/>
      <c r="AL631" s="710"/>
      <c r="AM631" s="710"/>
      <c r="AN631" s="710"/>
      <c r="AO631" s="710"/>
      <c r="AP631" s="710"/>
      <c r="AQ631" s="710"/>
      <c r="AR631" s="710"/>
      <c r="AS631" s="710"/>
      <c r="AT631" s="710"/>
      <c r="AU631" s="710"/>
      <c r="AV631" s="710"/>
      <c r="AW631" s="710"/>
      <c r="AX631" s="710"/>
      <c r="AY631" s="427"/>
    </row>
    <row r="632" spans="1:51" ht="15.75" customHeight="1" x14ac:dyDescent="0.25">
      <c r="A632" s="829"/>
      <c r="B632" s="710"/>
      <c r="C632" s="710"/>
      <c r="D632" s="408" t="s">
        <v>347</v>
      </c>
      <c r="E632" s="179"/>
      <c r="F632" s="180"/>
      <c r="G632" s="174">
        <f t="shared" si="48"/>
        <v>160</v>
      </c>
      <c r="H632" s="174">
        <f t="shared" si="49"/>
        <v>160</v>
      </c>
      <c r="I632" s="174">
        <f t="shared" si="50"/>
        <v>160</v>
      </c>
      <c r="J632" s="416">
        <f t="shared" si="50"/>
        <v>160</v>
      </c>
      <c r="K632" s="409">
        <v>160</v>
      </c>
      <c r="L632" s="410"/>
      <c r="M632" s="410"/>
      <c r="N632" s="410">
        <f t="shared" si="51"/>
        <v>50</v>
      </c>
      <c r="O632" s="509">
        <f t="shared" si="52"/>
        <v>50</v>
      </c>
      <c r="P632" s="410">
        <f t="shared" si="53"/>
        <v>50</v>
      </c>
      <c r="Q632" s="410">
        <f t="shared" si="54"/>
        <v>50</v>
      </c>
      <c r="R632" s="410">
        <f t="shared" si="54"/>
        <v>50</v>
      </c>
      <c r="S632" s="411"/>
      <c r="T632" s="174">
        <f t="shared" si="55"/>
        <v>20</v>
      </c>
      <c r="U632" s="174">
        <f t="shared" si="56"/>
        <v>40</v>
      </c>
      <c r="V632" s="174">
        <f t="shared" si="57"/>
        <v>45</v>
      </c>
      <c r="W632" s="416">
        <f t="shared" si="58"/>
        <v>50</v>
      </c>
      <c r="X632" s="185">
        <f>X518+X524+X542+X554+X560+X566+X572+X578+X584+X590+X602+X620</f>
        <v>55</v>
      </c>
      <c r="Y632" s="411"/>
      <c r="Z632" s="411"/>
      <c r="AA632" s="420">
        <f t="shared" si="59"/>
        <v>5</v>
      </c>
      <c r="AB632" s="428">
        <f t="shared" si="60"/>
        <v>10</v>
      </c>
      <c r="AC632" s="409">
        <f t="shared" si="61"/>
        <v>30</v>
      </c>
      <c r="AD632" s="409">
        <f>+AD512+AD518+AD524+AD536+AD542+AD554+AD566+AD560+AD584+AD590+AD602+AD596+AD620+AD626</f>
        <v>45</v>
      </c>
      <c r="AE632" s="420">
        <f>+AE512+AE518+AE524+AE536+AE542+AE554+AE566+AE560+AE584+AE590+AE602+AE596+AE620+AE626</f>
        <v>50</v>
      </c>
      <c r="AF632" s="467"/>
      <c r="AG632" s="829"/>
      <c r="AH632" s="710"/>
      <c r="AI632" s="710"/>
      <c r="AJ632" s="710"/>
      <c r="AK632" s="710"/>
      <c r="AL632" s="710"/>
      <c r="AM632" s="710"/>
      <c r="AN632" s="710"/>
      <c r="AO632" s="710"/>
      <c r="AP632" s="710"/>
      <c r="AQ632" s="710"/>
      <c r="AR632" s="710"/>
      <c r="AS632" s="710"/>
      <c r="AT632" s="710"/>
      <c r="AU632" s="710"/>
      <c r="AV632" s="710"/>
      <c r="AW632" s="710"/>
      <c r="AX632" s="710"/>
      <c r="AY632" s="427"/>
    </row>
    <row r="633" spans="1:51" ht="15.75" customHeight="1" x14ac:dyDescent="0.25">
      <c r="A633" s="823"/>
      <c r="B633" s="828"/>
      <c r="C633" s="731"/>
      <c r="D633" s="412" t="s">
        <v>348</v>
      </c>
      <c r="E633" s="179"/>
      <c r="F633" s="180"/>
      <c r="G633" s="174">
        <f t="shared" si="48"/>
        <v>699388000</v>
      </c>
      <c r="H633" s="174">
        <f t="shared" si="49"/>
        <v>699388000</v>
      </c>
      <c r="I633" s="174" t="e">
        <f t="shared" si="50"/>
        <v>#REF!</v>
      </c>
      <c r="J633" s="416" t="e">
        <f t="shared" si="50"/>
        <v>#REF!</v>
      </c>
      <c r="K633" s="409"/>
      <c r="L633" s="410"/>
      <c r="M633" s="410"/>
      <c r="N633" s="410">
        <f t="shared" si="51"/>
        <v>641192490</v>
      </c>
      <c r="O633" s="509">
        <f t="shared" si="52"/>
        <v>641192490</v>
      </c>
      <c r="P633" s="410">
        <f t="shared" si="53"/>
        <v>734428327</v>
      </c>
      <c r="Q633" s="410">
        <f t="shared" si="54"/>
        <v>714428327</v>
      </c>
      <c r="R633" s="410">
        <f t="shared" si="54"/>
        <v>714428327.00000012</v>
      </c>
      <c r="S633" s="411"/>
      <c r="T633" s="174">
        <f t="shared" si="55"/>
        <v>0</v>
      </c>
      <c r="U633" s="174">
        <f t="shared" si="56"/>
        <v>61356000</v>
      </c>
      <c r="V633" s="174" t="e">
        <f t="shared" si="57"/>
        <v>#REF!</v>
      </c>
      <c r="W633" s="416" t="e">
        <f t="shared" si="58"/>
        <v>#REF!</v>
      </c>
      <c r="X633" s="411"/>
      <c r="Y633" s="411"/>
      <c r="Z633" s="411"/>
      <c r="AA633" s="420">
        <f t="shared" si="59"/>
        <v>519353000</v>
      </c>
      <c r="AB633" s="428">
        <f t="shared" si="60"/>
        <v>532019000</v>
      </c>
      <c r="AC633" s="409">
        <f t="shared" si="61"/>
        <v>532019000.00000006</v>
      </c>
      <c r="AD633" s="409">
        <f>+AD513+AD519+AD525+AD537+AD543+AD555+AD567+AD561+AD585+AD591+AD603+AD597+AD621+AD627</f>
        <v>556969163.00000012</v>
      </c>
      <c r="AE633" s="449" t="e">
        <f>+AE632*$AE$503/$AE$502</f>
        <v>#VALUE!</v>
      </c>
      <c r="AF633" s="467"/>
      <c r="AG633" s="823"/>
      <c r="AH633" s="731"/>
      <c r="AI633" s="731"/>
      <c r="AJ633" s="731"/>
      <c r="AK633" s="711"/>
      <c r="AL633" s="731"/>
      <c r="AM633" s="731"/>
      <c r="AN633" s="731"/>
      <c r="AO633" s="731"/>
      <c r="AP633" s="731"/>
      <c r="AQ633" s="731"/>
      <c r="AR633" s="731"/>
      <c r="AS633" s="731"/>
      <c r="AT633" s="731"/>
      <c r="AU633" s="731"/>
      <c r="AV633" s="731"/>
      <c r="AW633" s="731"/>
      <c r="AX633" s="731"/>
      <c r="AY633" s="427"/>
    </row>
    <row r="634" spans="1:51" ht="33.75" customHeight="1" x14ac:dyDescent="0.25">
      <c r="A634" s="820">
        <v>6</v>
      </c>
      <c r="B634" s="827" t="s">
        <v>358</v>
      </c>
      <c r="C634" s="914" t="s">
        <v>634</v>
      </c>
      <c r="D634" s="413" t="s">
        <v>340</v>
      </c>
      <c r="E634" s="190">
        <v>20</v>
      </c>
      <c r="F634" s="190">
        <v>20</v>
      </c>
      <c r="G634" s="178">
        <v>20</v>
      </c>
      <c r="H634" s="178">
        <v>20</v>
      </c>
      <c r="I634" s="178" t="e">
        <f>+#REF!</f>
        <v>#REF!</v>
      </c>
      <c r="J634" s="470" t="e">
        <f>+#REF!</f>
        <v>#REF!</v>
      </c>
      <c r="K634" s="476"/>
      <c r="L634" s="470"/>
      <c r="M634" s="470">
        <f t="shared" ref="M634:M639" si="62">+F634</f>
        <v>20</v>
      </c>
      <c r="N634" s="410">
        <v>10</v>
      </c>
      <c r="O634" s="410">
        <v>10</v>
      </c>
      <c r="P634" s="410">
        <v>10</v>
      </c>
      <c r="Q634" s="410">
        <v>10</v>
      </c>
      <c r="R634" s="416">
        <v>10</v>
      </c>
      <c r="S634" s="444"/>
      <c r="T634" s="173">
        <v>1</v>
      </c>
      <c r="U634" s="173">
        <v>2</v>
      </c>
      <c r="V634" s="173" t="e">
        <f>+#REF!</f>
        <v>#REF!</v>
      </c>
      <c r="W634" s="442" t="e">
        <f>+#REF!</f>
        <v>#REF!</v>
      </c>
      <c r="X634" s="444"/>
      <c r="Y634" s="444"/>
      <c r="Z634" s="444">
        <v>2</v>
      </c>
      <c r="AA634" s="445">
        <v>4</v>
      </c>
      <c r="AB634" s="472">
        <v>6</v>
      </c>
      <c r="AC634" s="401" t="s">
        <v>673</v>
      </c>
      <c r="AD634" s="445">
        <v>9</v>
      </c>
      <c r="AE634" s="504" t="s">
        <v>673</v>
      </c>
      <c r="AF634" s="444" t="s">
        <v>1388</v>
      </c>
      <c r="AG634" s="919" t="s">
        <v>635</v>
      </c>
      <c r="AH634" s="813" t="s">
        <v>178</v>
      </c>
      <c r="AI634" s="813" t="s">
        <v>178</v>
      </c>
      <c r="AJ634" s="813" t="s">
        <v>178</v>
      </c>
      <c r="AK634" s="914" t="s">
        <v>457</v>
      </c>
      <c r="AL634" s="813" t="s">
        <v>610</v>
      </c>
      <c r="AM634" s="813" t="s">
        <v>1335</v>
      </c>
      <c r="AN634" s="910">
        <v>7804660</v>
      </c>
      <c r="AO634" s="910">
        <v>3721767</v>
      </c>
      <c r="AP634" s="910">
        <v>4082893</v>
      </c>
      <c r="AQ634" s="911" t="s">
        <v>459</v>
      </c>
      <c r="AR634" s="911" t="s">
        <v>459</v>
      </c>
      <c r="AS634" s="911" t="s">
        <v>459</v>
      </c>
      <c r="AT634" s="911" t="s">
        <v>459</v>
      </c>
      <c r="AU634" s="911" t="s">
        <v>459</v>
      </c>
      <c r="AV634" s="911" t="s">
        <v>459</v>
      </c>
      <c r="AW634" s="911" t="s">
        <v>459</v>
      </c>
      <c r="AX634" s="910">
        <v>7804660</v>
      </c>
      <c r="AY634" s="954" t="s">
        <v>636</v>
      </c>
    </row>
    <row r="635" spans="1:51" ht="27.75" customHeight="1" x14ac:dyDescent="0.25">
      <c r="A635" s="829"/>
      <c r="B635" s="710"/>
      <c r="C635" s="710"/>
      <c r="D635" s="404" t="s">
        <v>343</v>
      </c>
      <c r="E635" s="190">
        <v>349839000</v>
      </c>
      <c r="F635" s="190">
        <v>349839000</v>
      </c>
      <c r="G635" s="178">
        <v>349839000</v>
      </c>
      <c r="H635" s="178">
        <v>349839000</v>
      </c>
      <c r="I635" s="178" t="e">
        <f>+#REF!</f>
        <v>#REF!</v>
      </c>
      <c r="J635" s="470" t="e">
        <f>+#REF!</f>
        <v>#REF!</v>
      </c>
      <c r="K635" s="449"/>
      <c r="L635" s="450"/>
      <c r="M635" s="470">
        <f t="shared" si="62"/>
        <v>349839000</v>
      </c>
      <c r="N635" s="410">
        <v>104955000</v>
      </c>
      <c r="O635" s="410">
        <v>104955000</v>
      </c>
      <c r="P635" s="410">
        <v>104955000</v>
      </c>
      <c r="Q635" s="410">
        <v>109624000</v>
      </c>
      <c r="R635" s="416">
        <v>109624000</v>
      </c>
      <c r="S635" s="510"/>
      <c r="T635" s="173">
        <v>0</v>
      </c>
      <c r="U635" s="173">
        <v>313790000</v>
      </c>
      <c r="V635" s="173" t="e">
        <f>+#REF!</f>
        <v>#REF!</v>
      </c>
      <c r="W635" s="442" t="e">
        <f>+#REF!</f>
        <v>#REF!</v>
      </c>
      <c r="X635" s="444"/>
      <c r="Y635" s="444"/>
      <c r="Z635" s="444">
        <v>0</v>
      </c>
      <c r="AA635" s="445">
        <v>90696000</v>
      </c>
      <c r="AB635" s="472">
        <v>90696000</v>
      </c>
      <c r="AC635" s="401" t="s">
        <v>673</v>
      </c>
      <c r="AD635" s="445">
        <v>90696000</v>
      </c>
      <c r="AE635" s="504" t="s">
        <v>673</v>
      </c>
      <c r="AF635" s="511" t="s">
        <v>1389</v>
      </c>
      <c r="AG635" s="829"/>
      <c r="AH635" s="710"/>
      <c r="AI635" s="710"/>
      <c r="AJ635" s="710"/>
      <c r="AK635" s="710"/>
      <c r="AL635" s="710"/>
      <c r="AM635" s="710"/>
      <c r="AN635" s="710"/>
      <c r="AO635" s="710"/>
      <c r="AP635" s="710"/>
      <c r="AQ635" s="710"/>
      <c r="AR635" s="710"/>
      <c r="AS635" s="710"/>
      <c r="AT635" s="710"/>
      <c r="AU635" s="710"/>
      <c r="AV635" s="710"/>
      <c r="AW635" s="710"/>
      <c r="AX635" s="710"/>
      <c r="AY635" s="710"/>
    </row>
    <row r="636" spans="1:51" ht="15.75" customHeight="1" x14ac:dyDescent="0.25">
      <c r="A636" s="829"/>
      <c r="B636" s="710"/>
      <c r="C636" s="710"/>
      <c r="D636" s="408" t="s">
        <v>345</v>
      </c>
      <c r="E636" s="190" t="s">
        <v>673</v>
      </c>
      <c r="F636" s="190" t="s">
        <v>673</v>
      </c>
      <c r="G636" s="178" t="s">
        <v>673</v>
      </c>
      <c r="H636" s="178" t="s">
        <v>673</v>
      </c>
      <c r="I636" s="178" t="e">
        <f>+#REF!</f>
        <v>#REF!</v>
      </c>
      <c r="J636" s="470" t="e">
        <f>+#REF!</f>
        <v>#REF!</v>
      </c>
      <c r="K636" s="449"/>
      <c r="L636" s="450"/>
      <c r="M636" s="470" t="str">
        <f t="shared" si="62"/>
        <v>#REF!</v>
      </c>
      <c r="N636" s="410">
        <v>0</v>
      </c>
      <c r="O636" s="410">
        <v>0</v>
      </c>
      <c r="P636" s="410" t="s">
        <v>673</v>
      </c>
      <c r="Q636" s="410" t="s">
        <v>673</v>
      </c>
      <c r="R636" s="416" t="s">
        <v>673</v>
      </c>
      <c r="S636" s="512"/>
      <c r="T636" s="173">
        <v>0</v>
      </c>
      <c r="U636" s="173">
        <v>0</v>
      </c>
      <c r="V636" s="173" t="e">
        <f>+#REF!</f>
        <v>#REF!</v>
      </c>
      <c r="W636" s="442" t="e">
        <f>+#REF!</f>
        <v>#REF!</v>
      </c>
      <c r="X636" s="444"/>
      <c r="Y636" s="444"/>
      <c r="Z636" s="444">
        <v>0</v>
      </c>
      <c r="AA636" s="445">
        <v>0</v>
      </c>
      <c r="AB636" s="472">
        <v>0</v>
      </c>
      <c r="AC636" s="401" t="s">
        <v>673</v>
      </c>
      <c r="AD636" s="445" t="s">
        <v>673</v>
      </c>
      <c r="AE636" s="504" t="s">
        <v>673</v>
      </c>
      <c r="AF636" s="513"/>
      <c r="AG636" s="829"/>
      <c r="AH636" s="710"/>
      <c r="AI636" s="710"/>
      <c r="AJ636" s="710"/>
      <c r="AK636" s="710"/>
      <c r="AL636" s="710"/>
      <c r="AM636" s="710"/>
      <c r="AN636" s="710"/>
      <c r="AO636" s="710"/>
      <c r="AP636" s="710"/>
      <c r="AQ636" s="710"/>
      <c r="AR636" s="710"/>
      <c r="AS636" s="710"/>
      <c r="AT636" s="710"/>
      <c r="AU636" s="710"/>
      <c r="AV636" s="710"/>
      <c r="AW636" s="710"/>
      <c r="AX636" s="710"/>
      <c r="AY636" s="710"/>
    </row>
    <row r="637" spans="1:51" ht="28.5" customHeight="1" x14ac:dyDescent="0.25">
      <c r="A637" s="829"/>
      <c r="B637" s="710"/>
      <c r="C637" s="710"/>
      <c r="D637" s="404" t="s">
        <v>346</v>
      </c>
      <c r="E637" s="190">
        <v>30874233</v>
      </c>
      <c r="F637" s="190">
        <v>30874233</v>
      </c>
      <c r="G637" s="178">
        <v>30874233</v>
      </c>
      <c r="H637" s="178">
        <v>30874233</v>
      </c>
      <c r="I637" s="178" t="e">
        <f>+#REF!</f>
        <v>#REF!</v>
      </c>
      <c r="J637" s="470" t="e">
        <f>+#REF!</f>
        <v>#REF!</v>
      </c>
      <c r="K637" s="449"/>
      <c r="L637" s="450"/>
      <c r="M637" s="470">
        <f t="shared" si="62"/>
        <v>30874233</v>
      </c>
      <c r="N637" s="410">
        <v>0</v>
      </c>
      <c r="O637" s="410">
        <v>0</v>
      </c>
      <c r="P637" s="410" t="s">
        <v>673</v>
      </c>
      <c r="Q637" s="410" t="s">
        <v>673</v>
      </c>
      <c r="R637" s="416" t="s">
        <v>673</v>
      </c>
      <c r="S637" s="512"/>
      <c r="T637" s="173">
        <v>13317533</v>
      </c>
      <c r="U637" s="173">
        <v>30874233</v>
      </c>
      <c r="V637" s="173" t="e">
        <f>+#REF!</f>
        <v>#REF!</v>
      </c>
      <c r="W637" s="442" t="e">
        <f>+#REF!</f>
        <v>#REF!</v>
      </c>
      <c r="X637" s="444"/>
      <c r="Y637" s="444"/>
      <c r="Z637" s="444">
        <v>0</v>
      </c>
      <c r="AA637" s="445">
        <v>0</v>
      </c>
      <c r="AB637" s="472">
        <v>0</v>
      </c>
      <c r="AC637" s="401" t="s">
        <v>673</v>
      </c>
      <c r="AD637" s="445" t="s">
        <v>673</v>
      </c>
      <c r="AE637" s="504" t="s">
        <v>673</v>
      </c>
      <c r="AF637" s="513"/>
      <c r="AG637" s="829"/>
      <c r="AH637" s="710"/>
      <c r="AI637" s="710"/>
      <c r="AJ637" s="710"/>
      <c r="AK637" s="710"/>
      <c r="AL637" s="710"/>
      <c r="AM637" s="710"/>
      <c r="AN637" s="710"/>
      <c r="AO637" s="710"/>
      <c r="AP637" s="710"/>
      <c r="AQ637" s="710"/>
      <c r="AR637" s="710"/>
      <c r="AS637" s="710"/>
      <c r="AT637" s="710"/>
      <c r="AU637" s="710"/>
      <c r="AV637" s="710"/>
      <c r="AW637" s="710"/>
      <c r="AX637" s="710"/>
      <c r="AY637" s="710"/>
    </row>
    <row r="638" spans="1:51" ht="28.5" customHeight="1" x14ac:dyDescent="0.25">
      <c r="A638" s="829"/>
      <c r="B638" s="710"/>
      <c r="C638" s="710"/>
      <c r="D638" s="408" t="s">
        <v>347</v>
      </c>
      <c r="E638" s="190">
        <v>20</v>
      </c>
      <c r="F638" s="190">
        <v>20</v>
      </c>
      <c r="G638" s="178">
        <v>20</v>
      </c>
      <c r="H638" s="178">
        <v>20</v>
      </c>
      <c r="I638" s="178" t="e">
        <f>+#REF!</f>
        <v>#REF!</v>
      </c>
      <c r="J638" s="470" t="e">
        <f>+#REF!</f>
        <v>#REF!</v>
      </c>
      <c r="K638" s="476"/>
      <c r="L638" s="470"/>
      <c r="M638" s="470">
        <f t="shared" si="62"/>
        <v>20</v>
      </c>
      <c r="N638" s="410">
        <v>10</v>
      </c>
      <c r="O638" s="410">
        <v>10</v>
      </c>
      <c r="P638" s="410">
        <v>10</v>
      </c>
      <c r="Q638" s="410">
        <v>10</v>
      </c>
      <c r="R638" s="416">
        <v>10</v>
      </c>
      <c r="S638" s="512"/>
      <c r="T638" s="173">
        <v>1</v>
      </c>
      <c r="U638" s="173">
        <v>2</v>
      </c>
      <c r="V638" s="173" t="e">
        <f>+#REF!</f>
        <v>#REF!</v>
      </c>
      <c r="W638" s="442" t="e">
        <f>+#REF!</f>
        <v>#REF!</v>
      </c>
      <c r="X638" s="420"/>
      <c r="Y638" s="420"/>
      <c r="Z638" s="444">
        <v>2</v>
      </c>
      <c r="AA638" s="445">
        <v>4</v>
      </c>
      <c r="AB638" s="472">
        <v>6</v>
      </c>
      <c r="AC638" s="401" t="s">
        <v>673</v>
      </c>
      <c r="AD638" s="445">
        <v>9</v>
      </c>
      <c r="AE638" s="504" t="s">
        <v>673</v>
      </c>
      <c r="AF638" s="513"/>
      <c r="AG638" s="829"/>
      <c r="AH638" s="710"/>
      <c r="AI638" s="710"/>
      <c r="AJ638" s="710"/>
      <c r="AK638" s="710"/>
      <c r="AL638" s="710"/>
      <c r="AM638" s="710"/>
      <c r="AN638" s="710"/>
      <c r="AO638" s="710"/>
      <c r="AP638" s="710"/>
      <c r="AQ638" s="710"/>
      <c r="AR638" s="710"/>
      <c r="AS638" s="710"/>
      <c r="AT638" s="710"/>
      <c r="AU638" s="710"/>
      <c r="AV638" s="710"/>
      <c r="AW638" s="710"/>
      <c r="AX638" s="710"/>
      <c r="AY638" s="710"/>
    </row>
    <row r="639" spans="1:51" ht="15.75" customHeight="1" x14ac:dyDescent="0.25">
      <c r="A639" s="829"/>
      <c r="B639" s="710"/>
      <c r="C639" s="731"/>
      <c r="D639" s="412" t="s">
        <v>348</v>
      </c>
      <c r="E639" s="190">
        <v>380713233</v>
      </c>
      <c r="F639" s="190">
        <v>380713233</v>
      </c>
      <c r="G639" s="178">
        <v>380713233</v>
      </c>
      <c r="H639" s="178">
        <v>380713233</v>
      </c>
      <c r="I639" s="178" t="e">
        <f>+#REF!</f>
        <v>#REF!</v>
      </c>
      <c r="J639" s="470" t="e">
        <f>+#REF!</f>
        <v>#REF!</v>
      </c>
      <c r="K639" s="451"/>
      <c r="L639" s="452"/>
      <c r="M639" s="470">
        <f t="shared" si="62"/>
        <v>380713233</v>
      </c>
      <c r="N639" s="410">
        <v>104955000</v>
      </c>
      <c r="O639" s="410">
        <v>104955000</v>
      </c>
      <c r="P639" s="410">
        <v>104955000</v>
      </c>
      <c r="Q639" s="410">
        <v>109624000</v>
      </c>
      <c r="R639" s="416">
        <v>109624000</v>
      </c>
      <c r="S639" s="512"/>
      <c r="T639" s="173">
        <v>13317533</v>
      </c>
      <c r="U639" s="173">
        <v>344664233</v>
      </c>
      <c r="V639" s="173" t="e">
        <f>+#REF!</f>
        <v>#REF!</v>
      </c>
      <c r="W639" s="442" t="e">
        <f>+#REF!</f>
        <v>#REF!</v>
      </c>
      <c r="X639" s="444"/>
      <c r="Y639" s="444"/>
      <c r="Z639" s="444">
        <v>0</v>
      </c>
      <c r="AA639" s="445">
        <v>90696000</v>
      </c>
      <c r="AB639" s="472">
        <v>90696000</v>
      </c>
      <c r="AC639" s="401" t="s">
        <v>673</v>
      </c>
      <c r="AD639" s="445">
        <v>90696000</v>
      </c>
      <c r="AE639" s="504" t="s">
        <v>673</v>
      </c>
      <c r="AF639" s="513"/>
      <c r="AG639" s="823"/>
      <c r="AH639" s="731"/>
      <c r="AI639" s="731"/>
      <c r="AJ639" s="731"/>
      <c r="AK639" s="731"/>
      <c r="AL639" s="731"/>
      <c r="AM639" s="731"/>
      <c r="AN639" s="731"/>
      <c r="AO639" s="731"/>
      <c r="AP639" s="731"/>
      <c r="AQ639" s="731"/>
      <c r="AR639" s="731"/>
      <c r="AS639" s="731"/>
      <c r="AT639" s="731"/>
      <c r="AU639" s="731"/>
      <c r="AV639" s="731"/>
      <c r="AW639" s="731"/>
      <c r="AX639" s="731"/>
      <c r="AY639" s="731"/>
    </row>
    <row r="640" spans="1:51" ht="25.5" customHeight="1" x14ac:dyDescent="0.25">
      <c r="A640" s="829"/>
      <c r="B640" s="710"/>
      <c r="C640" s="961" t="s">
        <v>638</v>
      </c>
      <c r="D640" s="413" t="s">
        <v>340</v>
      </c>
      <c r="E640" s="190"/>
      <c r="F640" s="190"/>
      <c r="G640" s="187"/>
      <c r="H640" s="187"/>
      <c r="I640" s="187"/>
      <c r="J640" s="452">
        <v>1</v>
      </c>
      <c r="K640" s="451">
        <v>2</v>
      </c>
      <c r="L640" s="452"/>
      <c r="M640" s="470"/>
      <c r="N640" s="410"/>
      <c r="O640" s="410"/>
      <c r="P640" s="452">
        <v>1</v>
      </c>
      <c r="Q640" s="452">
        <v>2</v>
      </c>
      <c r="R640" s="442">
        <v>2</v>
      </c>
      <c r="S640" s="510" t="s">
        <v>1390</v>
      </c>
      <c r="T640" s="173"/>
      <c r="U640" s="173"/>
      <c r="V640" s="173"/>
      <c r="W640" s="442">
        <v>1</v>
      </c>
      <c r="X640" s="444">
        <v>2</v>
      </c>
      <c r="Y640" s="444"/>
      <c r="Z640" s="444"/>
      <c r="AA640" s="445"/>
      <c r="AB640" s="472"/>
      <c r="AC640" s="514">
        <v>1</v>
      </c>
      <c r="AD640" s="515">
        <v>2</v>
      </c>
      <c r="AE640" s="447">
        <v>2</v>
      </c>
      <c r="AF640" s="516"/>
      <c r="AG640" s="989" t="s">
        <v>638</v>
      </c>
      <c r="AH640" s="970" t="s">
        <v>1391</v>
      </c>
      <c r="AI640" s="970" t="s">
        <v>1392</v>
      </c>
      <c r="AJ640" s="970" t="s">
        <v>1393</v>
      </c>
      <c r="AK640" s="914" t="s">
        <v>457</v>
      </c>
      <c r="AL640" s="990" t="s">
        <v>610</v>
      </c>
      <c r="AM640" s="813" t="s">
        <v>1335</v>
      </c>
      <c r="AN640" s="985">
        <v>563173</v>
      </c>
      <c r="AO640" s="986">
        <v>5</v>
      </c>
      <c r="AP640" s="986">
        <v>4</v>
      </c>
      <c r="AQ640" s="911" t="s">
        <v>459</v>
      </c>
      <c r="AR640" s="911" t="s">
        <v>459</v>
      </c>
      <c r="AS640" s="911" t="s">
        <v>459</v>
      </c>
      <c r="AT640" s="911" t="s">
        <v>459</v>
      </c>
      <c r="AU640" s="911" t="s">
        <v>459</v>
      </c>
      <c r="AV640" s="911" t="s">
        <v>459</v>
      </c>
      <c r="AW640" s="911" t="s">
        <v>459</v>
      </c>
      <c r="AX640" s="910">
        <v>7715777</v>
      </c>
      <c r="AY640" s="954" t="s">
        <v>665</v>
      </c>
    </row>
    <row r="641" spans="1:51" ht="26.25" customHeight="1" x14ac:dyDescent="0.25">
      <c r="A641" s="829"/>
      <c r="B641" s="710"/>
      <c r="C641" s="713"/>
      <c r="D641" s="404" t="s">
        <v>343</v>
      </c>
      <c r="E641" s="190"/>
      <c r="F641" s="190"/>
      <c r="G641" s="187"/>
      <c r="H641" s="187"/>
      <c r="I641" s="187"/>
      <c r="J641" s="452" t="e">
        <f>+J640*$J$635/$J$634</f>
        <v>#REF!</v>
      </c>
      <c r="K641" s="451"/>
      <c r="L641" s="452"/>
      <c r="M641" s="470"/>
      <c r="N641" s="410"/>
      <c r="O641" s="410"/>
      <c r="P641" s="452" t="str">
        <f ca="1">+P640*$P$641/$P$640</f>
        <v>#REF!</v>
      </c>
      <c r="Q641" s="452" t="str">
        <f ca="1">+Q640*$Q$641/$Q$640</f>
        <v>#REF!</v>
      </c>
      <c r="R641" s="452" t="str">
        <f ca="1">+R640*$R$641/$R$640</f>
        <v>#REF!</v>
      </c>
      <c r="S641" s="517"/>
      <c r="T641" s="173"/>
      <c r="U641" s="173"/>
      <c r="V641" s="173"/>
      <c r="W641" s="452" t="e">
        <f>+W640*$W$635/$W$634</f>
        <v>#REF!</v>
      </c>
      <c r="X641" s="444"/>
      <c r="Y641" s="444"/>
      <c r="Z641" s="444"/>
      <c r="AA641" s="445"/>
      <c r="AB641" s="472"/>
      <c r="AC641" s="514">
        <v>1</v>
      </c>
      <c r="AD641" s="515">
        <v>2</v>
      </c>
      <c r="AE641" s="447">
        <v>2</v>
      </c>
      <c r="AF641" s="518" t="s">
        <v>1394</v>
      </c>
      <c r="AG641" s="829"/>
      <c r="AH641" s="710"/>
      <c r="AI641" s="710"/>
      <c r="AJ641" s="710"/>
      <c r="AK641" s="710"/>
      <c r="AL641" s="710"/>
      <c r="AM641" s="710"/>
      <c r="AN641" s="710"/>
      <c r="AO641" s="710"/>
      <c r="AP641" s="710"/>
      <c r="AQ641" s="710"/>
      <c r="AR641" s="710"/>
      <c r="AS641" s="710"/>
      <c r="AT641" s="710"/>
      <c r="AU641" s="710"/>
      <c r="AV641" s="710"/>
      <c r="AW641" s="710"/>
      <c r="AX641" s="710"/>
      <c r="AY641" s="710"/>
    </row>
    <row r="642" spans="1:51" ht="27.75" customHeight="1" x14ac:dyDescent="0.25">
      <c r="A642" s="829"/>
      <c r="B642" s="710"/>
      <c r="C642" s="713"/>
      <c r="D642" s="408" t="s">
        <v>345</v>
      </c>
      <c r="E642" s="190"/>
      <c r="F642" s="190"/>
      <c r="G642" s="187"/>
      <c r="H642" s="187"/>
      <c r="I642" s="187"/>
      <c r="J642" s="452"/>
      <c r="K642" s="451"/>
      <c r="L642" s="452"/>
      <c r="M642" s="470"/>
      <c r="N642" s="410"/>
      <c r="O642" s="410"/>
      <c r="P642" s="452"/>
      <c r="Q642" s="452"/>
      <c r="R642" s="442"/>
      <c r="S642" s="517"/>
      <c r="T642" s="173"/>
      <c r="U642" s="173"/>
      <c r="V642" s="173"/>
      <c r="W642" s="442"/>
      <c r="X642" s="444"/>
      <c r="Y642" s="444"/>
      <c r="Z642" s="444"/>
      <c r="AA642" s="445"/>
      <c r="AB642" s="472"/>
      <c r="AC642" s="451" t="e">
        <f>+AC641*$AC$635/$AC$634</f>
        <v>#VALUE!</v>
      </c>
      <c r="AD642" s="451">
        <f>+AD641*$AD$635/$AD$634</f>
        <v>20154666.666666668</v>
      </c>
      <c r="AE642" s="451" t="e">
        <f>+AE641*$AE$635/$AE$634</f>
        <v>#VALUE!</v>
      </c>
      <c r="AF642" s="519"/>
      <c r="AG642" s="829"/>
      <c r="AH642" s="710"/>
      <c r="AI642" s="710"/>
      <c r="AJ642" s="710"/>
      <c r="AK642" s="710"/>
      <c r="AL642" s="710"/>
      <c r="AM642" s="710"/>
      <c r="AN642" s="710"/>
      <c r="AO642" s="710"/>
      <c r="AP642" s="710"/>
      <c r="AQ642" s="710"/>
      <c r="AR642" s="710"/>
      <c r="AS642" s="710"/>
      <c r="AT642" s="710"/>
      <c r="AU642" s="710"/>
      <c r="AV642" s="710"/>
      <c r="AW642" s="710"/>
      <c r="AX642" s="710"/>
      <c r="AY642" s="710"/>
    </row>
    <row r="643" spans="1:51" ht="27.75" customHeight="1" x14ac:dyDescent="0.25">
      <c r="A643" s="829"/>
      <c r="B643" s="710"/>
      <c r="C643" s="713"/>
      <c r="D643" s="404" t="s">
        <v>346</v>
      </c>
      <c r="E643" s="190"/>
      <c r="F643" s="190"/>
      <c r="G643" s="187"/>
      <c r="H643" s="187"/>
      <c r="I643" s="187"/>
      <c r="J643" s="452"/>
      <c r="K643" s="451"/>
      <c r="L643" s="452"/>
      <c r="M643" s="470"/>
      <c r="N643" s="410"/>
      <c r="O643" s="410"/>
      <c r="P643" s="452"/>
      <c r="Q643" s="452"/>
      <c r="R643" s="442"/>
      <c r="S643" s="517"/>
      <c r="T643" s="173"/>
      <c r="U643" s="173"/>
      <c r="V643" s="173"/>
      <c r="W643" s="442"/>
      <c r="X643" s="444"/>
      <c r="Y643" s="444"/>
      <c r="Z643" s="444"/>
      <c r="AA643" s="445"/>
      <c r="AB643" s="472"/>
      <c r="AC643" s="514"/>
      <c r="AD643" s="515"/>
      <c r="AE643" s="447"/>
      <c r="AF643" s="519"/>
      <c r="AG643" s="829"/>
      <c r="AH643" s="710"/>
      <c r="AI643" s="710"/>
      <c r="AJ643" s="710"/>
      <c r="AK643" s="710"/>
      <c r="AL643" s="710"/>
      <c r="AM643" s="710"/>
      <c r="AN643" s="710"/>
      <c r="AO643" s="710"/>
      <c r="AP643" s="710"/>
      <c r="AQ643" s="710"/>
      <c r="AR643" s="710"/>
      <c r="AS643" s="710"/>
      <c r="AT643" s="710"/>
      <c r="AU643" s="710"/>
      <c r="AV643" s="710"/>
      <c r="AW643" s="710"/>
      <c r="AX643" s="710"/>
      <c r="AY643" s="710"/>
    </row>
    <row r="644" spans="1:51" ht="27.75" customHeight="1" x14ac:dyDescent="0.25">
      <c r="A644" s="829"/>
      <c r="B644" s="710"/>
      <c r="C644" s="713"/>
      <c r="D644" s="408" t="s">
        <v>347</v>
      </c>
      <c r="E644" s="190"/>
      <c r="F644" s="190"/>
      <c r="G644" s="187"/>
      <c r="H644" s="187"/>
      <c r="I644" s="187"/>
      <c r="J644" s="452">
        <v>1</v>
      </c>
      <c r="K644" s="451">
        <v>2</v>
      </c>
      <c r="L644" s="452"/>
      <c r="M644" s="470"/>
      <c r="N644" s="410"/>
      <c r="O644" s="410"/>
      <c r="P644" s="452">
        <v>1</v>
      </c>
      <c r="Q644" s="452">
        <v>2</v>
      </c>
      <c r="R644" s="442">
        <v>2</v>
      </c>
      <c r="S644" s="517"/>
      <c r="T644" s="173"/>
      <c r="U644" s="173"/>
      <c r="V644" s="173"/>
      <c r="W644" s="442">
        <v>1</v>
      </c>
      <c r="X644" s="444">
        <v>2</v>
      </c>
      <c r="Y644" s="444"/>
      <c r="Z644" s="444"/>
      <c r="AA644" s="445"/>
      <c r="AB644" s="472"/>
      <c r="AC644" s="514"/>
      <c r="AD644" s="515"/>
      <c r="AE644" s="447"/>
      <c r="AF644" s="519"/>
      <c r="AG644" s="829"/>
      <c r="AH644" s="710"/>
      <c r="AI644" s="710"/>
      <c r="AJ644" s="710"/>
      <c r="AK644" s="710"/>
      <c r="AL644" s="710"/>
      <c r="AM644" s="710"/>
      <c r="AN644" s="710"/>
      <c r="AO644" s="710"/>
      <c r="AP644" s="710"/>
      <c r="AQ644" s="710"/>
      <c r="AR644" s="710"/>
      <c r="AS644" s="710"/>
      <c r="AT644" s="710"/>
      <c r="AU644" s="710"/>
      <c r="AV644" s="710"/>
      <c r="AW644" s="710"/>
      <c r="AX644" s="710"/>
      <c r="AY644" s="710"/>
    </row>
    <row r="645" spans="1:51" ht="27.75" customHeight="1" x14ac:dyDescent="0.25">
      <c r="A645" s="829"/>
      <c r="B645" s="710"/>
      <c r="C645" s="830"/>
      <c r="D645" s="412" t="s">
        <v>348</v>
      </c>
      <c r="E645" s="190"/>
      <c r="F645" s="190"/>
      <c r="G645" s="187"/>
      <c r="H645" s="187"/>
      <c r="I645" s="187"/>
      <c r="J645" s="452" t="e">
        <f>+J644*$J$635/$J$634</f>
        <v>#REF!</v>
      </c>
      <c r="K645" s="451"/>
      <c r="L645" s="452"/>
      <c r="M645" s="470"/>
      <c r="N645" s="410"/>
      <c r="O645" s="410"/>
      <c r="P645" s="452">
        <f>+P644*$P$635/$P$634</f>
        <v>10495500</v>
      </c>
      <c r="Q645" s="452">
        <f>+Q644*$Q$635/$Q$634</f>
        <v>21924800</v>
      </c>
      <c r="R645" s="452">
        <f>+R644*$R$635/$R$634</f>
        <v>21924800</v>
      </c>
      <c r="S645" s="444"/>
      <c r="T645" s="173"/>
      <c r="U645" s="173"/>
      <c r="V645" s="173"/>
      <c r="W645" s="452" t="e">
        <f>+W644*$W$635/$W$634</f>
        <v>#REF!</v>
      </c>
      <c r="X645" s="444"/>
      <c r="Y645" s="444"/>
      <c r="Z645" s="444"/>
      <c r="AA645" s="445"/>
      <c r="AB645" s="472"/>
      <c r="AC645" s="514">
        <v>1</v>
      </c>
      <c r="AD645" s="515">
        <v>2</v>
      </c>
      <c r="AE645" s="447">
        <v>2</v>
      </c>
      <c r="AF645" s="519"/>
      <c r="AG645" s="823"/>
      <c r="AH645" s="731"/>
      <c r="AI645" s="731"/>
      <c r="AJ645" s="731"/>
      <c r="AK645" s="731"/>
      <c r="AL645" s="731"/>
      <c r="AM645" s="731"/>
      <c r="AN645" s="731"/>
      <c r="AO645" s="731"/>
      <c r="AP645" s="731"/>
      <c r="AQ645" s="731"/>
      <c r="AR645" s="731"/>
      <c r="AS645" s="731"/>
      <c r="AT645" s="731"/>
      <c r="AU645" s="731"/>
      <c r="AV645" s="731"/>
      <c r="AW645" s="731"/>
      <c r="AX645" s="731"/>
      <c r="AY645" s="731"/>
    </row>
    <row r="646" spans="1:51" ht="24" hidden="1" customHeight="1" x14ac:dyDescent="0.25">
      <c r="A646" s="829"/>
      <c r="B646" s="710"/>
      <c r="C646" s="961" t="s">
        <v>670</v>
      </c>
      <c r="D646" s="413" t="s">
        <v>340</v>
      </c>
      <c r="E646" s="190"/>
      <c r="F646" s="190"/>
      <c r="G646" s="187"/>
      <c r="H646" s="187"/>
      <c r="I646" s="187"/>
      <c r="J646" s="452"/>
      <c r="K646" s="451"/>
      <c r="L646" s="452"/>
      <c r="M646" s="470"/>
      <c r="N646" s="410"/>
      <c r="O646" s="410"/>
      <c r="P646" s="452"/>
      <c r="Q646" s="452"/>
      <c r="R646" s="442">
        <v>1</v>
      </c>
      <c r="S646" s="444"/>
      <c r="T646" s="173"/>
      <c r="U646" s="173"/>
      <c r="V646" s="173"/>
      <c r="W646" s="442"/>
      <c r="X646" s="444"/>
      <c r="Y646" s="444"/>
      <c r="Z646" s="444"/>
      <c r="AA646" s="445"/>
      <c r="AB646" s="472"/>
      <c r="AC646" s="451" t="e">
        <f>+AC645*$AC$635/$AC$634</f>
        <v>#VALUE!</v>
      </c>
      <c r="AD646" s="451">
        <f>+AD645*$AD$635/$AD$634</f>
        <v>20154666.666666668</v>
      </c>
      <c r="AE646" s="451" t="e">
        <f>+AE645*$AE$635/$AE$634</f>
        <v>#VALUE!</v>
      </c>
      <c r="AF646" s="520"/>
      <c r="AG646" s="989" t="s">
        <v>670</v>
      </c>
      <c r="AH646" s="990" t="s">
        <v>178</v>
      </c>
      <c r="AI646" s="990" t="s">
        <v>178</v>
      </c>
      <c r="AJ646" s="990" t="s">
        <v>178</v>
      </c>
      <c r="AK646" s="914" t="s">
        <v>457</v>
      </c>
      <c r="AL646" s="990" t="s">
        <v>610</v>
      </c>
      <c r="AM646" s="813" t="s">
        <v>1335</v>
      </c>
      <c r="AN646" s="985">
        <v>251571</v>
      </c>
      <c r="AO646" s="986">
        <v>118748</v>
      </c>
      <c r="AP646" s="986">
        <v>132822</v>
      </c>
      <c r="AQ646" s="911" t="s">
        <v>459</v>
      </c>
      <c r="AR646" s="911" t="s">
        <v>459</v>
      </c>
      <c r="AS646" s="911" t="s">
        <v>459</v>
      </c>
      <c r="AT646" s="911" t="s">
        <v>459</v>
      </c>
      <c r="AU646" s="911" t="s">
        <v>459</v>
      </c>
      <c r="AV646" s="911" t="s">
        <v>459</v>
      </c>
      <c r="AW646" s="911" t="s">
        <v>459</v>
      </c>
      <c r="AX646" s="910">
        <v>7715777</v>
      </c>
      <c r="AY646" s="954" t="s">
        <v>1395</v>
      </c>
    </row>
    <row r="647" spans="1:51" ht="37.5" hidden="1" customHeight="1" x14ac:dyDescent="0.25">
      <c r="A647" s="829"/>
      <c r="B647" s="710"/>
      <c r="C647" s="713"/>
      <c r="D647" s="404" t="s">
        <v>343</v>
      </c>
      <c r="E647" s="190"/>
      <c r="F647" s="190"/>
      <c r="G647" s="187"/>
      <c r="H647" s="187"/>
      <c r="I647" s="187"/>
      <c r="J647" s="452"/>
      <c r="K647" s="451"/>
      <c r="L647" s="452"/>
      <c r="M647" s="470"/>
      <c r="N647" s="410"/>
      <c r="O647" s="410"/>
      <c r="P647" s="452"/>
      <c r="Q647" s="452"/>
      <c r="R647" s="452">
        <f>+R646*$R$635/$R$634</f>
        <v>10962400</v>
      </c>
      <c r="S647" s="444"/>
      <c r="T647" s="173"/>
      <c r="U647" s="173"/>
      <c r="V647" s="173"/>
      <c r="W647" s="442">
        <v>5</v>
      </c>
      <c r="X647" s="444"/>
      <c r="Y647" s="444"/>
      <c r="Z647" s="444"/>
      <c r="AA647" s="445"/>
      <c r="AB647" s="472"/>
      <c r="AC647" s="451"/>
      <c r="AD647" s="515"/>
      <c r="AE647" s="451" t="e">
        <f>+AE646*$AE$635/$AE$634</f>
        <v>#VALUE!</v>
      </c>
      <c r="AF647" s="521"/>
      <c r="AG647" s="829"/>
      <c r="AH647" s="710"/>
      <c r="AI647" s="710"/>
      <c r="AJ647" s="710"/>
      <c r="AK647" s="710"/>
      <c r="AL647" s="710"/>
      <c r="AM647" s="710"/>
      <c r="AN647" s="710"/>
      <c r="AO647" s="710"/>
      <c r="AP647" s="710"/>
      <c r="AQ647" s="710"/>
      <c r="AR647" s="710"/>
      <c r="AS647" s="710"/>
      <c r="AT647" s="710"/>
      <c r="AU647" s="710"/>
      <c r="AV647" s="710"/>
      <c r="AW647" s="710"/>
      <c r="AX647" s="710"/>
      <c r="AY647" s="710"/>
    </row>
    <row r="648" spans="1:51" ht="27.75" hidden="1" customHeight="1" x14ac:dyDescent="0.25">
      <c r="A648" s="829"/>
      <c r="B648" s="710"/>
      <c r="C648" s="713"/>
      <c r="D648" s="408" t="s">
        <v>345</v>
      </c>
      <c r="E648" s="190"/>
      <c r="F648" s="190"/>
      <c r="G648" s="187"/>
      <c r="H648" s="187"/>
      <c r="I648" s="187"/>
      <c r="J648" s="452"/>
      <c r="K648" s="451"/>
      <c r="L648" s="452"/>
      <c r="M648" s="470"/>
      <c r="N648" s="410"/>
      <c r="O648" s="410"/>
      <c r="P648" s="452"/>
      <c r="Q648" s="452"/>
      <c r="R648" s="442"/>
      <c r="S648" s="444"/>
      <c r="T648" s="173"/>
      <c r="U648" s="173"/>
      <c r="V648" s="173"/>
      <c r="W648" s="442">
        <v>5</v>
      </c>
      <c r="X648" s="444"/>
      <c r="Y648" s="444"/>
      <c r="Z648" s="444"/>
      <c r="AA648" s="445"/>
      <c r="AB648" s="472"/>
      <c r="AC648" s="451"/>
      <c r="AD648" s="515"/>
      <c r="AE648" s="447"/>
      <c r="AF648" s="521"/>
      <c r="AG648" s="829"/>
      <c r="AH648" s="710"/>
      <c r="AI648" s="710"/>
      <c r="AJ648" s="710"/>
      <c r="AK648" s="710"/>
      <c r="AL648" s="710"/>
      <c r="AM648" s="710"/>
      <c r="AN648" s="710"/>
      <c r="AO648" s="710"/>
      <c r="AP648" s="710"/>
      <c r="AQ648" s="710"/>
      <c r="AR648" s="710"/>
      <c r="AS648" s="710"/>
      <c r="AT648" s="710"/>
      <c r="AU648" s="710"/>
      <c r="AV648" s="710"/>
      <c r="AW648" s="710"/>
      <c r="AX648" s="710"/>
      <c r="AY648" s="710"/>
    </row>
    <row r="649" spans="1:51" ht="27.75" hidden="1" customHeight="1" x14ac:dyDescent="0.25">
      <c r="A649" s="829"/>
      <c r="B649" s="710"/>
      <c r="C649" s="713"/>
      <c r="D649" s="404" t="s">
        <v>346</v>
      </c>
      <c r="E649" s="190"/>
      <c r="F649" s="190"/>
      <c r="G649" s="187"/>
      <c r="H649" s="187"/>
      <c r="I649" s="187"/>
      <c r="J649" s="452"/>
      <c r="K649" s="451"/>
      <c r="L649" s="452"/>
      <c r="M649" s="470"/>
      <c r="N649" s="410"/>
      <c r="O649" s="410"/>
      <c r="P649" s="452"/>
      <c r="Q649" s="452"/>
      <c r="R649" s="442"/>
      <c r="S649" s="444"/>
      <c r="T649" s="173"/>
      <c r="U649" s="173"/>
      <c r="V649" s="173"/>
      <c r="W649" s="442">
        <v>5</v>
      </c>
      <c r="X649" s="444"/>
      <c r="Y649" s="444"/>
      <c r="Z649" s="444"/>
      <c r="AA649" s="445"/>
      <c r="AB649" s="472"/>
      <c r="AC649" s="451"/>
      <c r="AD649" s="515"/>
      <c r="AE649" s="447"/>
      <c r="AF649" s="521"/>
      <c r="AG649" s="829"/>
      <c r="AH649" s="710"/>
      <c r="AI649" s="710"/>
      <c r="AJ649" s="710"/>
      <c r="AK649" s="710"/>
      <c r="AL649" s="710"/>
      <c r="AM649" s="710"/>
      <c r="AN649" s="710"/>
      <c r="AO649" s="710"/>
      <c r="AP649" s="710"/>
      <c r="AQ649" s="710"/>
      <c r="AR649" s="710"/>
      <c r="AS649" s="710"/>
      <c r="AT649" s="710"/>
      <c r="AU649" s="710"/>
      <c r="AV649" s="710"/>
      <c r="AW649" s="710"/>
      <c r="AX649" s="710"/>
      <c r="AY649" s="710"/>
    </row>
    <row r="650" spans="1:51" ht="27.75" hidden="1" customHeight="1" x14ac:dyDescent="0.25">
      <c r="A650" s="829"/>
      <c r="B650" s="710"/>
      <c r="C650" s="713"/>
      <c r="D650" s="408" t="s">
        <v>347</v>
      </c>
      <c r="E650" s="190"/>
      <c r="F650" s="190"/>
      <c r="G650" s="187"/>
      <c r="H650" s="187"/>
      <c r="I650" s="187"/>
      <c r="J650" s="452"/>
      <c r="K650" s="451"/>
      <c r="L650" s="452"/>
      <c r="M650" s="470"/>
      <c r="N650" s="410"/>
      <c r="O650" s="410"/>
      <c r="P650" s="452"/>
      <c r="Q650" s="452"/>
      <c r="R650" s="442">
        <v>1</v>
      </c>
      <c r="S650" s="444"/>
      <c r="T650" s="173"/>
      <c r="U650" s="173"/>
      <c r="V650" s="173"/>
      <c r="W650" s="442">
        <v>5</v>
      </c>
      <c r="X650" s="444"/>
      <c r="Y650" s="444"/>
      <c r="Z650" s="444"/>
      <c r="AA650" s="445"/>
      <c r="AB650" s="472"/>
      <c r="AC650" s="451"/>
      <c r="AD650" s="515"/>
      <c r="AE650" s="447">
        <v>1</v>
      </c>
      <c r="AF650" s="521"/>
      <c r="AG650" s="829"/>
      <c r="AH650" s="710"/>
      <c r="AI650" s="710"/>
      <c r="AJ650" s="710"/>
      <c r="AK650" s="710"/>
      <c r="AL650" s="710"/>
      <c r="AM650" s="710"/>
      <c r="AN650" s="710"/>
      <c r="AO650" s="710"/>
      <c r="AP650" s="710"/>
      <c r="AQ650" s="710"/>
      <c r="AR650" s="710"/>
      <c r="AS650" s="710"/>
      <c r="AT650" s="710"/>
      <c r="AU650" s="710"/>
      <c r="AV650" s="710"/>
      <c r="AW650" s="710"/>
      <c r="AX650" s="710"/>
      <c r="AY650" s="710"/>
    </row>
    <row r="651" spans="1:51" ht="27.75" hidden="1" customHeight="1" x14ac:dyDescent="0.25">
      <c r="A651" s="829"/>
      <c r="B651" s="710"/>
      <c r="C651" s="830"/>
      <c r="D651" s="412" t="s">
        <v>348</v>
      </c>
      <c r="E651" s="190"/>
      <c r="F651" s="190"/>
      <c r="G651" s="187"/>
      <c r="H651" s="187"/>
      <c r="I651" s="187"/>
      <c r="J651" s="452"/>
      <c r="K651" s="451"/>
      <c r="L651" s="452"/>
      <c r="M651" s="470"/>
      <c r="N651" s="410"/>
      <c r="O651" s="410"/>
      <c r="P651" s="452"/>
      <c r="Q651" s="452"/>
      <c r="R651" s="452">
        <f>+R650*$R$635/$R$634</f>
        <v>10962400</v>
      </c>
      <c r="S651" s="444"/>
      <c r="T651" s="173"/>
      <c r="U651" s="173"/>
      <c r="V651" s="173"/>
      <c r="W651" s="442">
        <v>5</v>
      </c>
      <c r="X651" s="444"/>
      <c r="Y651" s="444"/>
      <c r="Z651" s="444"/>
      <c r="AA651" s="445"/>
      <c r="AB651" s="472"/>
      <c r="AC651" s="451"/>
      <c r="AD651" s="515"/>
      <c r="AE651" s="451" t="e">
        <f>+AE650*$AE$635/$AE$634</f>
        <v>#VALUE!</v>
      </c>
      <c r="AF651" s="521"/>
      <c r="AG651" s="823"/>
      <c r="AH651" s="731"/>
      <c r="AI651" s="731"/>
      <c r="AJ651" s="731"/>
      <c r="AK651" s="731"/>
      <c r="AL651" s="731"/>
      <c r="AM651" s="731"/>
      <c r="AN651" s="731"/>
      <c r="AO651" s="731"/>
      <c r="AP651" s="731"/>
      <c r="AQ651" s="731"/>
      <c r="AR651" s="731"/>
      <c r="AS651" s="731"/>
      <c r="AT651" s="731"/>
      <c r="AU651" s="731"/>
      <c r="AV651" s="731"/>
      <c r="AW651" s="731"/>
      <c r="AX651" s="731"/>
      <c r="AY651" s="731"/>
    </row>
    <row r="652" spans="1:51" ht="36" hidden="1" customHeight="1" x14ac:dyDescent="0.25">
      <c r="A652" s="829"/>
      <c r="B652" s="710"/>
      <c r="C652" s="961" t="s">
        <v>468</v>
      </c>
      <c r="D652" s="413" t="s">
        <v>340</v>
      </c>
      <c r="E652" s="190"/>
      <c r="F652" s="190"/>
      <c r="G652" s="187"/>
      <c r="H652" s="187"/>
      <c r="I652" s="187"/>
      <c r="J652" s="452"/>
      <c r="K652" s="451"/>
      <c r="L652" s="452"/>
      <c r="M652" s="470"/>
      <c r="N652" s="410"/>
      <c r="O652" s="452">
        <v>1</v>
      </c>
      <c r="P652" s="452">
        <v>1</v>
      </c>
      <c r="Q652" s="452">
        <v>1</v>
      </c>
      <c r="R652" s="442">
        <v>1</v>
      </c>
      <c r="S652" s="444"/>
      <c r="T652" s="173"/>
      <c r="U652" s="173"/>
      <c r="V652" s="173"/>
      <c r="W652" s="442">
        <v>5</v>
      </c>
      <c r="X652" s="444"/>
      <c r="Y652" s="444"/>
      <c r="Z652" s="444"/>
      <c r="AA652" s="445"/>
      <c r="AB652" s="472">
        <v>1</v>
      </c>
      <c r="AC652" s="514">
        <v>1</v>
      </c>
      <c r="AD652" s="515">
        <v>1</v>
      </c>
      <c r="AE652" s="447">
        <v>1</v>
      </c>
      <c r="AF652" s="521"/>
      <c r="AG652" s="989" t="s">
        <v>468</v>
      </c>
      <c r="AH652" s="990" t="s">
        <v>178</v>
      </c>
      <c r="AI652" s="990" t="s">
        <v>178</v>
      </c>
      <c r="AJ652" s="990" t="s">
        <v>178</v>
      </c>
      <c r="AK652" s="914" t="s">
        <v>457</v>
      </c>
      <c r="AL652" s="990" t="s">
        <v>610</v>
      </c>
      <c r="AM652" s="813" t="s">
        <v>1335</v>
      </c>
      <c r="AN652" s="985">
        <v>18703</v>
      </c>
      <c r="AO652" s="986">
        <v>9562</v>
      </c>
      <c r="AP652" s="986">
        <v>9141</v>
      </c>
      <c r="AQ652" s="911" t="s">
        <v>459</v>
      </c>
      <c r="AR652" s="911" t="s">
        <v>459</v>
      </c>
      <c r="AS652" s="911" t="s">
        <v>459</v>
      </c>
      <c r="AT652" s="911" t="s">
        <v>459</v>
      </c>
      <c r="AU652" s="911" t="s">
        <v>459</v>
      </c>
      <c r="AV652" s="911" t="s">
        <v>459</v>
      </c>
      <c r="AW652" s="911" t="s">
        <v>459</v>
      </c>
      <c r="AX652" s="910">
        <v>7715778</v>
      </c>
      <c r="AY652" s="954" t="s">
        <v>636</v>
      </c>
    </row>
    <row r="653" spans="1:51" ht="18.75" hidden="1" customHeight="1" x14ac:dyDescent="0.25">
      <c r="A653" s="829"/>
      <c r="B653" s="710"/>
      <c r="C653" s="713"/>
      <c r="D653" s="404" t="s">
        <v>343</v>
      </c>
      <c r="E653" s="190"/>
      <c r="F653" s="190"/>
      <c r="G653" s="187"/>
      <c r="H653" s="187"/>
      <c r="I653" s="187"/>
      <c r="J653" s="452"/>
      <c r="K653" s="451"/>
      <c r="L653" s="452"/>
      <c r="M653" s="470"/>
      <c r="N653" s="410"/>
      <c r="O653" s="452">
        <f>+O652*$O$635/$O$634</f>
        <v>10495500</v>
      </c>
      <c r="P653" s="452">
        <f>+P652*$P$635/$P$634</f>
        <v>10495500</v>
      </c>
      <c r="Q653" s="452">
        <f>+Q652*$Q$635/$Q$634</f>
        <v>10962400</v>
      </c>
      <c r="R653" s="452">
        <f>+R652*$R$635/$R$634</f>
        <v>10962400</v>
      </c>
      <c r="S653" s="444"/>
      <c r="T653" s="173"/>
      <c r="U653" s="173"/>
      <c r="V653" s="173"/>
      <c r="W653" s="442">
        <v>5</v>
      </c>
      <c r="X653" s="444"/>
      <c r="Y653" s="444"/>
      <c r="Z653" s="444"/>
      <c r="AA653" s="445"/>
      <c r="AB653" s="451">
        <f>+AB652*$AB$635/$AB$634</f>
        <v>15116000</v>
      </c>
      <c r="AC653" s="451" t="e">
        <f>+AC652*$AC$635/$AC$634</f>
        <v>#VALUE!</v>
      </c>
      <c r="AD653" s="451">
        <f>+AD652*$AD$635/$AD$634</f>
        <v>10077333.333333334</v>
      </c>
      <c r="AE653" s="451" t="e">
        <f>+AE652*$AE$635/$AE$634</f>
        <v>#VALUE!</v>
      </c>
      <c r="AF653" s="521"/>
      <c r="AG653" s="829"/>
      <c r="AH653" s="710"/>
      <c r="AI653" s="710"/>
      <c r="AJ653" s="710"/>
      <c r="AK653" s="710"/>
      <c r="AL653" s="710"/>
      <c r="AM653" s="710"/>
      <c r="AN653" s="710"/>
      <c r="AO653" s="710"/>
      <c r="AP653" s="710"/>
      <c r="AQ653" s="710"/>
      <c r="AR653" s="710"/>
      <c r="AS653" s="710"/>
      <c r="AT653" s="710"/>
      <c r="AU653" s="710"/>
      <c r="AV653" s="710"/>
      <c r="AW653" s="710"/>
      <c r="AX653" s="710"/>
      <c r="AY653" s="710"/>
    </row>
    <row r="654" spans="1:51" ht="27.75" hidden="1" customHeight="1" x14ac:dyDescent="0.25">
      <c r="A654" s="829"/>
      <c r="B654" s="710"/>
      <c r="C654" s="713"/>
      <c r="D654" s="408" t="s">
        <v>345</v>
      </c>
      <c r="E654" s="190"/>
      <c r="F654" s="190"/>
      <c r="G654" s="187"/>
      <c r="H654" s="187"/>
      <c r="I654" s="187"/>
      <c r="J654" s="452"/>
      <c r="K654" s="451"/>
      <c r="L654" s="452"/>
      <c r="M654" s="470"/>
      <c r="N654" s="410"/>
      <c r="O654" s="452"/>
      <c r="P654" s="452"/>
      <c r="Q654" s="452"/>
      <c r="R654" s="442"/>
      <c r="S654" s="444"/>
      <c r="T654" s="173"/>
      <c r="U654" s="173"/>
      <c r="V654" s="173"/>
      <c r="W654" s="442">
        <v>5</v>
      </c>
      <c r="X654" s="444"/>
      <c r="Y654" s="444"/>
      <c r="Z654" s="444"/>
      <c r="AA654" s="445"/>
      <c r="AB654" s="472"/>
      <c r="AC654" s="514"/>
      <c r="AD654" s="515"/>
      <c r="AE654" s="447"/>
      <c r="AF654" s="521"/>
      <c r="AG654" s="829"/>
      <c r="AH654" s="710"/>
      <c r="AI654" s="710"/>
      <c r="AJ654" s="710"/>
      <c r="AK654" s="710"/>
      <c r="AL654" s="710"/>
      <c r="AM654" s="710"/>
      <c r="AN654" s="710"/>
      <c r="AO654" s="710"/>
      <c r="AP654" s="710"/>
      <c r="AQ654" s="710"/>
      <c r="AR654" s="710"/>
      <c r="AS654" s="710"/>
      <c r="AT654" s="710"/>
      <c r="AU654" s="710"/>
      <c r="AV654" s="710"/>
      <c r="AW654" s="710"/>
      <c r="AX654" s="710"/>
      <c r="AY654" s="710"/>
    </row>
    <row r="655" spans="1:51" ht="27.75" hidden="1" customHeight="1" x14ac:dyDescent="0.25">
      <c r="A655" s="829"/>
      <c r="B655" s="710"/>
      <c r="C655" s="713"/>
      <c r="D655" s="404" t="s">
        <v>346</v>
      </c>
      <c r="E655" s="190"/>
      <c r="F655" s="190"/>
      <c r="G655" s="187"/>
      <c r="H655" s="187"/>
      <c r="I655" s="187"/>
      <c r="J655" s="452"/>
      <c r="K655" s="451"/>
      <c r="L655" s="452"/>
      <c r="M655" s="470"/>
      <c r="N655" s="410"/>
      <c r="O655" s="452"/>
      <c r="P655" s="452"/>
      <c r="Q655" s="452"/>
      <c r="R655" s="442"/>
      <c r="S655" s="444"/>
      <c r="T655" s="173"/>
      <c r="U655" s="173"/>
      <c r="V655" s="173"/>
      <c r="W655" s="442">
        <v>5</v>
      </c>
      <c r="X655" s="444"/>
      <c r="Y655" s="444"/>
      <c r="Z655" s="444"/>
      <c r="AA655" s="445"/>
      <c r="AB655" s="472"/>
      <c r="AC655" s="514"/>
      <c r="AD655" s="515"/>
      <c r="AE655" s="447"/>
      <c r="AF655" s="521"/>
      <c r="AG655" s="829"/>
      <c r="AH655" s="710"/>
      <c r="AI655" s="710"/>
      <c r="AJ655" s="710"/>
      <c r="AK655" s="710"/>
      <c r="AL655" s="710"/>
      <c r="AM655" s="710"/>
      <c r="AN655" s="710"/>
      <c r="AO655" s="710"/>
      <c r="AP655" s="710"/>
      <c r="AQ655" s="710"/>
      <c r="AR655" s="710"/>
      <c r="AS655" s="710"/>
      <c r="AT655" s="710"/>
      <c r="AU655" s="710"/>
      <c r="AV655" s="710"/>
      <c r="AW655" s="710"/>
      <c r="AX655" s="710"/>
      <c r="AY655" s="710"/>
    </row>
    <row r="656" spans="1:51" ht="27.75" hidden="1" customHeight="1" x14ac:dyDescent="0.25">
      <c r="A656" s="829"/>
      <c r="B656" s="710"/>
      <c r="C656" s="713"/>
      <c r="D656" s="408" t="s">
        <v>347</v>
      </c>
      <c r="E656" s="190"/>
      <c r="F656" s="190"/>
      <c r="G656" s="187"/>
      <c r="H656" s="187"/>
      <c r="I656" s="187"/>
      <c r="J656" s="452"/>
      <c r="K656" s="451"/>
      <c r="L656" s="452"/>
      <c r="M656" s="470"/>
      <c r="N656" s="410"/>
      <c r="O656" s="452">
        <f>+O652</f>
        <v>1</v>
      </c>
      <c r="P656" s="452">
        <v>1</v>
      </c>
      <c r="Q656" s="452">
        <v>1</v>
      </c>
      <c r="R656" s="442">
        <v>1</v>
      </c>
      <c r="S656" s="444"/>
      <c r="T656" s="173"/>
      <c r="U656" s="173"/>
      <c r="V656" s="173"/>
      <c r="W656" s="442">
        <v>5</v>
      </c>
      <c r="X656" s="444"/>
      <c r="Y656" s="444"/>
      <c r="Z656" s="444"/>
      <c r="AA656" s="445"/>
      <c r="AB656" s="472">
        <f>+AB652</f>
        <v>1</v>
      </c>
      <c r="AC656" s="514">
        <v>1</v>
      </c>
      <c r="AD656" s="515">
        <v>1</v>
      </c>
      <c r="AE656" s="447">
        <v>1</v>
      </c>
      <c r="AF656" s="521"/>
      <c r="AG656" s="829"/>
      <c r="AH656" s="710"/>
      <c r="AI656" s="710"/>
      <c r="AJ656" s="710"/>
      <c r="AK656" s="710"/>
      <c r="AL656" s="710"/>
      <c r="AM656" s="710"/>
      <c r="AN656" s="710"/>
      <c r="AO656" s="710"/>
      <c r="AP656" s="710"/>
      <c r="AQ656" s="710"/>
      <c r="AR656" s="710"/>
      <c r="AS656" s="710"/>
      <c r="AT656" s="710"/>
      <c r="AU656" s="710"/>
      <c r="AV656" s="710"/>
      <c r="AW656" s="710"/>
      <c r="AX656" s="710"/>
      <c r="AY656" s="710"/>
    </row>
    <row r="657" spans="1:51" ht="27.75" hidden="1" customHeight="1" x14ac:dyDescent="0.25">
      <c r="A657" s="829"/>
      <c r="B657" s="710"/>
      <c r="C657" s="830"/>
      <c r="D657" s="412" t="s">
        <v>348</v>
      </c>
      <c r="E657" s="190"/>
      <c r="F657" s="190"/>
      <c r="G657" s="187"/>
      <c r="H657" s="187"/>
      <c r="I657" s="187"/>
      <c r="J657" s="452"/>
      <c r="K657" s="451"/>
      <c r="L657" s="452"/>
      <c r="M657" s="470"/>
      <c r="N657" s="410"/>
      <c r="O657" s="452">
        <f>+O653</f>
        <v>10495500</v>
      </c>
      <c r="P657" s="452">
        <f>+P656*$P$635/$P$634</f>
        <v>10495500</v>
      </c>
      <c r="Q657" s="452">
        <f>+Q656*$Q$635/$Q$634</f>
        <v>10962400</v>
      </c>
      <c r="R657" s="452">
        <f>+R656*$R$635/$R$634</f>
        <v>10962400</v>
      </c>
      <c r="S657" s="444"/>
      <c r="T657" s="173"/>
      <c r="U657" s="173"/>
      <c r="V657" s="173"/>
      <c r="W657" s="442">
        <v>5</v>
      </c>
      <c r="X657" s="444"/>
      <c r="Y657" s="444"/>
      <c r="Z657" s="444"/>
      <c r="AA657" s="445"/>
      <c r="AB657" s="472">
        <f>+AB653</f>
        <v>15116000</v>
      </c>
      <c r="AC657" s="451" t="e">
        <f>+AC656*$AC$635/$AC$634</f>
        <v>#VALUE!</v>
      </c>
      <c r="AD657" s="451">
        <f>+AD656*$AD$635/$AD$634</f>
        <v>10077333.333333334</v>
      </c>
      <c r="AE657" s="451" t="e">
        <f>+AE656*$AE$635/$AE$634</f>
        <v>#VALUE!</v>
      </c>
      <c r="AF657" s="521"/>
      <c r="AG657" s="823"/>
      <c r="AH657" s="731"/>
      <c r="AI657" s="731"/>
      <c r="AJ657" s="731"/>
      <c r="AK657" s="731"/>
      <c r="AL657" s="731"/>
      <c r="AM657" s="731"/>
      <c r="AN657" s="731"/>
      <c r="AO657" s="731"/>
      <c r="AP657" s="731"/>
      <c r="AQ657" s="731"/>
      <c r="AR657" s="731"/>
      <c r="AS657" s="731"/>
      <c r="AT657" s="731"/>
      <c r="AU657" s="731"/>
      <c r="AV657" s="731"/>
      <c r="AW657" s="731"/>
      <c r="AX657" s="731"/>
      <c r="AY657" s="731"/>
    </row>
    <row r="658" spans="1:51" ht="36" customHeight="1" x14ac:dyDescent="0.25">
      <c r="A658" s="829"/>
      <c r="B658" s="710"/>
      <c r="C658" s="961" t="s">
        <v>656</v>
      </c>
      <c r="D658" s="413" t="s">
        <v>340</v>
      </c>
      <c r="E658" s="190"/>
      <c r="F658" s="190"/>
      <c r="G658" s="173">
        <v>1</v>
      </c>
      <c r="H658" s="187">
        <v>1</v>
      </c>
      <c r="I658" s="187">
        <v>1</v>
      </c>
      <c r="J658" s="452">
        <v>2</v>
      </c>
      <c r="K658" s="451">
        <v>3</v>
      </c>
      <c r="L658" s="452"/>
      <c r="M658" s="470"/>
      <c r="N658" s="410"/>
      <c r="O658" s="452">
        <v>1</v>
      </c>
      <c r="P658" s="452">
        <v>2</v>
      </c>
      <c r="Q658" s="452">
        <v>2</v>
      </c>
      <c r="R658" s="442">
        <v>2</v>
      </c>
      <c r="S658" s="510" t="s">
        <v>1390</v>
      </c>
      <c r="T658" s="173">
        <v>1</v>
      </c>
      <c r="U658" s="173">
        <v>1</v>
      </c>
      <c r="V658" s="173">
        <v>1</v>
      </c>
      <c r="W658" s="442">
        <v>2</v>
      </c>
      <c r="X658" s="444">
        <v>3</v>
      </c>
      <c r="Y658" s="444"/>
      <c r="Z658" s="444"/>
      <c r="AA658" s="445"/>
      <c r="AB658" s="472">
        <v>1</v>
      </c>
      <c r="AC658" s="514">
        <v>2</v>
      </c>
      <c r="AD658" s="515">
        <v>2</v>
      </c>
      <c r="AE658" s="447">
        <v>2</v>
      </c>
      <c r="AF658" s="518" t="s">
        <v>1396</v>
      </c>
      <c r="AG658" s="989" t="s">
        <v>656</v>
      </c>
      <c r="AH658" s="970" t="s">
        <v>1397</v>
      </c>
      <c r="AI658" s="970" t="s">
        <v>1398</v>
      </c>
      <c r="AJ658" s="970" t="s">
        <v>1393</v>
      </c>
      <c r="AK658" s="914" t="s">
        <v>457</v>
      </c>
      <c r="AL658" s="990" t="s">
        <v>1399</v>
      </c>
      <c r="AM658" s="813" t="s">
        <v>1335</v>
      </c>
      <c r="AN658" s="985">
        <v>1229903</v>
      </c>
      <c r="AO658" s="986">
        <v>3</v>
      </c>
      <c r="AP658" s="986">
        <v>7</v>
      </c>
      <c r="AQ658" s="911" t="s">
        <v>459</v>
      </c>
      <c r="AR658" s="911" t="s">
        <v>459</v>
      </c>
      <c r="AS658" s="991" t="s">
        <v>1400</v>
      </c>
      <c r="AT658" s="991" t="s">
        <v>1401</v>
      </c>
      <c r="AU658" s="991" t="s">
        <v>1402</v>
      </c>
      <c r="AV658" s="991" t="s">
        <v>1403</v>
      </c>
      <c r="AW658" s="991">
        <v>1</v>
      </c>
      <c r="AX658" s="910">
        <v>1229903</v>
      </c>
      <c r="AY658" s="954" t="s">
        <v>665</v>
      </c>
    </row>
    <row r="659" spans="1:51" ht="25.5" customHeight="1" x14ac:dyDescent="0.25">
      <c r="A659" s="829"/>
      <c r="B659" s="710"/>
      <c r="C659" s="713"/>
      <c r="D659" s="404" t="s">
        <v>343</v>
      </c>
      <c r="E659" s="190"/>
      <c r="F659" s="190"/>
      <c r="G659" s="173">
        <f>+G658*$G$635/$G$634</f>
        <v>17491950</v>
      </c>
      <c r="H659" s="187">
        <f>+H658*$H$635/$H$634</f>
        <v>17491950</v>
      </c>
      <c r="I659" s="187" t="e">
        <f>+I658*$I$635/$I$634</f>
        <v>#REF!</v>
      </c>
      <c r="J659" s="452" t="e">
        <f>+J658*$J$635/$J$634</f>
        <v>#REF!</v>
      </c>
      <c r="K659" s="451"/>
      <c r="L659" s="452"/>
      <c r="M659" s="470"/>
      <c r="N659" s="410"/>
      <c r="O659" s="452" t="e">
        <f>+O658*$O$641/$O$640</f>
        <v>#DIV/0!</v>
      </c>
      <c r="P659" s="452" t="str">
        <f ca="1">+P658*$P$641/$P$640</f>
        <v>#REF!</v>
      </c>
      <c r="Q659" s="452" t="str">
        <f ca="1">+Q658*$Q$641/$Q$640</f>
        <v>#REF!</v>
      </c>
      <c r="R659" s="452" t="str">
        <f ca="1">+R658*$R$641/$R$640</f>
        <v>#REF!</v>
      </c>
      <c r="S659" s="444"/>
      <c r="T659" s="173"/>
      <c r="U659" s="187">
        <f>+U658*$U$635/$U$634</f>
        <v>156895000</v>
      </c>
      <c r="V659" s="187" t="e">
        <f>+V658*$V$635/$V$634</f>
        <v>#REF!</v>
      </c>
      <c r="W659" s="452" t="e">
        <f>+W658*$W$635/$W$634</f>
        <v>#REF!</v>
      </c>
      <c r="X659" s="444"/>
      <c r="Y659" s="444"/>
      <c r="Z659" s="444"/>
      <c r="AA659" s="445"/>
      <c r="AB659" s="451" t="s">
        <v>673</v>
      </c>
      <c r="AC659" s="451" t="s">
        <v>673</v>
      </c>
      <c r="AD659" s="451">
        <v>20154666.666666668</v>
      </c>
      <c r="AE659" s="451" t="s">
        <v>673</v>
      </c>
      <c r="AF659" s="519"/>
      <c r="AG659" s="829"/>
      <c r="AH659" s="710"/>
      <c r="AI659" s="710"/>
      <c r="AJ659" s="710"/>
      <c r="AK659" s="710"/>
      <c r="AL659" s="710"/>
      <c r="AM659" s="710"/>
      <c r="AN659" s="710"/>
      <c r="AO659" s="710"/>
      <c r="AP659" s="710"/>
      <c r="AQ659" s="710"/>
      <c r="AR659" s="710"/>
      <c r="AS659" s="710"/>
      <c r="AT659" s="710"/>
      <c r="AU659" s="710"/>
      <c r="AV659" s="710"/>
      <c r="AW659" s="710"/>
      <c r="AX659" s="710"/>
      <c r="AY659" s="710"/>
    </row>
    <row r="660" spans="1:51" ht="15.75" customHeight="1" x14ac:dyDescent="0.25">
      <c r="A660" s="829"/>
      <c r="B660" s="710"/>
      <c r="C660" s="713"/>
      <c r="D660" s="408" t="s">
        <v>345</v>
      </c>
      <c r="E660" s="190"/>
      <c r="F660" s="190"/>
      <c r="G660" s="173"/>
      <c r="H660" s="187"/>
      <c r="I660" s="187"/>
      <c r="J660" s="452"/>
      <c r="K660" s="451"/>
      <c r="L660" s="452"/>
      <c r="M660" s="470"/>
      <c r="N660" s="410"/>
      <c r="O660" s="452"/>
      <c r="P660" s="452"/>
      <c r="Q660" s="452"/>
      <c r="R660" s="442"/>
      <c r="S660" s="444"/>
      <c r="T660" s="173"/>
      <c r="U660" s="173"/>
      <c r="V660" s="173"/>
      <c r="W660" s="442"/>
      <c r="X660" s="444"/>
      <c r="Y660" s="444"/>
      <c r="Z660" s="444"/>
      <c r="AA660" s="445"/>
      <c r="AB660" s="472"/>
      <c r="AC660" s="514"/>
      <c r="AD660" s="515"/>
      <c r="AE660" s="447"/>
      <c r="AF660" s="519"/>
      <c r="AG660" s="829"/>
      <c r="AH660" s="710"/>
      <c r="AI660" s="710"/>
      <c r="AJ660" s="710"/>
      <c r="AK660" s="710"/>
      <c r="AL660" s="710"/>
      <c r="AM660" s="710"/>
      <c r="AN660" s="710"/>
      <c r="AO660" s="710"/>
      <c r="AP660" s="710"/>
      <c r="AQ660" s="710"/>
      <c r="AR660" s="710"/>
      <c r="AS660" s="710"/>
      <c r="AT660" s="710"/>
      <c r="AU660" s="710"/>
      <c r="AV660" s="710"/>
      <c r="AW660" s="710"/>
      <c r="AX660" s="710"/>
      <c r="AY660" s="710"/>
    </row>
    <row r="661" spans="1:51" ht="18.75" customHeight="1" x14ac:dyDescent="0.25">
      <c r="A661" s="829"/>
      <c r="B661" s="710"/>
      <c r="C661" s="713"/>
      <c r="D661" s="404" t="s">
        <v>346</v>
      </c>
      <c r="E661" s="190"/>
      <c r="F661" s="190"/>
      <c r="G661" s="173"/>
      <c r="H661" s="173">
        <f>+$U$637/2</f>
        <v>15437116.5</v>
      </c>
      <c r="I661" s="187"/>
      <c r="J661" s="452"/>
      <c r="K661" s="451"/>
      <c r="L661" s="452"/>
      <c r="M661" s="470"/>
      <c r="N661" s="410"/>
      <c r="O661" s="452"/>
      <c r="P661" s="452"/>
      <c r="Q661" s="452"/>
      <c r="R661" s="442"/>
      <c r="S661" s="444"/>
      <c r="T661" s="173">
        <f>+T658*$T$637/$T$634</f>
        <v>13317533</v>
      </c>
      <c r="U661" s="173">
        <f>+$U$637/2</f>
        <v>15437116.5</v>
      </c>
      <c r="V661" s="173"/>
      <c r="W661" s="442"/>
      <c r="X661" s="444"/>
      <c r="Y661" s="444"/>
      <c r="Z661" s="444"/>
      <c r="AA661" s="445"/>
      <c r="AB661" s="472"/>
      <c r="AC661" s="514"/>
      <c r="AD661" s="515"/>
      <c r="AE661" s="447"/>
      <c r="AF661" s="519"/>
      <c r="AG661" s="829"/>
      <c r="AH661" s="710"/>
      <c r="AI661" s="710"/>
      <c r="AJ661" s="710"/>
      <c r="AK661" s="710"/>
      <c r="AL661" s="710"/>
      <c r="AM661" s="710"/>
      <c r="AN661" s="710"/>
      <c r="AO661" s="710"/>
      <c r="AP661" s="710"/>
      <c r="AQ661" s="710"/>
      <c r="AR661" s="710"/>
      <c r="AS661" s="710"/>
      <c r="AT661" s="710"/>
      <c r="AU661" s="710"/>
      <c r="AV661" s="710"/>
      <c r="AW661" s="710"/>
      <c r="AX661" s="710"/>
      <c r="AY661" s="710"/>
    </row>
    <row r="662" spans="1:51" ht="15.75" customHeight="1" x14ac:dyDescent="0.25">
      <c r="A662" s="829"/>
      <c r="B662" s="710"/>
      <c r="C662" s="713"/>
      <c r="D662" s="408" t="s">
        <v>347</v>
      </c>
      <c r="E662" s="190"/>
      <c r="F662" s="190"/>
      <c r="G662" s="173">
        <v>1</v>
      </c>
      <c r="H662" s="187">
        <v>1</v>
      </c>
      <c r="I662" s="187">
        <v>1</v>
      </c>
      <c r="J662" s="452">
        <v>2</v>
      </c>
      <c r="K662" s="451">
        <v>3</v>
      </c>
      <c r="L662" s="452"/>
      <c r="M662" s="470"/>
      <c r="N662" s="410"/>
      <c r="O662" s="452">
        <f>+O658</f>
        <v>1</v>
      </c>
      <c r="P662" s="452">
        <v>2</v>
      </c>
      <c r="Q662" s="452">
        <v>2</v>
      </c>
      <c r="R662" s="442">
        <v>2</v>
      </c>
      <c r="S662" s="444"/>
      <c r="T662" s="173">
        <v>1</v>
      </c>
      <c r="U662" s="173">
        <v>1</v>
      </c>
      <c r="V662" s="187">
        <v>1</v>
      </c>
      <c r="W662" s="442">
        <v>2</v>
      </c>
      <c r="X662" s="444">
        <v>3</v>
      </c>
      <c r="Y662" s="444"/>
      <c r="Z662" s="444"/>
      <c r="AA662" s="445"/>
      <c r="AB662" s="472">
        <v>1</v>
      </c>
      <c r="AC662" s="514">
        <v>2</v>
      </c>
      <c r="AD662" s="515">
        <v>2</v>
      </c>
      <c r="AE662" s="447">
        <v>2</v>
      </c>
      <c r="AF662" s="519"/>
      <c r="AG662" s="829"/>
      <c r="AH662" s="710"/>
      <c r="AI662" s="710"/>
      <c r="AJ662" s="710"/>
      <c r="AK662" s="710"/>
      <c r="AL662" s="710"/>
      <c r="AM662" s="710"/>
      <c r="AN662" s="710"/>
      <c r="AO662" s="710"/>
      <c r="AP662" s="710"/>
      <c r="AQ662" s="710"/>
      <c r="AR662" s="710"/>
      <c r="AS662" s="710"/>
      <c r="AT662" s="710"/>
      <c r="AU662" s="710"/>
      <c r="AV662" s="710"/>
      <c r="AW662" s="710"/>
      <c r="AX662" s="710"/>
      <c r="AY662" s="710"/>
    </row>
    <row r="663" spans="1:51" ht="15.75" customHeight="1" x14ac:dyDescent="0.25">
      <c r="A663" s="829"/>
      <c r="B663" s="710"/>
      <c r="C663" s="830"/>
      <c r="D663" s="412" t="s">
        <v>348</v>
      </c>
      <c r="E663" s="190"/>
      <c r="F663" s="190"/>
      <c r="G663" s="173">
        <f>+G662*$G$635/$G$634</f>
        <v>17491950</v>
      </c>
      <c r="H663" s="187">
        <f>+H662*$H$635/$H$634</f>
        <v>17491950</v>
      </c>
      <c r="I663" s="187" t="e">
        <f>+I662*$I$635/$I$634</f>
        <v>#REF!</v>
      </c>
      <c r="J663" s="452" t="e">
        <f>+J662*$J$635/$J$634</f>
        <v>#REF!</v>
      </c>
      <c r="K663" s="451"/>
      <c r="L663" s="452"/>
      <c r="M663" s="470"/>
      <c r="N663" s="410"/>
      <c r="O663" s="452" t="e">
        <f>+O659</f>
        <v>#DIV/0!</v>
      </c>
      <c r="P663" s="452" t="str">
        <f ca="1">+P662*$P$641/$P$640</f>
        <v>#REF!</v>
      </c>
      <c r="Q663" s="452" t="str">
        <f ca="1">+Q662*$Q$641/$Q$640</f>
        <v>#REF!</v>
      </c>
      <c r="R663" s="452" t="str">
        <f ca="1">+R662*$R$641/$R$640</f>
        <v>#REF!</v>
      </c>
      <c r="S663" s="444"/>
      <c r="T663" s="173"/>
      <c r="U663" s="187">
        <f>+U662*$U$635/$U$634</f>
        <v>156895000</v>
      </c>
      <c r="V663" s="187" t="e">
        <f>+V662*$V$635/$V$634</f>
        <v>#REF!</v>
      </c>
      <c r="W663" s="452" t="e">
        <f>+W662*$W$635/$W$634</f>
        <v>#REF!</v>
      </c>
      <c r="X663" s="444"/>
      <c r="Y663" s="444"/>
      <c r="Z663" s="444"/>
      <c r="AA663" s="445"/>
      <c r="AB663" s="472" t="s">
        <v>673</v>
      </c>
      <c r="AC663" s="451" t="s">
        <v>673</v>
      </c>
      <c r="AD663" s="451">
        <v>20154666.666666668</v>
      </c>
      <c r="AE663" s="451" t="s">
        <v>673</v>
      </c>
      <c r="AF663" s="520"/>
      <c r="AG663" s="823"/>
      <c r="AH663" s="731"/>
      <c r="AI663" s="731"/>
      <c r="AJ663" s="731"/>
      <c r="AK663" s="731"/>
      <c r="AL663" s="731"/>
      <c r="AM663" s="731"/>
      <c r="AN663" s="731"/>
      <c r="AO663" s="731"/>
      <c r="AP663" s="731"/>
      <c r="AQ663" s="731"/>
      <c r="AR663" s="731"/>
      <c r="AS663" s="731"/>
      <c r="AT663" s="731"/>
      <c r="AU663" s="731"/>
      <c r="AV663" s="731"/>
      <c r="AW663" s="731"/>
      <c r="AX663" s="731"/>
      <c r="AY663" s="731"/>
    </row>
    <row r="664" spans="1:51" ht="36" customHeight="1" x14ac:dyDescent="0.25">
      <c r="A664" s="829"/>
      <c r="B664" s="710"/>
      <c r="C664" s="961" t="s">
        <v>561</v>
      </c>
      <c r="D664" s="413" t="s">
        <v>340</v>
      </c>
      <c r="E664" s="190"/>
      <c r="F664" s="190"/>
      <c r="G664" s="187"/>
      <c r="H664" s="187"/>
      <c r="I664" s="187">
        <v>1</v>
      </c>
      <c r="J664" s="452">
        <v>1</v>
      </c>
      <c r="K664" s="451">
        <v>1</v>
      </c>
      <c r="L664" s="452"/>
      <c r="M664" s="470"/>
      <c r="N664" s="410"/>
      <c r="O664" s="452">
        <v>1</v>
      </c>
      <c r="P664" s="452">
        <v>2</v>
      </c>
      <c r="Q664" s="452">
        <v>2</v>
      </c>
      <c r="R664" s="442">
        <v>2</v>
      </c>
      <c r="S664" s="444"/>
      <c r="T664" s="173"/>
      <c r="U664" s="173"/>
      <c r="V664" s="173">
        <v>1</v>
      </c>
      <c r="W664" s="442">
        <v>1</v>
      </c>
      <c r="X664" s="444">
        <v>1</v>
      </c>
      <c r="Y664" s="444"/>
      <c r="Z664" s="444"/>
      <c r="AA664" s="445">
        <v>2</v>
      </c>
      <c r="AB664" s="472">
        <v>2</v>
      </c>
      <c r="AC664" s="514">
        <v>2</v>
      </c>
      <c r="AD664" s="515">
        <v>2</v>
      </c>
      <c r="AE664" s="447">
        <v>2</v>
      </c>
      <c r="AF664" s="518" t="s">
        <v>1404</v>
      </c>
      <c r="AG664" s="913" t="s">
        <v>561</v>
      </c>
      <c r="AH664" s="813" t="s">
        <v>1405</v>
      </c>
      <c r="AI664" s="813" t="s">
        <v>1406</v>
      </c>
      <c r="AJ664" s="813" t="s">
        <v>1407</v>
      </c>
      <c r="AK664" s="914" t="s">
        <v>457</v>
      </c>
      <c r="AL664" s="813" t="s">
        <v>610</v>
      </c>
      <c r="AM664" s="813" t="s">
        <v>1335</v>
      </c>
      <c r="AN664" s="910">
        <v>163231</v>
      </c>
      <c r="AO664" s="910">
        <v>77499</v>
      </c>
      <c r="AP664" s="910">
        <v>85731</v>
      </c>
      <c r="AQ664" s="911" t="s">
        <v>459</v>
      </c>
      <c r="AR664" s="911" t="s">
        <v>459</v>
      </c>
      <c r="AS664" s="911" t="s">
        <v>459</v>
      </c>
      <c r="AT664" s="911" t="s">
        <v>459</v>
      </c>
      <c r="AU664" s="911" t="s">
        <v>459</v>
      </c>
      <c r="AV664" s="911" t="s">
        <v>459</v>
      </c>
      <c r="AW664" s="911" t="s">
        <v>459</v>
      </c>
      <c r="AX664" s="910">
        <v>163231</v>
      </c>
      <c r="AY664" s="954" t="s">
        <v>636</v>
      </c>
    </row>
    <row r="665" spans="1:51" ht="18.75" customHeight="1" x14ac:dyDescent="0.25">
      <c r="A665" s="829"/>
      <c r="B665" s="710"/>
      <c r="C665" s="713"/>
      <c r="D665" s="404" t="s">
        <v>343</v>
      </c>
      <c r="E665" s="190"/>
      <c r="F665" s="190"/>
      <c r="G665" s="187"/>
      <c r="H665" s="187"/>
      <c r="I665" s="187" t="e">
        <f>+I664*$I$635/$I$634</f>
        <v>#REF!</v>
      </c>
      <c r="J665" s="452" t="e">
        <f>+J664*$J$635/$J$634</f>
        <v>#REF!</v>
      </c>
      <c r="K665" s="451"/>
      <c r="L665" s="452"/>
      <c r="M665" s="470"/>
      <c r="N665" s="410"/>
      <c r="O665" s="452">
        <f>+O664*$O$629/$O$628</f>
        <v>12823849.800000001</v>
      </c>
      <c r="P665" s="452">
        <f>+P664*$P$629/$P$628</f>
        <v>29377133.079999998</v>
      </c>
      <c r="Q665" s="452">
        <f>+Q664*$Q$629/$Q$628</f>
        <v>28577133.079999998</v>
      </c>
      <c r="R665" s="452">
        <f>+R664*$R$629/$R$628</f>
        <v>28577133.080000006</v>
      </c>
      <c r="S665" s="444"/>
      <c r="T665" s="173"/>
      <c r="U665" s="173"/>
      <c r="V665" s="187" t="e">
        <f>+V664*$V$635/$V$634</f>
        <v>#REF!</v>
      </c>
      <c r="W665" s="452" t="e">
        <f>+W664*$W$635/$W$634</f>
        <v>#REF!</v>
      </c>
      <c r="X665" s="444"/>
      <c r="Y665" s="444"/>
      <c r="Z665" s="444"/>
      <c r="AA665" s="445"/>
      <c r="AB665" s="451" t="s">
        <v>825</v>
      </c>
      <c r="AC665" s="451" t="s">
        <v>825</v>
      </c>
      <c r="AD665" s="451" t="s">
        <v>825</v>
      </c>
      <c r="AE665" s="451" t="s">
        <v>825</v>
      </c>
      <c r="AF665" s="519"/>
      <c r="AG665" s="829"/>
      <c r="AH665" s="710"/>
      <c r="AI665" s="710"/>
      <c r="AJ665" s="710"/>
      <c r="AK665" s="710"/>
      <c r="AL665" s="710"/>
      <c r="AM665" s="710"/>
      <c r="AN665" s="710"/>
      <c r="AO665" s="710"/>
      <c r="AP665" s="710"/>
      <c r="AQ665" s="710"/>
      <c r="AR665" s="710"/>
      <c r="AS665" s="710"/>
      <c r="AT665" s="710"/>
      <c r="AU665" s="710"/>
      <c r="AV665" s="710"/>
      <c r="AW665" s="710"/>
      <c r="AX665" s="710"/>
      <c r="AY665" s="710"/>
    </row>
    <row r="666" spans="1:51" ht="27.75" customHeight="1" x14ac:dyDescent="0.25">
      <c r="A666" s="829"/>
      <c r="B666" s="710"/>
      <c r="C666" s="713"/>
      <c r="D666" s="408" t="s">
        <v>345</v>
      </c>
      <c r="E666" s="190"/>
      <c r="F666" s="190"/>
      <c r="G666" s="187"/>
      <c r="H666" s="187"/>
      <c r="I666" s="187"/>
      <c r="J666" s="452"/>
      <c r="K666" s="451"/>
      <c r="L666" s="452"/>
      <c r="M666" s="470"/>
      <c r="N666" s="410"/>
      <c r="O666" s="452"/>
      <c r="P666" s="452"/>
      <c r="Q666" s="452"/>
      <c r="R666" s="442"/>
      <c r="S666" s="444"/>
      <c r="T666" s="173"/>
      <c r="U666" s="173"/>
      <c r="V666" s="173"/>
      <c r="W666" s="442"/>
      <c r="X666" s="444"/>
      <c r="Y666" s="444"/>
      <c r="Z666" s="444"/>
      <c r="AA666" s="445"/>
      <c r="AB666" s="472"/>
      <c r="AC666" s="514"/>
      <c r="AD666" s="515"/>
      <c r="AE666" s="447"/>
      <c r="AF666" s="519"/>
      <c r="AG666" s="829"/>
      <c r="AH666" s="710"/>
      <c r="AI666" s="710"/>
      <c r="AJ666" s="710"/>
      <c r="AK666" s="710"/>
      <c r="AL666" s="710"/>
      <c r="AM666" s="710"/>
      <c r="AN666" s="710"/>
      <c r="AO666" s="710"/>
      <c r="AP666" s="710"/>
      <c r="AQ666" s="710"/>
      <c r="AR666" s="710"/>
      <c r="AS666" s="710"/>
      <c r="AT666" s="710"/>
      <c r="AU666" s="710"/>
      <c r="AV666" s="710"/>
      <c r="AW666" s="710"/>
      <c r="AX666" s="710"/>
      <c r="AY666" s="710"/>
    </row>
    <row r="667" spans="1:51" ht="27.75" customHeight="1" x14ac:dyDescent="0.25">
      <c r="A667" s="829"/>
      <c r="B667" s="710"/>
      <c r="C667" s="713"/>
      <c r="D667" s="404" t="s">
        <v>346</v>
      </c>
      <c r="E667" s="190"/>
      <c r="F667" s="190"/>
      <c r="G667" s="187"/>
      <c r="H667" s="187"/>
      <c r="I667" s="187"/>
      <c r="J667" s="452"/>
      <c r="K667" s="451"/>
      <c r="L667" s="452"/>
      <c r="M667" s="470"/>
      <c r="N667" s="410"/>
      <c r="O667" s="452"/>
      <c r="P667" s="452"/>
      <c r="Q667" s="452"/>
      <c r="R667" s="442"/>
      <c r="S667" s="444"/>
      <c r="T667" s="173"/>
      <c r="U667" s="173"/>
      <c r="V667" s="173"/>
      <c r="W667" s="442"/>
      <c r="X667" s="444"/>
      <c r="Y667" s="444"/>
      <c r="Z667" s="444"/>
      <c r="AA667" s="445"/>
      <c r="AB667" s="472"/>
      <c r="AC667" s="514"/>
      <c r="AD667" s="515"/>
      <c r="AE667" s="447"/>
      <c r="AF667" s="519"/>
      <c r="AG667" s="829"/>
      <c r="AH667" s="710"/>
      <c r="AI667" s="710"/>
      <c r="AJ667" s="710"/>
      <c r="AK667" s="710"/>
      <c r="AL667" s="710"/>
      <c r="AM667" s="710"/>
      <c r="AN667" s="710"/>
      <c r="AO667" s="710"/>
      <c r="AP667" s="710"/>
      <c r="AQ667" s="710"/>
      <c r="AR667" s="710"/>
      <c r="AS667" s="710"/>
      <c r="AT667" s="710"/>
      <c r="AU667" s="710"/>
      <c r="AV667" s="710"/>
      <c r="AW667" s="710"/>
      <c r="AX667" s="710"/>
      <c r="AY667" s="710"/>
    </row>
    <row r="668" spans="1:51" ht="27.75" customHeight="1" x14ac:dyDescent="0.25">
      <c r="A668" s="829"/>
      <c r="B668" s="710"/>
      <c r="C668" s="713"/>
      <c r="D668" s="408" t="s">
        <v>347</v>
      </c>
      <c r="E668" s="190"/>
      <c r="F668" s="190"/>
      <c r="G668" s="187"/>
      <c r="H668" s="187"/>
      <c r="I668" s="187">
        <v>1</v>
      </c>
      <c r="J668" s="452">
        <v>1</v>
      </c>
      <c r="K668" s="451">
        <v>1</v>
      </c>
      <c r="L668" s="452"/>
      <c r="M668" s="470"/>
      <c r="N668" s="410"/>
      <c r="O668" s="452">
        <f>+O664</f>
        <v>1</v>
      </c>
      <c r="P668" s="452">
        <v>2</v>
      </c>
      <c r="Q668" s="452">
        <v>2</v>
      </c>
      <c r="R668" s="442">
        <v>2</v>
      </c>
      <c r="S668" s="444"/>
      <c r="T668" s="173"/>
      <c r="U668" s="173"/>
      <c r="V668" s="173">
        <v>1</v>
      </c>
      <c r="W668" s="442">
        <v>1</v>
      </c>
      <c r="X668" s="444">
        <v>1</v>
      </c>
      <c r="Y668" s="444"/>
      <c r="Z668" s="444"/>
      <c r="AA668" s="445">
        <v>2</v>
      </c>
      <c r="AB668" s="472">
        <v>2</v>
      </c>
      <c r="AC668" s="514">
        <v>2</v>
      </c>
      <c r="AD668" s="515">
        <v>2</v>
      </c>
      <c r="AE668" s="447">
        <v>2</v>
      </c>
      <c r="AF668" s="519"/>
      <c r="AG668" s="829"/>
      <c r="AH668" s="710"/>
      <c r="AI668" s="710"/>
      <c r="AJ668" s="710"/>
      <c r="AK668" s="710"/>
      <c r="AL668" s="710"/>
      <c r="AM668" s="710"/>
      <c r="AN668" s="710"/>
      <c r="AO668" s="710"/>
      <c r="AP668" s="710"/>
      <c r="AQ668" s="710"/>
      <c r="AR668" s="710"/>
      <c r="AS668" s="710"/>
      <c r="AT668" s="710"/>
      <c r="AU668" s="710"/>
      <c r="AV668" s="710"/>
      <c r="AW668" s="710"/>
      <c r="AX668" s="710"/>
      <c r="AY668" s="710"/>
    </row>
    <row r="669" spans="1:51" ht="27.75" customHeight="1" x14ac:dyDescent="0.25">
      <c r="A669" s="829"/>
      <c r="B669" s="710"/>
      <c r="C669" s="830"/>
      <c r="D669" s="412" t="s">
        <v>348</v>
      </c>
      <c r="E669" s="190"/>
      <c r="F669" s="190"/>
      <c r="G669" s="187"/>
      <c r="H669" s="187"/>
      <c r="I669" s="187" t="e">
        <f>+I668*$I$635/$I$634</f>
        <v>#REF!</v>
      </c>
      <c r="J669" s="452" t="e">
        <f>+J668*$J$635/$J$634</f>
        <v>#REF!</v>
      </c>
      <c r="K669" s="451"/>
      <c r="L669" s="452"/>
      <c r="M669" s="470"/>
      <c r="N669" s="410"/>
      <c r="O669" s="452">
        <f>+O665</f>
        <v>12823849.800000001</v>
      </c>
      <c r="P669" s="452" t="str">
        <f ca="1">+P668*$P$641/$P$640</f>
        <v>#REF!</v>
      </c>
      <c r="Q669" s="452" t="str">
        <f ca="1">+Q668*$Q$641/$Q$640</f>
        <v>#REF!</v>
      </c>
      <c r="R669" s="452" t="str">
        <f ca="1">+R668*$R$641/$R$640</f>
        <v>#REF!</v>
      </c>
      <c r="S669" s="444"/>
      <c r="T669" s="173"/>
      <c r="U669" s="173"/>
      <c r="V669" s="187" t="e">
        <f>+V668*$V$635/$V$634</f>
        <v>#REF!</v>
      </c>
      <c r="W669" s="452" t="e">
        <f>+W668*$W$635/$W$634</f>
        <v>#REF!</v>
      </c>
      <c r="X669" s="444"/>
      <c r="Y669" s="444"/>
      <c r="Z669" s="444"/>
      <c r="AA669" s="445"/>
      <c r="AB669" s="451" t="s">
        <v>825</v>
      </c>
      <c r="AC669" s="451" t="s">
        <v>673</v>
      </c>
      <c r="AD669" s="451">
        <v>20154666.666666668</v>
      </c>
      <c r="AE669" s="451" t="s">
        <v>673</v>
      </c>
      <c r="AF669" s="520"/>
      <c r="AG669" s="823"/>
      <c r="AH669" s="731"/>
      <c r="AI669" s="731"/>
      <c r="AJ669" s="731"/>
      <c r="AK669" s="731"/>
      <c r="AL669" s="731"/>
      <c r="AM669" s="731"/>
      <c r="AN669" s="731"/>
      <c r="AO669" s="731"/>
      <c r="AP669" s="731"/>
      <c r="AQ669" s="731"/>
      <c r="AR669" s="731"/>
      <c r="AS669" s="731"/>
      <c r="AT669" s="731"/>
      <c r="AU669" s="731"/>
      <c r="AV669" s="731"/>
      <c r="AW669" s="731"/>
      <c r="AX669" s="731"/>
      <c r="AY669" s="731"/>
    </row>
    <row r="670" spans="1:51" ht="36" customHeight="1" x14ac:dyDescent="0.25">
      <c r="A670" s="829"/>
      <c r="B670" s="710"/>
      <c r="C670" s="961" t="s">
        <v>526</v>
      </c>
      <c r="D670" s="413" t="s">
        <v>340</v>
      </c>
      <c r="E670" s="190"/>
      <c r="F670" s="190"/>
      <c r="G670" s="187"/>
      <c r="H670" s="187">
        <v>1</v>
      </c>
      <c r="I670" s="187">
        <v>1</v>
      </c>
      <c r="J670" s="452">
        <v>1</v>
      </c>
      <c r="K670" s="451">
        <v>1</v>
      </c>
      <c r="L670" s="452"/>
      <c r="M670" s="470"/>
      <c r="N670" s="410"/>
      <c r="O670" s="452">
        <v>1</v>
      </c>
      <c r="P670" s="452">
        <v>2</v>
      </c>
      <c r="Q670" s="452">
        <v>2</v>
      </c>
      <c r="R670" s="442">
        <v>2</v>
      </c>
      <c r="S670" s="444"/>
      <c r="T670" s="173"/>
      <c r="U670" s="173">
        <v>1</v>
      </c>
      <c r="V670" s="173">
        <v>1</v>
      </c>
      <c r="W670" s="442">
        <v>1</v>
      </c>
      <c r="X670" s="444">
        <v>1</v>
      </c>
      <c r="Y670" s="444"/>
      <c r="Z670" s="444">
        <v>1</v>
      </c>
      <c r="AA670" s="445"/>
      <c r="AB670" s="472">
        <v>1</v>
      </c>
      <c r="AC670" s="514">
        <v>2</v>
      </c>
      <c r="AD670" s="515">
        <v>2</v>
      </c>
      <c r="AE670" s="447">
        <v>2</v>
      </c>
      <c r="AF670" s="511" t="s">
        <v>1408</v>
      </c>
      <c r="AG670" s="913" t="s">
        <v>526</v>
      </c>
      <c r="AH670" s="813" t="s">
        <v>1409</v>
      </c>
      <c r="AI670" s="813" t="s">
        <v>1410</v>
      </c>
      <c r="AJ670" s="813" t="s">
        <v>1411</v>
      </c>
      <c r="AK670" s="914" t="s">
        <v>457</v>
      </c>
      <c r="AL670" s="813" t="s">
        <v>610</v>
      </c>
      <c r="AM670" s="813" t="s">
        <v>1335</v>
      </c>
      <c r="AN670" s="910">
        <v>1080200</v>
      </c>
      <c r="AO670" s="910">
        <v>517025</v>
      </c>
      <c r="AP670" s="910">
        <v>563175</v>
      </c>
      <c r="AQ670" s="911" t="s">
        <v>459</v>
      </c>
      <c r="AR670" s="911" t="s">
        <v>459</v>
      </c>
      <c r="AS670" s="911" t="s">
        <v>459</v>
      </c>
      <c r="AT670" s="911" t="s">
        <v>459</v>
      </c>
      <c r="AU670" s="911" t="s">
        <v>459</v>
      </c>
      <c r="AV670" s="911" t="s">
        <v>459</v>
      </c>
      <c r="AW670" s="911" t="s">
        <v>459</v>
      </c>
      <c r="AX670" s="910">
        <v>1080200</v>
      </c>
      <c r="AY670" s="954" t="s">
        <v>636</v>
      </c>
    </row>
    <row r="671" spans="1:51" ht="15.75" customHeight="1" x14ac:dyDescent="0.25">
      <c r="A671" s="829"/>
      <c r="B671" s="710"/>
      <c r="C671" s="713"/>
      <c r="D671" s="404" t="s">
        <v>343</v>
      </c>
      <c r="E671" s="190"/>
      <c r="F671" s="190"/>
      <c r="G671" s="187"/>
      <c r="H671" s="187">
        <f>+H670*$H$635/$H$634</f>
        <v>17491950</v>
      </c>
      <c r="I671" s="187" t="e">
        <f>+I670*$I$635/$I$634</f>
        <v>#REF!</v>
      </c>
      <c r="J671" s="452" t="e">
        <f>+J670*$J$635/$J$634</f>
        <v>#REF!</v>
      </c>
      <c r="K671" s="451"/>
      <c r="L671" s="452"/>
      <c r="M671" s="470"/>
      <c r="N671" s="410"/>
      <c r="O671" s="452" t="e">
        <f>+O670*$O$641/$O$640</f>
        <v>#DIV/0!</v>
      </c>
      <c r="P671" s="452" t="str">
        <f ca="1">+P670*$P$641/$P$640</f>
        <v>#REF!</v>
      </c>
      <c r="Q671" s="452" t="str">
        <f ca="1">+Q670*$Q$641/$Q$640</f>
        <v>#REF!</v>
      </c>
      <c r="R671" s="452" t="str">
        <f ca="1">+R670*$R$641/$R$640</f>
        <v>#REF!</v>
      </c>
      <c r="S671" s="444"/>
      <c r="T671" s="173"/>
      <c r="U671" s="187">
        <f>+U670*$U$635/$U$634</f>
        <v>156895000</v>
      </c>
      <c r="V671" s="187" t="e">
        <f>+V670*$V$635/$V$634</f>
        <v>#REF!</v>
      </c>
      <c r="W671" s="452" t="e">
        <f>+W670*$W$635/$W$634</f>
        <v>#REF!</v>
      </c>
      <c r="X671" s="444"/>
      <c r="Y671" s="444"/>
      <c r="Z671" s="444"/>
      <c r="AA671" s="445"/>
      <c r="AB671" s="451" t="s">
        <v>673</v>
      </c>
      <c r="AC671" s="451" t="s">
        <v>673</v>
      </c>
      <c r="AD671" s="451">
        <v>20154666.666666668</v>
      </c>
      <c r="AE671" s="451" t="s">
        <v>673</v>
      </c>
      <c r="AF671" s="513"/>
      <c r="AG671" s="829"/>
      <c r="AH671" s="710"/>
      <c r="AI671" s="710"/>
      <c r="AJ671" s="710"/>
      <c r="AK671" s="710"/>
      <c r="AL671" s="710"/>
      <c r="AM671" s="710"/>
      <c r="AN671" s="710"/>
      <c r="AO671" s="710"/>
      <c r="AP671" s="710"/>
      <c r="AQ671" s="710"/>
      <c r="AR671" s="710"/>
      <c r="AS671" s="710"/>
      <c r="AT671" s="710"/>
      <c r="AU671" s="710"/>
      <c r="AV671" s="710"/>
      <c r="AW671" s="710"/>
      <c r="AX671" s="710"/>
      <c r="AY671" s="710"/>
    </row>
    <row r="672" spans="1:51" ht="15.75" customHeight="1" x14ac:dyDescent="0.25">
      <c r="A672" s="829"/>
      <c r="B672" s="710"/>
      <c r="C672" s="713"/>
      <c r="D672" s="408" t="s">
        <v>345</v>
      </c>
      <c r="E672" s="190"/>
      <c r="F672" s="190"/>
      <c r="G672" s="187"/>
      <c r="H672" s="187"/>
      <c r="I672" s="187"/>
      <c r="J672" s="452"/>
      <c r="K672" s="451"/>
      <c r="L672" s="452"/>
      <c r="M672" s="470"/>
      <c r="N672" s="410"/>
      <c r="O672" s="452"/>
      <c r="P672" s="452"/>
      <c r="Q672" s="452"/>
      <c r="R672" s="442"/>
      <c r="S672" s="444"/>
      <c r="T672" s="173"/>
      <c r="U672" s="173"/>
      <c r="V672" s="173"/>
      <c r="W672" s="442"/>
      <c r="X672" s="444"/>
      <c r="Y672" s="444"/>
      <c r="Z672" s="444"/>
      <c r="AA672" s="445"/>
      <c r="AB672" s="472"/>
      <c r="AC672" s="514"/>
      <c r="AD672" s="515"/>
      <c r="AE672" s="447"/>
      <c r="AF672" s="513"/>
      <c r="AG672" s="829"/>
      <c r="AH672" s="710"/>
      <c r="AI672" s="710"/>
      <c r="AJ672" s="710"/>
      <c r="AK672" s="710"/>
      <c r="AL672" s="710"/>
      <c r="AM672" s="710"/>
      <c r="AN672" s="710"/>
      <c r="AO672" s="710"/>
      <c r="AP672" s="710"/>
      <c r="AQ672" s="710"/>
      <c r="AR672" s="710"/>
      <c r="AS672" s="710"/>
      <c r="AT672" s="710"/>
      <c r="AU672" s="710"/>
      <c r="AV672" s="710"/>
      <c r="AW672" s="710"/>
      <c r="AX672" s="710"/>
      <c r="AY672" s="710"/>
    </row>
    <row r="673" spans="1:51" ht="28.5" customHeight="1" x14ac:dyDescent="0.25">
      <c r="A673" s="829"/>
      <c r="B673" s="710"/>
      <c r="C673" s="713"/>
      <c r="D673" s="404" t="s">
        <v>346</v>
      </c>
      <c r="E673" s="190"/>
      <c r="F673" s="190"/>
      <c r="G673" s="187"/>
      <c r="H673" s="173">
        <f>+$U$637/2</f>
        <v>15437116.5</v>
      </c>
      <c r="I673" s="187"/>
      <c r="J673" s="452"/>
      <c r="K673" s="451"/>
      <c r="L673" s="452"/>
      <c r="M673" s="470"/>
      <c r="N673" s="410"/>
      <c r="O673" s="452"/>
      <c r="P673" s="452"/>
      <c r="Q673" s="452"/>
      <c r="R673" s="442"/>
      <c r="S673" s="444"/>
      <c r="T673" s="173"/>
      <c r="U673" s="173">
        <f>+$U$637/2</f>
        <v>15437116.5</v>
      </c>
      <c r="V673" s="173"/>
      <c r="W673" s="442"/>
      <c r="X673" s="444"/>
      <c r="Y673" s="444"/>
      <c r="Z673" s="444"/>
      <c r="AA673" s="445"/>
      <c r="AB673" s="472"/>
      <c r="AC673" s="514"/>
      <c r="AD673" s="515"/>
      <c r="AE673" s="447"/>
      <c r="AF673" s="522"/>
      <c r="AG673" s="829"/>
      <c r="AH673" s="710"/>
      <c r="AI673" s="710"/>
      <c r="AJ673" s="710"/>
      <c r="AK673" s="710"/>
      <c r="AL673" s="710"/>
      <c r="AM673" s="710"/>
      <c r="AN673" s="710"/>
      <c r="AO673" s="710"/>
      <c r="AP673" s="710"/>
      <c r="AQ673" s="710"/>
      <c r="AR673" s="710"/>
      <c r="AS673" s="710"/>
      <c r="AT673" s="710"/>
      <c r="AU673" s="710"/>
      <c r="AV673" s="710"/>
      <c r="AW673" s="710"/>
      <c r="AX673" s="710"/>
      <c r="AY673" s="710"/>
    </row>
    <row r="674" spans="1:51" ht="15.75" customHeight="1" x14ac:dyDescent="0.25">
      <c r="A674" s="829"/>
      <c r="B674" s="710"/>
      <c r="C674" s="713"/>
      <c r="D674" s="408" t="s">
        <v>347</v>
      </c>
      <c r="E674" s="190"/>
      <c r="F674" s="190"/>
      <c r="G674" s="187"/>
      <c r="H674" s="187">
        <v>1</v>
      </c>
      <c r="I674" s="187">
        <v>1</v>
      </c>
      <c r="J674" s="452">
        <v>1</v>
      </c>
      <c r="K674" s="451">
        <v>1</v>
      </c>
      <c r="L674" s="452"/>
      <c r="M674" s="470"/>
      <c r="N674" s="410"/>
      <c r="O674" s="452">
        <f>+O670</f>
        <v>1</v>
      </c>
      <c r="P674" s="452">
        <v>2</v>
      </c>
      <c r="Q674" s="452">
        <v>2</v>
      </c>
      <c r="R674" s="442">
        <v>2</v>
      </c>
      <c r="S674" s="444"/>
      <c r="T674" s="173"/>
      <c r="U674" s="173">
        <v>1</v>
      </c>
      <c r="V674" s="173">
        <v>1</v>
      </c>
      <c r="W674" s="442">
        <v>1</v>
      </c>
      <c r="X674" s="444">
        <v>1</v>
      </c>
      <c r="Y674" s="444"/>
      <c r="Z674" s="444">
        <v>1</v>
      </c>
      <c r="AA674" s="445"/>
      <c r="AB674" s="472">
        <v>1</v>
      </c>
      <c r="AC674" s="514">
        <v>2</v>
      </c>
      <c r="AD674" s="515">
        <v>2</v>
      </c>
      <c r="AE674" s="447">
        <v>2</v>
      </c>
      <c r="AF674" s="444" t="s">
        <v>1412</v>
      </c>
      <c r="AG674" s="829"/>
      <c r="AH674" s="710"/>
      <c r="AI674" s="710"/>
      <c r="AJ674" s="710"/>
      <c r="AK674" s="710"/>
      <c r="AL674" s="710"/>
      <c r="AM674" s="710"/>
      <c r="AN674" s="710"/>
      <c r="AO674" s="710"/>
      <c r="AP674" s="710"/>
      <c r="AQ674" s="710"/>
      <c r="AR674" s="710"/>
      <c r="AS674" s="710"/>
      <c r="AT674" s="710"/>
      <c r="AU674" s="710"/>
      <c r="AV674" s="710"/>
      <c r="AW674" s="710"/>
      <c r="AX674" s="710"/>
      <c r="AY674" s="710"/>
    </row>
    <row r="675" spans="1:51" ht="15.75" customHeight="1" x14ac:dyDescent="0.25">
      <c r="A675" s="829"/>
      <c r="B675" s="710"/>
      <c r="C675" s="830"/>
      <c r="D675" s="412" t="s">
        <v>348</v>
      </c>
      <c r="E675" s="190"/>
      <c r="F675" s="190"/>
      <c r="G675" s="187"/>
      <c r="H675" s="187">
        <f>+H674*$H$635/$H$634</f>
        <v>17491950</v>
      </c>
      <c r="I675" s="187" t="e">
        <f>+I674*$I$635/$I$634</f>
        <v>#REF!</v>
      </c>
      <c r="J675" s="452" t="e">
        <f>+J674*$J$635/$J$634</f>
        <v>#REF!</v>
      </c>
      <c r="K675" s="451"/>
      <c r="L675" s="452"/>
      <c r="M675" s="470"/>
      <c r="N675" s="410"/>
      <c r="O675" s="452" t="e">
        <f>+O671</f>
        <v>#DIV/0!</v>
      </c>
      <c r="P675" s="452" t="str">
        <f ca="1">+P674*$P$641/$P$640</f>
        <v>#REF!</v>
      </c>
      <c r="Q675" s="452" t="str">
        <f ca="1">+Q674*$Q$641/$Q$640</f>
        <v>#REF!</v>
      </c>
      <c r="R675" s="452" t="str">
        <f ca="1">+R674*$R$641/$R$640</f>
        <v>#REF!</v>
      </c>
      <c r="S675" s="444"/>
      <c r="T675" s="173"/>
      <c r="U675" s="187">
        <f>+U674*$U$635/$U$634</f>
        <v>156895000</v>
      </c>
      <c r="V675" s="187" t="e">
        <f>+V674*$V$635/$V$634</f>
        <v>#REF!</v>
      </c>
      <c r="W675" s="452" t="e">
        <f>+W674*$W$635/$W$634</f>
        <v>#REF!</v>
      </c>
      <c r="X675" s="444"/>
      <c r="Y675" s="444"/>
      <c r="Z675" s="444"/>
      <c r="AA675" s="445"/>
      <c r="AB675" s="472" t="s">
        <v>673</v>
      </c>
      <c r="AC675" s="451" t="s">
        <v>673</v>
      </c>
      <c r="AD675" s="451">
        <v>20154666.666666668</v>
      </c>
      <c r="AE675" s="451" t="s">
        <v>673</v>
      </c>
      <c r="AF675" s="521"/>
      <c r="AG675" s="823"/>
      <c r="AH675" s="731"/>
      <c r="AI675" s="731"/>
      <c r="AJ675" s="731"/>
      <c r="AK675" s="731"/>
      <c r="AL675" s="731"/>
      <c r="AM675" s="731"/>
      <c r="AN675" s="731"/>
      <c r="AO675" s="731"/>
      <c r="AP675" s="731"/>
      <c r="AQ675" s="731"/>
      <c r="AR675" s="731"/>
      <c r="AS675" s="731"/>
      <c r="AT675" s="731"/>
      <c r="AU675" s="731"/>
      <c r="AV675" s="731"/>
      <c r="AW675" s="731"/>
      <c r="AX675" s="731"/>
      <c r="AY675" s="731"/>
    </row>
    <row r="676" spans="1:51" ht="18" customHeight="1" x14ac:dyDescent="0.25">
      <c r="A676" s="829"/>
      <c r="B676" s="710"/>
      <c r="C676" s="914" t="s">
        <v>511</v>
      </c>
      <c r="D676" s="413" t="s">
        <v>340</v>
      </c>
      <c r="E676" s="179"/>
      <c r="F676" s="180"/>
      <c r="G676" s="174">
        <v>19</v>
      </c>
      <c r="H676" s="174">
        <v>18</v>
      </c>
      <c r="I676" s="174">
        <v>17</v>
      </c>
      <c r="J676" s="452">
        <v>15</v>
      </c>
      <c r="K676" s="409">
        <v>13</v>
      </c>
      <c r="L676" s="410"/>
      <c r="M676" s="410"/>
      <c r="N676" s="410"/>
      <c r="O676" s="410">
        <v>6</v>
      </c>
      <c r="P676" s="410">
        <v>2</v>
      </c>
      <c r="Q676" s="410">
        <v>1</v>
      </c>
      <c r="R676" s="416">
        <v>0</v>
      </c>
      <c r="S676" s="411"/>
      <c r="T676" s="167"/>
      <c r="U676" s="167"/>
      <c r="V676" s="167"/>
      <c r="W676" s="415"/>
      <c r="X676" s="411"/>
      <c r="Y676" s="411"/>
      <c r="Z676" s="411"/>
      <c r="AA676" s="433"/>
      <c r="AB676" s="419">
        <v>1</v>
      </c>
      <c r="AC676" s="401"/>
      <c r="AD676" s="431"/>
      <c r="AE676" s="411"/>
      <c r="AF676" s="467"/>
      <c r="AG676" s="919" t="s">
        <v>456</v>
      </c>
      <c r="AH676" s="813" t="s">
        <v>178</v>
      </c>
      <c r="AI676" s="813" t="s">
        <v>178</v>
      </c>
      <c r="AJ676" s="813" t="s">
        <v>178</v>
      </c>
      <c r="AK676" s="813" t="s">
        <v>457</v>
      </c>
      <c r="AL676" s="813"/>
      <c r="AM676" s="813" t="s">
        <v>1335</v>
      </c>
      <c r="AN676" s="910">
        <v>7804660</v>
      </c>
      <c r="AO676" s="910">
        <v>3721767</v>
      </c>
      <c r="AP676" s="910">
        <v>4082893</v>
      </c>
      <c r="AQ676" s="911" t="s">
        <v>459</v>
      </c>
      <c r="AR676" s="911" t="s">
        <v>459</v>
      </c>
      <c r="AS676" s="911" t="s">
        <v>459</v>
      </c>
      <c r="AT676" s="911" t="s">
        <v>459</v>
      </c>
      <c r="AU676" s="911" t="s">
        <v>459</v>
      </c>
      <c r="AV676" s="911" t="s">
        <v>459</v>
      </c>
      <c r="AW676" s="911" t="s">
        <v>459</v>
      </c>
      <c r="AX676" s="910">
        <v>7804660</v>
      </c>
      <c r="AY676" s="954" t="s">
        <v>636</v>
      </c>
    </row>
    <row r="677" spans="1:51" ht="15.75" customHeight="1" x14ac:dyDescent="0.25">
      <c r="A677" s="829"/>
      <c r="B677" s="710"/>
      <c r="C677" s="710"/>
      <c r="D677" s="404" t="s">
        <v>343</v>
      </c>
      <c r="E677" s="179"/>
      <c r="F677" s="180"/>
      <c r="G677" s="173">
        <f>+G676*$G$635/$G$634</f>
        <v>332347050</v>
      </c>
      <c r="H677" s="187">
        <f>+H676*$H$635/$H$634</f>
        <v>314855100</v>
      </c>
      <c r="I677" s="187" t="e">
        <f>+I676*$I$635/$I$634</f>
        <v>#REF!</v>
      </c>
      <c r="J677" s="452" t="e">
        <f>+J676*$J$635/$J$634</f>
        <v>#REF!</v>
      </c>
      <c r="K677" s="409"/>
      <c r="L677" s="410"/>
      <c r="M677" s="410"/>
      <c r="N677" s="410"/>
      <c r="O677" s="452">
        <f>+O676*$O$635/$O$634</f>
        <v>62973000</v>
      </c>
      <c r="P677" s="452">
        <f>+P676*$P$635/$P$634</f>
        <v>20991000</v>
      </c>
      <c r="Q677" s="452">
        <f>+Q676*$Q$635/$Q$634</f>
        <v>10962400</v>
      </c>
      <c r="R677" s="452">
        <f>+R676*$R$635/$R$634</f>
        <v>0</v>
      </c>
      <c r="S677" s="411"/>
      <c r="T677" s="167"/>
      <c r="U677" s="167"/>
      <c r="V677" s="167"/>
      <c r="W677" s="415"/>
      <c r="X677" s="411"/>
      <c r="Y677" s="411"/>
      <c r="Z677" s="411"/>
      <c r="AA677" s="433"/>
      <c r="AB677" s="419"/>
      <c r="AC677" s="401"/>
      <c r="AD677" s="431"/>
      <c r="AE677" s="411"/>
      <c r="AF677" s="467"/>
      <c r="AG677" s="829"/>
      <c r="AH677" s="710"/>
      <c r="AI677" s="710"/>
      <c r="AJ677" s="710"/>
      <c r="AK677" s="710"/>
      <c r="AL677" s="710"/>
      <c r="AM677" s="710"/>
      <c r="AN677" s="710"/>
      <c r="AO677" s="710"/>
      <c r="AP677" s="710"/>
      <c r="AQ677" s="710"/>
      <c r="AR677" s="710"/>
      <c r="AS677" s="710"/>
      <c r="AT677" s="710"/>
      <c r="AU677" s="710"/>
      <c r="AV677" s="710"/>
      <c r="AW677" s="710"/>
      <c r="AX677" s="710"/>
      <c r="AY677" s="710"/>
    </row>
    <row r="678" spans="1:51" ht="15.75" customHeight="1" x14ac:dyDescent="0.25">
      <c r="A678" s="829"/>
      <c r="B678" s="710"/>
      <c r="C678" s="710"/>
      <c r="D678" s="408" t="s">
        <v>345</v>
      </c>
      <c r="E678" s="179"/>
      <c r="F678" s="180"/>
      <c r="G678" s="174"/>
      <c r="H678" s="174"/>
      <c r="I678" s="174"/>
      <c r="J678" s="410"/>
      <c r="K678" s="409"/>
      <c r="L678" s="410"/>
      <c r="M678" s="410"/>
      <c r="N678" s="410"/>
      <c r="O678" s="410"/>
      <c r="P678" s="410"/>
      <c r="Q678" s="410"/>
      <c r="R678" s="416"/>
      <c r="S678" s="411"/>
      <c r="T678" s="167"/>
      <c r="U678" s="167"/>
      <c r="V678" s="167"/>
      <c r="W678" s="415"/>
      <c r="X678" s="411"/>
      <c r="Y678" s="411"/>
      <c r="Z678" s="411"/>
      <c r="AA678" s="433"/>
      <c r="AB678" s="419"/>
      <c r="AC678" s="401"/>
      <c r="AD678" s="431"/>
      <c r="AE678" s="411"/>
      <c r="AF678" s="467"/>
      <c r="AG678" s="829"/>
      <c r="AH678" s="710"/>
      <c r="AI678" s="710"/>
      <c r="AJ678" s="710"/>
      <c r="AK678" s="710"/>
      <c r="AL678" s="710"/>
      <c r="AM678" s="710"/>
      <c r="AN678" s="710"/>
      <c r="AO678" s="710"/>
      <c r="AP678" s="710"/>
      <c r="AQ678" s="710"/>
      <c r="AR678" s="710"/>
      <c r="AS678" s="710"/>
      <c r="AT678" s="710"/>
      <c r="AU678" s="710"/>
      <c r="AV678" s="710"/>
      <c r="AW678" s="710"/>
      <c r="AX678" s="710"/>
      <c r="AY678" s="710"/>
    </row>
    <row r="679" spans="1:51" ht="28.5" customHeight="1" x14ac:dyDescent="0.25">
      <c r="A679" s="829"/>
      <c r="B679" s="710"/>
      <c r="C679" s="710"/>
      <c r="D679" s="404" t="s">
        <v>346</v>
      </c>
      <c r="E679" s="179"/>
      <c r="F679" s="180"/>
      <c r="G679" s="174"/>
      <c r="H679" s="174"/>
      <c r="I679" s="174"/>
      <c r="J679" s="410"/>
      <c r="K679" s="409"/>
      <c r="L679" s="410"/>
      <c r="M679" s="410"/>
      <c r="N679" s="410"/>
      <c r="O679" s="410"/>
      <c r="P679" s="410"/>
      <c r="Q679" s="410"/>
      <c r="R679" s="416"/>
      <c r="S679" s="411"/>
      <c r="T679" s="167"/>
      <c r="U679" s="167"/>
      <c r="V679" s="167"/>
      <c r="W679" s="415"/>
      <c r="X679" s="411"/>
      <c r="Y679" s="411"/>
      <c r="Z679" s="411"/>
      <c r="AA679" s="433"/>
      <c r="AB679" s="419"/>
      <c r="AC679" s="401"/>
      <c r="AD679" s="431"/>
      <c r="AE679" s="411"/>
      <c r="AF679" s="467"/>
      <c r="AG679" s="829"/>
      <c r="AH679" s="710"/>
      <c r="AI679" s="710"/>
      <c r="AJ679" s="710"/>
      <c r="AK679" s="710"/>
      <c r="AL679" s="710"/>
      <c r="AM679" s="710"/>
      <c r="AN679" s="710"/>
      <c r="AO679" s="710"/>
      <c r="AP679" s="710"/>
      <c r="AQ679" s="710"/>
      <c r="AR679" s="710"/>
      <c r="AS679" s="710"/>
      <c r="AT679" s="710"/>
      <c r="AU679" s="710"/>
      <c r="AV679" s="710"/>
      <c r="AW679" s="710"/>
      <c r="AX679" s="710"/>
      <c r="AY679" s="710"/>
    </row>
    <row r="680" spans="1:51" ht="15.75" customHeight="1" x14ac:dyDescent="0.25">
      <c r="A680" s="829"/>
      <c r="B680" s="710"/>
      <c r="C680" s="710"/>
      <c r="D680" s="408" t="s">
        <v>347</v>
      </c>
      <c r="E680" s="179"/>
      <c r="F680" s="180"/>
      <c r="G680" s="174">
        <v>19</v>
      </c>
      <c r="H680" s="174">
        <v>18</v>
      </c>
      <c r="I680" s="174">
        <v>17</v>
      </c>
      <c r="J680" s="410">
        <v>15</v>
      </c>
      <c r="K680" s="409"/>
      <c r="L680" s="410"/>
      <c r="M680" s="410"/>
      <c r="N680" s="410"/>
      <c r="O680" s="410">
        <v>6</v>
      </c>
      <c r="P680" s="410">
        <v>2</v>
      </c>
      <c r="Q680" s="410">
        <v>1</v>
      </c>
      <c r="R680" s="416">
        <v>0</v>
      </c>
      <c r="S680" s="411"/>
      <c r="T680" s="167"/>
      <c r="U680" s="167"/>
      <c r="V680" s="167"/>
      <c r="W680" s="415"/>
      <c r="X680" s="411"/>
      <c r="Y680" s="411"/>
      <c r="Z680" s="411"/>
      <c r="AA680" s="433"/>
      <c r="AB680" s="428">
        <f>+AB674</f>
        <v>1</v>
      </c>
      <c r="AC680" s="401"/>
      <c r="AD680" s="431"/>
      <c r="AE680" s="411"/>
      <c r="AF680" s="467"/>
      <c r="AG680" s="829"/>
      <c r="AH680" s="710"/>
      <c r="AI680" s="710"/>
      <c r="AJ680" s="710"/>
      <c r="AK680" s="710"/>
      <c r="AL680" s="710"/>
      <c r="AM680" s="710"/>
      <c r="AN680" s="710"/>
      <c r="AO680" s="710"/>
      <c r="AP680" s="710"/>
      <c r="AQ680" s="710"/>
      <c r="AR680" s="710"/>
      <c r="AS680" s="710"/>
      <c r="AT680" s="710"/>
      <c r="AU680" s="710"/>
      <c r="AV680" s="710"/>
      <c r="AW680" s="710"/>
      <c r="AX680" s="710"/>
      <c r="AY680" s="710"/>
    </row>
    <row r="681" spans="1:51" ht="15.75" customHeight="1" x14ac:dyDescent="0.25">
      <c r="A681" s="829"/>
      <c r="B681" s="710"/>
      <c r="C681" s="731"/>
      <c r="D681" s="412" t="s">
        <v>348</v>
      </c>
      <c r="E681" s="179"/>
      <c r="F681" s="180"/>
      <c r="G681" s="173">
        <f>+G680*$G$635/$G$634</f>
        <v>332347050</v>
      </c>
      <c r="H681" s="187">
        <f>+H680*$H$635/$H$634</f>
        <v>314855100</v>
      </c>
      <c r="I681" s="187" t="e">
        <f>+I680*$I$635/$I$634</f>
        <v>#REF!</v>
      </c>
      <c r="J681" s="452" t="e">
        <f>+J680*$J$635/$J$634</f>
        <v>#REF!</v>
      </c>
      <c r="K681" s="409"/>
      <c r="L681" s="410"/>
      <c r="M681" s="410"/>
      <c r="N681" s="410"/>
      <c r="O681" s="410">
        <f>+O677</f>
        <v>62973000</v>
      </c>
      <c r="P681" s="452">
        <f>+P680*$P$635/$P$634</f>
        <v>20991000</v>
      </c>
      <c r="Q681" s="452">
        <f>+Q680*$Q$635/$Q$634</f>
        <v>10962400</v>
      </c>
      <c r="R681" s="452">
        <f>+R680*$R$635/$R$634</f>
        <v>0</v>
      </c>
      <c r="S681" s="411"/>
      <c r="T681" s="167"/>
      <c r="U681" s="167"/>
      <c r="V681" s="167"/>
      <c r="W681" s="415"/>
      <c r="X681" s="411"/>
      <c r="Y681" s="411"/>
      <c r="Z681" s="411"/>
      <c r="AA681" s="433"/>
      <c r="AB681" s="428" t="str">
        <f>+AB675</f>
        <v>#REF!</v>
      </c>
      <c r="AC681" s="401"/>
      <c r="AD681" s="431"/>
      <c r="AE681" s="411"/>
      <c r="AF681" s="467"/>
      <c r="AG681" s="823"/>
      <c r="AH681" s="731"/>
      <c r="AI681" s="731"/>
      <c r="AJ681" s="731"/>
      <c r="AK681" s="731"/>
      <c r="AL681" s="731"/>
      <c r="AM681" s="731"/>
      <c r="AN681" s="731"/>
      <c r="AO681" s="731"/>
      <c r="AP681" s="731"/>
      <c r="AQ681" s="731"/>
      <c r="AR681" s="731"/>
      <c r="AS681" s="731"/>
      <c r="AT681" s="731"/>
      <c r="AU681" s="731"/>
      <c r="AV681" s="731"/>
      <c r="AW681" s="731"/>
      <c r="AX681" s="731"/>
      <c r="AY681" s="731"/>
    </row>
    <row r="682" spans="1:51" ht="18" customHeight="1" x14ac:dyDescent="0.25">
      <c r="A682" s="829"/>
      <c r="B682" s="710"/>
      <c r="C682" s="914" t="s">
        <v>512</v>
      </c>
      <c r="D682" s="413" t="s">
        <v>340</v>
      </c>
      <c r="E682" s="190">
        <f t="shared" ref="E682:F687" si="63">+E634</f>
        <v>20</v>
      </c>
      <c r="F682" s="190">
        <f t="shared" si="63"/>
        <v>20</v>
      </c>
      <c r="G682" s="178">
        <f t="shared" ref="G682:G687" si="64">+G658+G676</f>
        <v>20</v>
      </c>
      <c r="H682" s="178">
        <f t="shared" ref="H682:H687" si="65">+H658+H670+H676</f>
        <v>20</v>
      </c>
      <c r="I682" s="178">
        <f t="shared" ref="I682:I687" si="66">+I658+I664+I670+I676</f>
        <v>20</v>
      </c>
      <c r="J682" s="410">
        <f t="shared" ref="J682:K687" si="67">+J640+J658+J664+J670+J676</f>
        <v>20</v>
      </c>
      <c r="K682" s="474">
        <f t="shared" si="67"/>
        <v>20</v>
      </c>
      <c r="L682" s="470"/>
      <c r="M682" s="470">
        <f t="shared" ref="M682:N687" si="68">+M634</f>
        <v>20</v>
      </c>
      <c r="N682" s="410">
        <f t="shared" si="68"/>
        <v>10</v>
      </c>
      <c r="O682" s="410">
        <f t="shared" ref="O682:O687" si="69">+O652+O658+O664+O670+O676</f>
        <v>10</v>
      </c>
      <c r="P682" s="410">
        <f t="shared" ref="P682:P687" si="70">+P640+P652+P658+P664+P670+P676</f>
        <v>10</v>
      </c>
      <c r="Q682" s="410">
        <f t="shared" ref="Q682:Q687" si="71">+Q640+Q646+Q652+Q658+Q664+Q670+Q676</f>
        <v>10</v>
      </c>
      <c r="R682" s="416">
        <v>10</v>
      </c>
      <c r="S682" s="411"/>
      <c r="T682" s="178">
        <f t="shared" ref="T682:T687" si="72">+T658+T676</f>
        <v>1</v>
      </c>
      <c r="U682" s="166">
        <f t="shared" ref="U682:U687" si="73">+U658+U670</f>
        <v>2</v>
      </c>
      <c r="V682" s="178">
        <f t="shared" ref="V682:V687" si="74">+V658+V664+V670+V676</f>
        <v>3</v>
      </c>
      <c r="W682" s="410">
        <f t="shared" ref="W682:W687" si="75">W640+W658+W664+W670</f>
        <v>5</v>
      </c>
      <c r="X682" s="474">
        <f t="shared" ref="X682:X687" si="76">+X640+X658+X664+X670+X676</f>
        <v>7</v>
      </c>
      <c r="Y682" s="411"/>
      <c r="Z682" s="169">
        <f t="shared" ref="Z682:AA687" si="77">+Z634</f>
        <v>2</v>
      </c>
      <c r="AA682" s="420">
        <f t="shared" si="77"/>
        <v>4</v>
      </c>
      <c r="AB682" s="428">
        <f>+AB652+AB658+AB664+AB670+AB676</f>
        <v>6</v>
      </c>
      <c r="AC682" s="409">
        <f t="shared" ref="AC682:AC687" si="78">+AC640+AC652+AC658+AC664+AC670+AC676</f>
        <v>8</v>
      </c>
      <c r="AD682" s="409">
        <f t="shared" ref="AD682:AE687" si="79">+AD640+AD646+AD652+AD658+AD664+AD670+AD676</f>
        <v>20154675.666666668</v>
      </c>
      <c r="AE682" s="409" t="e">
        <f t="shared" si="79"/>
        <v>#VALUE!</v>
      </c>
      <c r="AF682" s="467"/>
      <c r="AG682" s="919" t="s">
        <v>456</v>
      </c>
      <c r="AH682" s="813" t="s">
        <v>178</v>
      </c>
      <c r="AI682" s="813" t="s">
        <v>178</v>
      </c>
      <c r="AJ682" s="813" t="s">
        <v>178</v>
      </c>
      <c r="AK682" s="914" t="s">
        <v>457</v>
      </c>
      <c r="AL682" s="813"/>
      <c r="AM682" s="813" t="s">
        <v>1335</v>
      </c>
      <c r="AN682" s="910">
        <v>7804660</v>
      </c>
      <c r="AO682" s="910">
        <v>3721767</v>
      </c>
      <c r="AP682" s="910">
        <v>4082893</v>
      </c>
      <c r="AQ682" s="911" t="s">
        <v>459</v>
      </c>
      <c r="AR682" s="911" t="s">
        <v>459</v>
      </c>
      <c r="AS682" s="911" t="s">
        <v>459</v>
      </c>
      <c r="AT682" s="911" t="s">
        <v>459</v>
      </c>
      <c r="AU682" s="911" t="s">
        <v>459</v>
      </c>
      <c r="AV682" s="911" t="s">
        <v>459</v>
      </c>
      <c r="AW682" s="911" t="s">
        <v>459</v>
      </c>
      <c r="AX682" s="910">
        <v>7804660</v>
      </c>
      <c r="AY682" s="954" t="s">
        <v>636</v>
      </c>
    </row>
    <row r="683" spans="1:51" ht="15.75" customHeight="1" x14ac:dyDescent="0.25">
      <c r="A683" s="829"/>
      <c r="B683" s="710"/>
      <c r="C683" s="710"/>
      <c r="D683" s="404" t="s">
        <v>343</v>
      </c>
      <c r="E683" s="190">
        <f t="shared" si="63"/>
        <v>349839000</v>
      </c>
      <c r="F683" s="190">
        <f t="shared" si="63"/>
        <v>349839000</v>
      </c>
      <c r="G683" s="178">
        <f t="shared" si="64"/>
        <v>349839000</v>
      </c>
      <c r="H683" s="178">
        <f t="shared" si="65"/>
        <v>349839000</v>
      </c>
      <c r="I683" s="178" t="e">
        <f t="shared" si="66"/>
        <v>#REF!</v>
      </c>
      <c r="J683" s="410" t="e">
        <f t="shared" si="67"/>
        <v>#REF!</v>
      </c>
      <c r="K683" s="474">
        <f t="shared" si="67"/>
        <v>0</v>
      </c>
      <c r="L683" s="470"/>
      <c r="M683" s="470">
        <f t="shared" si="68"/>
        <v>349839000</v>
      </c>
      <c r="N683" s="410">
        <f t="shared" si="68"/>
        <v>104955000</v>
      </c>
      <c r="O683" s="410" t="e">
        <f t="shared" si="69"/>
        <v>#DIV/0!</v>
      </c>
      <c r="P683" s="410" t="str">
        <f t="shared" ca="1" si="70"/>
        <v>#REF!</v>
      </c>
      <c r="Q683" s="410" t="str">
        <f t="shared" ca="1" si="71"/>
        <v>#REF!</v>
      </c>
      <c r="R683" s="452">
        <f>+R682*$R$635/$R$634</f>
        <v>109624000</v>
      </c>
      <c r="S683" s="411"/>
      <c r="T683" s="178">
        <f t="shared" si="72"/>
        <v>0</v>
      </c>
      <c r="U683" s="166">
        <f t="shared" si="73"/>
        <v>313790000</v>
      </c>
      <c r="V683" s="178" t="e">
        <f t="shared" si="74"/>
        <v>#REF!</v>
      </c>
      <c r="W683" s="410" t="e">
        <f t="shared" si="75"/>
        <v>#REF!</v>
      </c>
      <c r="X683" s="474">
        <f t="shared" si="76"/>
        <v>0</v>
      </c>
      <c r="Y683" s="411"/>
      <c r="Z683" s="169">
        <f t="shared" si="77"/>
        <v>0</v>
      </c>
      <c r="AA683" s="420">
        <f t="shared" si="77"/>
        <v>90696000</v>
      </c>
      <c r="AB683" s="428" t="e">
        <f>+AB653+AB659+AB665+AB671+AB675</f>
        <v>#VALUE!</v>
      </c>
      <c r="AC683" s="409" t="e">
        <f t="shared" si="78"/>
        <v>#VALUE!</v>
      </c>
      <c r="AD683" s="409" t="e">
        <f t="shared" si="79"/>
        <v>#VALUE!</v>
      </c>
      <c r="AE683" s="409" t="e">
        <f t="shared" si="79"/>
        <v>#VALUE!</v>
      </c>
      <c r="AF683" s="467"/>
      <c r="AG683" s="829"/>
      <c r="AH683" s="710"/>
      <c r="AI683" s="710"/>
      <c r="AJ683" s="710"/>
      <c r="AK683" s="710"/>
      <c r="AL683" s="710"/>
      <c r="AM683" s="710"/>
      <c r="AN683" s="710"/>
      <c r="AO683" s="710"/>
      <c r="AP683" s="710"/>
      <c r="AQ683" s="710"/>
      <c r="AR683" s="710"/>
      <c r="AS683" s="710"/>
      <c r="AT683" s="710"/>
      <c r="AU683" s="710"/>
      <c r="AV683" s="710"/>
      <c r="AW683" s="710"/>
      <c r="AX683" s="710"/>
      <c r="AY683" s="710"/>
    </row>
    <row r="684" spans="1:51" ht="15.75" customHeight="1" x14ac:dyDescent="0.25">
      <c r="A684" s="829"/>
      <c r="B684" s="710"/>
      <c r="C684" s="710"/>
      <c r="D684" s="408" t="s">
        <v>345</v>
      </c>
      <c r="E684" s="190" t="str">
        <f t="shared" si="63"/>
        <v>#REF!</v>
      </c>
      <c r="F684" s="190" t="str">
        <f t="shared" si="63"/>
        <v>#REF!</v>
      </c>
      <c r="G684" s="178">
        <f t="shared" si="64"/>
        <v>0</v>
      </c>
      <c r="H684" s="178">
        <f t="shared" si="65"/>
        <v>0</v>
      </c>
      <c r="I684" s="178">
        <f t="shared" si="66"/>
        <v>0</v>
      </c>
      <c r="J684" s="410">
        <f t="shared" si="67"/>
        <v>0</v>
      </c>
      <c r="K684" s="474">
        <f t="shared" si="67"/>
        <v>0</v>
      </c>
      <c r="L684" s="470"/>
      <c r="M684" s="470" t="str">
        <f t="shared" si="68"/>
        <v>#REF!</v>
      </c>
      <c r="N684" s="410">
        <f t="shared" si="68"/>
        <v>0</v>
      </c>
      <c r="O684" s="410">
        <f t="shared" si="69"/>
        <v>0</v>
      </c>
      <c r="P684" s="410">
        <f t="shared" si="70"/>
        <v>0</v>
      </c>
      <c r="Q684" s="410">
        <f t="shared" si="71"/>
        <v>0</v>
      </c>
      <c r="R684" s="416"/>
      <c r="S684" s="411"/>
      <c r="T684" s="178">
        <f t="shared" si="72"/>
        <v>0</v>
      </c>
      <c r="U684" s="166">
        <f t="shared" si="73"/>
        <v>0</v>
      </c>
      <c r="V684" s="178">
        <f t="shared" si="74"/>
        <v>0</v>
      </c>
      <c r="W684" s="410">
        <f t="shared" si="75"/>
        <v>0</v>
      </c>
      <c r="X684" s="474">
        <f t="shared" si="76"/>
        <v>0</v>
      </c>
      <c r="Y684" s="411"/>
      <c r="Z684" s="169">
        <f t="shared" si="77"/>
        <v>0</v>
      </c>
      <c r="AA684" s="420">
        <f t="shared" si="77"/>
        <v>0</v>
      </c>
      <c r="AB684" s="428">
        <f>+AB654+AB660+AB666+AB672+AB676</f>
        <v>1</v>
      </c>
      <c r="AC684" s="409" t="e">
        <f t="shared" si="78"/>
        <v>#VALUE!</v>
      </c>
      <c r="AD684" s="409">
        <f t="shared" si="79"/>
        <v>20154666.666666668</v>
      </c>
      <c r="AE684" s="409" t="e">
        <f t="shared" si="79"/>
        <v>#VALUE!</v>
      </c>
      <c r="AF684" s="467"/>
      <c r="AG684" s="829"/>
      <c r="AH684" s="710"/>
      <c r="AI684" s="710"/>
      <c r="AJ684" s="710"/>
      <c r="AK684" s="710"/>
      <c r="AL684" s="710"/>
      <c r="AM684" s="710"/>
      <c r="AN684" s="710"/>
      <c r="AO684" s="710"/>
      <c r="AP684" s="710"/>
      <c r="AQ684" s="710"/>
      <c r="AR684" s="710"/>
      <c r="AS684" s="710"/>
      <c r="AT684" s="710"/>
      <c r="AU684" s="710"/>
      <c r="AV684" s="710"/>
      <c r="AW684" s="710"/>
      <c r="AX684" s="710"/>
      <c r="AY684" s="710"/>
    </row>
    <row r="685" spans="1:51" ht="28.5" customHeight="1" x14ac:dyDescent="0.25">
      <c r="A685" s="829"/>
      <c r="B685" s="710"/>
      <c r="C685" s="710"/>
      <c r="D685" s="404" t="s">
        <v>346</v>
      </c>
      <c r="E685" s="190">
        <f t="shared" si="63"/>
        <v>30874233</v>
      </c>
      <c r="F685" s="190">
        <f t="shared" si="63"/>
        <v>30874233</v>
      </c>
      <c r="G685" s="178">
        <f t="shared" si="64"/>
        <v>0</v>
      </c>
      <c r="H685" s="178">
        <f t="shared" si="65"/>
        <v>30874233</v>
      </c>
      <c r="I685" s="178">
        <f t="shared" si="66"/>
        <v>0</v>
      </c>
      <c r="J685" s="410">
        <f t="shared" si="67"/>
        <v>0</v>
      </c>
      <c r="K685" s="474">
        <f t="shared" si="67"/>
        <v>0</v>
      </c>
      <c r="L685" s="470"/>
      <c r="M685" s="470">
        <f t="shared" si="68"/>
        <v>30874233</v>
      </c>
      <c r="N685" s="410">
        <f t="shared" si="68"/>
        <v>0</v>
      </c>
      <c r="O685" s="410">
        <f t="shared" si="69"/>
        <v>0</v>
      </c>
      <c r="P685" s="410">
        <f t="shared" si="70"/>
        <v>0</v>
      </c>
      <c r="Q685" s="410">
        <f t="shared" si="71"/>
        <v>0</v>
      </c>
      <c r="R685" s="416"/>
      <c r="S685" s="411"/>
      <c r="T685" s="178">
        <f t="shared" si="72"/>
        <v>13317533</v>
      </c>
      <c r="U685" s="166">
        <f t="shared" si="73"/>
        <v>30874233</v>
      </c>
      <c r="V685" s="178">
        <f t="shared" si="74"/>
        <v>0</v>
      </c>
      <c r="W685" s="410">
        <f t="shared" si="75"/>
        <v>0</v>
      </c>
      <c r="X685" s="474">
        <f t="shared" si="76"/>
        <v>0</v>
      </c>
      <c r="Y685" s="411"/>
      <c r="Z685" s="169">
        <f t="shared" si="77"/>
        <v>0</v>
      </c>
      <c r="AA685" s="420">
        <f t="shared" si="77"/>
        <v>0</v>
      </c>
      <c r="AB685" s="428">
        <f>+AB655+AB661+AB667+AB673+AB677</f>
        <v>0</v>
      </c>
      <c r="AC685" s="409">
        <f t="shared" si="78"/>
        <v>0</v>
      </c>
      <c r="AD685" s="409">
        <f t="shared" si="79"/>
        <v>0</v>
      </c>
      <c r="AE685" s="409">
        <f t="shared" si="79"/>
        <v>0</v>
      </c>
      <c r="AF685" s="467"/>
      <c r="AG685" s="829"/>
      <c r="AH685" s="710"/>
      <c r="AI685" s="710"/>
      <c r="AJ685" s="710"/>
      <c r="AK685" s="710"/>
      <c r="AL685" s="710"/>
      <c r="AM685" s="710"/>
      <c r="AN685" s="710"/>
      <c r="AO685" s="710"/>
      <c r="AP685" s="710"/>
      <c r="AQ685" s="710"/>
      <c r="AR685" s="710"/>
      <c r="AS685" s="710"/>
      <c r="AT685" s="710"/>
      <c r="AU685" s="710"/>
      <c r="AV685" s="710"/>
      <c r="AW685" s="710"/>
      <c r="AX685" s="710"/>
      <c r="AY685" s="710"/>
    </row>
    <row r="686" spans="1:51" ht="15.75" customHeight="1" x14ac:dyDescent="0.25">
      <c r="A686" s="829"/>
      <c r="B686" s="710"/>
      <c r="C686" s="710"/>
      <c r="D686" s="408" t="s">
        <v>347</v>
      </c>
      <c r="E686" s="190">
        <f t="shared" si="63"/>
        <v>20</v>
      </c>
      <c r="F686" s="190">
        <f t="shared" si="63"/>
        <v>20</v>
      </c>
      <c r="G686" s="178">
        <f t="shared" si="64"/>
        <v>20</v>
      </c>
      <c r="H686" s="178">
        <f t="shared" si="65"/>
        <v>20</v>
      </c>
      <c r="I686" s="178">
        <f t="shared" si="66"/>
        <v>20</v>
      </c>
      <c r="J686" s="410">
        <f t="shared" si="67"/>
        <v>20</v>
      </c>
      <c r="K686" s="474">
        <f t="shared" si="67"/>
        <v>7</v>
      </c>
      <c r="L686" s="470"/>
      <c r="M686" s="470">
        <f t="shared" si="68"/>
        <v>20</v>
      </c>
      <c r="N686" s="410">
        <f t="shared" si="68"/>
        <v>10</v>
      </c>
      <c r="O686" s="410">
        <f t="shared" si="69"/>
        <v>10</v>
      </c>
      <c r="P686" s="410">
        <f t="shared" si="70"/>
        <v>10</v>
      </c>
      <c r="Q686" s="410">
        <f t="shared" si="71"/>
        <v>10</v>
      </c>
      <c r="R686" s="416">
        <v>10</v>
      </c>
      <c r="S686" s="411"/>
      <c r="T686" s="178">
        <f t="shared" si="72"/>
        <v>1</v>
      </c>
      <c r="U686" s="166">
        <f t="shared" si="73"/>
        <v>2</v>
      </c>
      <c r="V686" s="178">
        <f t="shared" si="74"/>
        <v>3</v>
      </c>
      <c r="W686" s="410">
        <f t="shared" si="75"/>
        <v>5</v>
      </c>
      <c r="X686" s="474">
        <f t="shared" si="76"/>
        <v>7</v>
      </c>
      <c r="Y686" s="411"/>
      <c r="Z686" s="169">
        <f t="shared" si="77"/>
        <v>2</v>
      </c>
      <c r="AA686" s="420">
        <f t="shared" si="77"/>
        <v>4</v>
      </c>
      <c r="AB686" s="428">
        <f>+AB656+AB662+AB668+AB674+AB680</f>
        <v>6</v>
      </c>
      <c r="AC686" s="409">
        <f t="shared" si="78"/>
        <v>7</v>
      </c>
      <c r="AD686" s="409">
        <f t="shared" si="79"/>
        <v>7</v>
      </c>
      <c r="AE686" s="409">
        <f t="shared" si="79"/>
        <v>8</v>
      </c>
      <c r="AF686" s="467"/>
      <c r="AG686" s="829"/>
      <c r="AH686" s="710"/>
      <c r="AI686" s="710"/>
      <c r="AJ686" s="710"/>
      <c r="AK686" s="710"/>
      <c r="AL686" s="710"/>
      <c r="AM686" s="710"/>
      <c r="AN686" s="710"/>
      <c r="AO686" s="710"/>
      <c r="AP686" s="710"/>
      <c r="AQ686" s="710"/>
      <c r="AR686" s="710"/>
      <c r="AS686" s="710"/>
      <c r="AT686" s="710"/>
      <c r="AU686" s="710"/>
      <c r="AV686" s="710"/>
      <c r="AW686" s="710"/>
      <c r="AX686" s="710"/>
      <c r="AY686" s="710"/>
    </row>
    <row r="687" spans="1:51" ht="15.75" customHeight="1" x14ac:dyDescent="0.25">
      <c r="A687" s="823"/>
      <c r="B687" s="828"/>
      <c r="C687" s="731"/>
      <c r="D687" s="412" t="s">
        <v>348</v>
      </c>
      <c r="E687" s="190">
        <f t="shared" si="63"/>
        <v>380713233</v>
      </c>
      <c r="F687" s="190">
        <f t="shared" si="63"/>
        <v>380713233</v>
      </c>
      <c r="G687" s="178">
        <f t="shared" si="64"/>
        <v>349839000</v>
      </c>
      <c r="H687" s="178">
        <f t="shared" si="65"/>
        <v>349839000</v>
      </c>
      <c r="I687" s="178" t="e">
        <f t="shared" si="66"/>
        <v>#REF!</v>
      </c>
      <c r="J687" s="410" t="e">
        <f t="shared" si="67"/>
        <v>#REF!</v>
      </c>
      <c r="K687" s="474">
        <f t="shared" si="67"/>
        <v>0</v>
      </c>
      <c r="L687" s="470"/>
      <c r="M687" s="470">
        <f t="shared" si="68"/>
        <v>380713233</v>
      </c>
      <c r="N687" s="410">
        <f t="shared" si="68"/>
        <v>104955000</v>
      </c>
      <c r="O687" s="410" t="e">
        <f t="shared" si="69"/>
        <v>#DIV/0!</v>
      </c>
      <c r="P687" s="410" t="str">
        <f t="shared" ca="1" si="70"/>
        <v>#REF!</v>
      </c>
      <c r="Q687" s="410" t="str">
        <f t="shared" ca="1" si="71"/>
        <v>#REF!</v>
      </c>
      <c r="R687" s="452">
        <f>+R686*$R$635/$R$634</f>
        <v>109624000</v>
      </c>
      <c r="S687" s="411"/>
      <c r="T687" s="178">
        <f t="shared" si="72"/>
        <v>0</v>
      </c>
      <c r="U687" s="166">
        <f t="shared" si="73"/>
        <v>313790000</v>
      </c>
      <c r="V687" s="178" t="e">
        <f t="shared" si="74"/>
        <v>#REF!</v>
      </c>
      <c r="W687" s="410" t="e">
        <f t="shared" si="75"/>
        <v>#REF!</v>
      </c>
      <c r="X687" s="474">
        <f t="shared" si="76"/>
        <v>0</v>
      </c>
      <c r="Y687" s="411"/>
      <c r="Z687" s="169">
        <f t="shared" si="77"/>
        <v>0</v>
      </c>
      <c r="AA687" s="420">
        <f t="shared" si="77"/>
        <v>90696000</v>
      </c>
      <c r="AB687" s="428" t="e">
        <f>+AB657+AB663+AB669+AB675+AB681</f>
        <v>#VALUE!</v>
      </c>
      <c r="AC687" s="409" t="e">
        <f t="shared" si="78"/>
        <v>#VALUE!</v>
      </c>
      <c r="AD687" s="409">
        <f t="shared" si="79"/>
        <v>70541335.333333343</v>
      </c>
      <c r="AE687" s="409" t="e">
        <f t="shared" si="79"/>
        <v>#VALUE!</v>
      </c>
      <c r="AF687" s="467"/>
      <c r="AG687" s="823"/>
      <c r="AH687" s="731"/>
      <c r="AI687" s="731"/>
      <c r="AJ687" s="731"/>
      <c r="AK687" s="731"/>
      <c r="AL687" s="731"/>
      <c r="AM687" s="731"/>
      <c r="AN687" s="731"/>
      <c r="AO687" s="731"/>
      <c r="AP687" s="731"/>
      <c r="AQ687" s="731"/>
      <c r="AR687" s="731"/>
      <c r="AS687" s="731"/>
      <c r="AT687" s="731"/>
      <c r="AU687" s="731"/>
      <c r="AV687" s="731"/>
      <c r="AW687" s="731"/>
      <c r="AX687" s="731"/>
      <c r="AY687" s="731"/>
    </row>
    <row r="688" spans="1:51" ht="18" customHeight="1" x14ac:dyDescent="0.25">
      <c r="A688" s="820">
        <v>7</v>
      </c>
      <c r="B688" s="827" t="s">
        <v>674</v>
      </c>
      <c r="C688" s="914" t="s">
        <v>675</v>
      </c>
      <c r="D688" s="413" t="s">
        <v>340</v>
      </c>
      <c r="E688" s="190">
        <v>0.6</v>
      </c>
      <c r="F688" s="190">
        <v>0.6</v>
      </c>
      <c r="G688" s="523">
        <v>0.6</v>
      </c>
      <c r="H688" s="523">
        <v>0.6</v>
      </c>
      <c r="I688" s="523" t="e">
        <f>+#REF!</f>
        <v>#REF!</v>
      </c>
      <c r="J688" s="524" t="e">
        <f>+#REF!</f>
        <v>#REF!</v>
      </c>
      <c r="K688" s="525">
        <f>+INVERSIÓN!AB52</f>
        <v>0.6</v>
      </c>
      <c r="L688" s="524">
        <v>0</v>
      </c>
      <c r="M688" s="470">
        <f t="shared" ref="M688:M693" si="80">+F688</f>
        <v>0.6</v>
      </c>
      <c r="N688" s="410">
        <v>0.5</v>
      </c>
      <c r="O688" s="410">
        <v>0.5</v>
      </c>
      <c r="P688" s="410">
        <v>0.5</v>
      </c>
      <c r="Q688" s="410">
        <v>0.5</v>
      </c>
      <c r="R688" s="416">
        <v>0.5</v>
      </c>
      <c r="S688" s="953" t="s">
        <v>1413</v>
      </c>
      <c r="T688" s="173">
        <v>0.06</v>
      </c>
      <c r="U688" s="173">
        <v>0.09</v>
      </c>
      <c r="V688" s="173" t="e">
        <f>+#REF!</f>
        <v>#REF!</v>
      </c>
      <c r="W688" s="442" t="e">
        <f>+#REF!</f>
        <v>#REF!</v>
      </c>
      <c r="X688" s="471">
        <f>+INVERSIÓN!BB52</f>
        <v>0.6</v>
      </c>
      <c r="Y688" s="471"/>
      <c r="Z688" s="471">
        <v>0.05</v>
      </c>
      <c r="AA688" s="443">
        <v>0.1</v>
      </c>
      <c r="AB688" s="481">
        <v>0.15</v>
      </c>
      <c r="AC688" s="526">
        <v>0.22</v>
      </c>
      <c r="AD688" s="485">
        <v>0.42</v>
      </c>
      <c r="AE688" s="482" t="s">
        <v>673</v>
      </c>
      <c r="AF688" s="956" t="s">
        <v>1413</v>
      </c>
      <c r="AG688" s="919" t="s">
        <v>456</v>
      </c>
      <c r="AH688" s="813" t="s">
        <v>178</v>
      </c>
      <c r="AI688" s="813" t="s">
        <v>178</v>
      </c>
      <c r="AJ688" s="813" t="s">
        <v>178</v>
      </c>
      <c r="AK688" s="914" t="s">
        <v>457</v>
      </c>
      <c r="AL688" s="813" t="s">
        <v>178</v>
      </c>
      <c r="AM688" s="813" t="s">
        <v>1335</v>
      </c>
      <c r="AN688" s="910">
        <v>7804660</v>
      </c>
      <c r="AO688" s="910">
        <v>3721767</v>
      </c>
      <c r="AP688" s="910">
        <v>4082893</v>
      </c>
      <c r="AQ688" s="915" t="s">
        <v>459</v>
      </c>
      <c r="AR688" s="915" t="s">
        <v>459</v>
      </c>
      <c r="AS688" s="915" t="s">
        <v>459</v>
      </c>
      <c r="AT688" s="915" t="s">
        <v>459</v>
      </c>
      <c r="AU688" s="915" t="s">
        <v>459</v>
      </c>
      <c r="AV688" s="915" t="s">
        <v>459</v>
      </c>
      <c r="AW688" s="915" t="s">
        <v>459</v>
      </c>
      <c r="AX688" s="910">
        <v>7804660</v>
      </c>
      <c r="AY688" s="954" t="s">
        <v>1414</v>
      </c>
    </row>
    <row r="689" spans="1:55" ht="15.75" customHeight="1" x14ac:dyDescent="0.25">
      <c r="A689" s="829"/>
      <c r="B689" s="710"/>
      <c r="C689" s="710"/>
      <c r="D689" s="404" t="s">
        <v>343</v>
      </c>
      <c r="E689" s="190">
        <v>482999000</v>
      </c>
      <c r="F689" s="190">
        <v>482999000</v>
      </c>
      <c r="G689" s="523">
        <v>482999000</v>
      </c>
      <c r="H689" s="523">
        <v>482999000</v>
      </c>
      <c r="I689" s="523" t="e">
        <f>+#REF!</f>
        <v>#REF!</v>
      </c>
      <c r="J689" s="524" t="e">
        <f>+#REF!</f>
        <v>#REF!</v>
      </c>
      <c r="K689" s="525">
        <f>+INVERSIÓN!AB53</f>
        <v>482999000</v>
      </c>
      <c r="L689" s="524">
        <v>0</v>
      </c>
      <c r="M689" s="470">
        <f t="shared" si="80"/>
        <v>482999000</v>
      </c>
      <c r="N689" s="410">
        <v>220180000</v>
      </c>
      <c r="O689" s="410">
        <v>220180000</v>
      </c>
      <c r="P689" s="410">
        <v>199997000</v>
      </c>
      <c r="Q689" s="410">
        <v>218352000</v>
      </c>
      <c r="R689" s="416">
        <v>218352000</v>
      </c>
      <c r="S689" s="710"/>
      <c r="T689" s="173">
        <v>0</v>
      </c>
      <c r="U689" s="173">
        <v>340880000</v>
      </c>
      <c r="V689" s="173" t="e">
        <f>+#REF!</f>
        <v>#REF!</v>
      </c>
      <c r="W689" s="442" t="e">
        <f>+#REF!</f>
        <v>#REF!</v>
      </c>
      <c r="X689" s="471">
        <f>+INVERSIÓN!BB53</f>
        <v>447929500</v>
      </c>
      <c r="Y689" s="484"/>
      <c r="Z689" s="471">
        <v>0</v>
      </c>
      <c r="AA689" s="443">
        <v>162068000</v>
      </c>
      <c r="AB689" s="481">
        <v>162068000</v>
      </c>
      <c r="AC689" s="526">
        <v>162068000</v>
      </c>
      <c r="AD689" s="485">
        <v>162068000</v>
      </c>
      <c r="AE689" s="482" t="s">
        <v>673</v>
      </c>
      <c r="AF689" s="713"/>
      <c r="AG689" s="829"/>
      <c r="AH689" s="710"/>
      <c r="AI689" s="710"/>
      <c r="AJ689" s="710"/>
      <c r="AK689" s="710"/>
      <c r="AL689" s="710"/>
      <c r="AM689" s="710"/>
      <c r="AN689" s="710"/>
      <c r="AO689" s="710"/>
      <c r="AP689" s="710"/>
      <c r="AQ689" s="710"/>
      <c r="AR689" s="710"/>
      <c r="AS689" s="710"/>
      <c r="AT689" s="710"/>
      <c r="AU689" s="710"/>
      <c r="AV689" s="710"/>
      <c r="AW689" s="710"/>
      <c r="AX689" s="710"/>
      <c r="AY689" s="710"/>
    </row>
    <row r="690" spans="1:55" ht="15.75" customHeight="1" x14ac:dyDescent="0.25">
      <c r="A690" s="829"/>
      <c r="B690" s="710"/>
      <c r="C690" s="710"/>
      <c r="D690" s="408" t="s">
        <v>345</v>
      </c>
      <c r="E690" s="190" t="s">
        <v>673</v>
      </c>
      <c r="F690" s="190" t="s">
        <v>673</v>
      </c>
      <c r="G690" s="523" t="s">
        <v>673</v>
      </c>
      <c r="H690" s="523" t="s">
        <v>673</v>
      </c>
      <c r="I690" s="523" t="e">
        <f>+#REF!</f>
        <v>#REF!</v>
      </c>
      <c r="J690" s="524" t="e">
        <f>+#REF!</f>
        <v>#REF!</v>
      </c>
      <c r="K690" s="525">
        <f>+INVERSIÓN!AB54</f>
        <v>0</v>
      </c>
      <c r="L690" s="524">
        <v>0</v>
      </c>
      <c r="M690" s="470" t="str">
        <f t="shared" si="80"/>
        <v>#REF!</v>
      </c>
      <c r="N690" s="410">
        <v>0</v>
      </c>
      <c r="O690" s="410">
        <v>0</v>
      </c>
      <c r="P690" s="410" t="s">
        <v>673</v>
      </c>
      <c r="Q690" s="410" t="s">
        <v>673</v>
      </c>
      <c r="R690" s="416" t="s">
        <v>673</v>
      </c>
      <c r="S690" s="710"/>
      <c r="T690" s="173">
        <v>0</v>
      </c>
      <c r="U690" s="173">
        <v>0</v>
      </c>
      <c r="V690" s="173" t="e">
        <f>+#REF!</f>
        <v>#REF!</v>
      </c>
      <c r="W690" s="442" t="e">
        <f>+#REF!</f>
        <v>#REF!</v>
      </c>
      <c r="X690" s="471">
        <f>+INVERSIÓN!BB54</f>
        <v>409112774</v>
      </c>
      <c r="Y690" s="484"/>
      <c r="Z690" s="471">
        <v>0</v>
      </c>
      <c r="AA690" s="443">
        <v>0</v>
      </c>
      <c r="AB690" s="481">
        <v>0</v>
      </c>
      <c r="AC690" s="526" t="s">
        <v>673</v>
      </c>
      <c r="AD690" s="485" t="s">
        <v>673</v>
      </c>
      <c r="AE690" s="482" t="s">
        <v>673</v>
      </c>
      <c r="AF690" s="713"/>
      <c r="AG690" s="829"/>
      <c r="AH690" s="710"/>
      <c r="AI690" s="710"/>
      <c r="AJ690" s="710"/>
      <c r="AK690" s="710"/>
      <c r="AL690" s="710"/>
      <c r="AM690" s="710"/>
      <c r="AN690" s="710"/>
      <c r="AO690" s="710"/>
      <c r="AP690" s="710"/>
      <c r="AQ690" s="710"/>
      <c r="AR690" s="710"/>
      <c r="AS690" s="710"/>
      <c r="AT690" s="710"/>
      <c r="AU690" s="710"/>
      <c r="AV690" s="710"/>
      <c r="AW690" s="710"/>
      <c r="AX690" s="710"/>
      <c r="AY690" s="710"/>
    </row>
    <row r="691" spans="1:55" ht="15.75" customHeight="1" x14ac:dyDescent="0.25">
      <c r="A691" s="829"/>
      <c r="B691" s="710"/>
      <c r="C691" s="710"/>
      <c r="D691" s="404" t="s">
        <v>346</v>
      </c>
      <c r="E691" s="190">
        <v>45106067</v>
      </c>
      <c r="F691" s="190">
        <v>45106067</v>
      </c>
      <c r="G691" s="523">
        <v>45106067</v>
      </c>
      <c r="H691" s="523">
        <v>45106067</v>
      </c>
      <c r="I691" s="523" t="e">
        <f>+#REF!</f>
        <v>#REF!</v>
      </c>
      <c r="J691" s="524" t="e">
        <f>+#REF!</f>
        <v>#REF!</v>
      </c>
      <c r="K691" s="525">
        <f>+INVERSIÓN!AB55</f>
        <v>0</v>
      </c>
      <c r="L691" s="524">
        <v>0</v>
      </c>
      <c r="M691" s="470">
        <f t="shared" si="80"/>
        <v>45106067</v>
      </c>
      <c r="N691" s="410">
        <v>0</v>
      </c>
      <c r="O691" s="410">
        <v>0</v>
      </c>
      <c r="P691" s="410" t="s">
        <v>673</v>
      </c>
      <c r="Q691" s="410" t="s">
        <v>673</v>
      </c>
      <c r="R691" s="416" t="s">
        <v>673</v>
      </c>
      <c r="S691" s="710"/>
      <c r="T691" s="173">
        <v>18479500</v>
      </c>
      <c r="U691" s="173">
        <v>36465800</v>
      </c>
      <c r="V691" s="173" t="e">
        <f>+#REF!</f>
        <v>#REF!</v>
      </c>
      <c r="W691" s="442" t="e">
        <f>+#REF!</f>
        <v>#REF!</v>
      </c>
      <c r="X691" s="471">
        <f>+INVERSIÓN!BB55</f>
        <v>0</v>
      </c>
      <c r="Y691" s="484"/>
      <c r="Z691" s="471">
        <v>0</v>
      </c>
      <c r="AA691" s="443">
        <v>0</v>
      </c>
      <c r="AB691" s="481">
        <v>0</v>
      </c>
      <c r="AC691" s="526" t="s">
        <v>673</v>
      </c>
      <c r="AD691" s="485" t="s">
        <v>673</v>
      </c>
      <c r="AE691" s="482" t="s">
        <v>673</v>
      </c>
      <c r="AF691" s="713"/>
      <c r="AG691" s="829"/>
      <c r="AH691" s="710"/>
      <c r="AI691" s="710"/>
      <c r="AJ691" s="710"/>
      <c r="AK691" s="710"/>
      <c r="AL691" s="710"/>
      <c r="AM691" s="710"/>
      <c r="AN691" s="710"/>
      <c r="AO691" s="710"/>
      <c r="AP691" s="710"/>
      <c r="AQ691" s="710"/>
      <c r="AR691" s="710"/>
      <c r="AS691" s="710"/>
      <c r="AT691" s="710"/>
      <c r="AU691" s="710"/>
      <c r="AV691" s="710"/>
      <c r="AW691" s="710"/>
      <c r="AX691" s="710"/>
      <c r="AY691" s="710"/>
    </row>
    <row r="692" spans="1:55" ht="15.75" customHeight="1" x14ac:dyDescent="0.25">
      <c r="A692" s="829"/>
      <c r="B692" s="710"/>
      <c r="C692" s="710"/>
      <c r="D692" s="408" t="s">
        <v>347</v>
      </c>
      <c r="E692" s="190">
        <v>0.6</v>
      </c>
      <c r="F692" s="190">
        <v>0.6</v>
      </c>
      <c r="G692" s="523">
        <v>0.6</v>
      </c>
      <c r="H692" s="523">
        <v>0.6</v>
      </c>
      <c r="I692" s="523" t="e">
        <f>+#REF!</f>
        <v>#REF!</v>
      </c>
      <c r="J692" s="524" t="e">
        <f>+#REF!</f>
        <v>#REF!</v>
      </c>
      <c r="K692" s="525">
        <f>+INVERSIÓN!AB56</f>
        <v>45106067</v>
      </c>
      <c r="L692" s="524">
        <v>0</v>
      </c>
      <c r="M692" s="470">
        <f t="shared" si="80"/>
        <v>0.6</v>
      </c>
      <c r="N692" s="410">
        <v>0.5</v>
      </c>
      <c r="O692" s="410">
        <v>0.5</v>
      </c>
      <c r="P692" s="410">
        <v>0.5</v>
      </c>
      <c r="Q692" s="410">
        <v>0.5</v>
      </c>
      <c r="R692" s="416">
        <v>0.5</v>
      </c>
      <c r="S692" s="710"/>
      <c r="T692" s="173">
        <v>0.06</v>
      </c>
      <c r="U692" s="173">
        <v>0.09</v>
      </c>
      <c r="V692" s="173" t="e">
        <f>+#REF!</f>
        <v>#REF!</v>
      </c>
      <c r="W692" s="442" t="e">
        <f>+#REF!</f>
        <v>#REF!</v>
      </c>
      <c r="X692" s="471">
        <f>+INVERSIÓN!BB56</f>
        <v>45106067</v>
      </c>
      <c r="Y692" s="485"/>
      <c r="Z692" s="471">
        <v>0.05</v>
      </c>
      <c r="AA692" s="443">
        <v>0.1</v>
      </c>
      <c r="AB692" s="481">
        <v>0.15</v>
      </c>
      <c r="AC692" s="526">
        <v>0.22</v>
      </c>
      <c r="AD692" s="485">
        <v>0.42</v>
      </c>
      <c r="AE692" s="482" t="s">
        <v>673</v>
      </c>
      <c r="AF692" s="713"/>
      <c r="AG692" s="829"/>
      <c r="AH692" s="710"/>
      <c r="AI692" s="710"/>
      <c r="AJ692" s="710"/>
      <c r="AK692" s="710"/>
      <c r="AL692" s="710"/>
      <c r="AM692" s="710"/>
      <c r="AN692" s="710"/>
      <c r="AO692" s="710"/>
      <c r="AP692" s="710"/>
      <c r="AQ692" s="710"/>
      <c r="AR692" s="710"/>
      <c r="AS692" s="710"/>
      <c r="AT692" s="710"/>
      <c r="AU692" s="710"/>
      <c r="AV692" s="710"/>
      <c r="AW692" s="710"/>
      <c r="AX692" s="710"/>
      <c r="AY692" s="710"/>
    </row>
    <row r="693" spans="1:55" ht="15.75" customHeight="1" x14ac:dyDescent="0.25">
      <c r="A693" s="829"/>
      <c r="B693" s="710"/>
      <c r="C693" s="731"/>
      <c r="D693" s="412" t="s">
        <v>348</v>
      </c>
      <c r="E693" s="190">
        <v>528105067</v>
      </c>
      <c r="F693" s="190">
        <v>528105067</v>
      </c>
      <c r="G693" s="523">
        <v>528105067</v>
      </c>
      <c r="H693" s="523">
        <v>528105067</v>
      </c>
      <c r="I693" s="523" t="e">
        <f>+#REF!</f>
        <v>#REF!</v>
      </c>
      <c r="J693" s="524" t="e">
        <f>+#REF!</f>
        <v>#REF!</v>
      </c>
      <c r="K693" s="525">
        <f>+INVERSIÓN!AB57</f>
        <v>0.6</v>
      </c>
      <c r="L693" s="524">
        <v>0</v>
      </c>
      <c r="M693" s="470">
        <f t="shared" si="80"/>
        <v>528105067</v>
      </c>
      <c r="N693" s="410">
        <v>220180000</v>
      </c>
      <c r="O693" s="410">
        <v>220180000</v>
      </c>
      <c r="P693" s="410">
        <v>199997000</v>
      </c>
      <c r="Q693" s="410">
        <v>218352000</v>
      </c>
      <c r="R693" s="416">
        <v>218352000</v>
      </c>
      <c r="S693" s="710"/>
      <c r="T693" s="173">
        <v>18479500</v>
      </c>
      <c r="U693" s="173">
        <v>377345800</v>
      </c>
      <c r="V693" s="173" t="e">
        <f>+#REF!</f>
        <v>#REF!</v>
      </c>
      <c r="W693" s="442" t="e">
        <f>+#REF!</f>
        <v>#REF!</v>
      </c>
      <c r="X693" s="471">
        <f>+INVERSIÓN!BB57</f>
        <v>0.55999999999999994</v>
      </c>
      <c r="Y693" s="471"/>
      <c r="Z693" s="471">
        <v>0</v>
      </c>
      <c r="AA693" s="443">
        <v>162068000</v>
      </c>
      <c r="AB693" s="481">
        <v>162068000</v>
      </c>
      <c r="AC693" s="526">
        <v>162068000</v>
      </c>
      <c r="AD693" s="485">
        <v>162068000</v>
      </c>
      <c r="AE693" s="482" t="s">
        <v>673</v>
      </c>
      <c r="AF693" s="713"/>
      <c r="AG693" s="823"/>
      <c r="AH693" s="731"/>
      <c r="AI693" s="731"/>
      <c r="AJ693" s="731"/>
      <c r="AK693" s="731"/>
      <c r="AL693" s="731"/>
      <c r="AM693" s="731"/>
      <c r="AN693" s="731"/>
      <c r="AO693" s="731"/>
      <c r="AP693" s="731"/>
      <c r="AQ693" s="731"/>
      <c r="AR693" s="731"/>
      <c r="AS693" s="731"/>
      <c r="AT693" s="731"/>
      <c r="AU693" s="731"/>
      <c r="AV693" s="731"/>
      <c r="AW693" s="731"/>
      <c r="AX693" s="731"/>
      <c r="AY693" s="731"/>
    </row>
    <row r="694" spans="1:55" ht="18" customHeight="1" x14ac:dyDescent="0.25">
      <c r="A694" s="829"/>
      <c r="B694" s="710"/>
      <c r="C694" s="914" t="s">
        <v>512</v>
      </c>
      <c r="D694" s="413" t="s">
        <v>340</v>
      </c>
      <c r="E694" s="190">
        <f t="shared" ref="E694:K694" si="81">+E688</f>
        <v>0.6</v>
      </c>
      <c r="F694" s="190">
        <f t="shared" si="81"/>
        <v>0.6</v>
      </c>
      <c r="G694" s="178">
        <f t="shared" si="81"/>
        <v>0.6</v>
      </c>
      <c r="H694" s="178">
        <f t="shared" si="81"/>
        <v>0.6</v>
      </c>
      <c r="I694" s="178" t="e">
        <f t="shared" si="81"/>
        <v>#REF!</v>
      </c>
      <c r="J694" s="470" t="e">
        <f t="shared" si="81"/>
        <v>#REF!</v>
      </c>
      <c r="K694" s="474">
        <f t="shared" si="81"/>
        <v>0.6</v>
      </c>
      <c r="L694" s="470"/>
      <c r="M694" s="470">
        <f t="shared" ref="M694:R694" si="82">+M688</f>
        <v>0.6</v>
      </c>
      <c r="N694" s="410">
        <f t="shared" si="82"/>
        <v>0.5</v>
      </c>
      <c r="O694" s="410">
        <f t="shared" si="82"/>
        <v>0.5</v>
      </c>
      <c r="P694" s="410">
        <f t="shared" si="82"/>
        <v>0.5</v>
      </c>
      <c r="Q694" s="410">
        <f t="shared" si="82"/>
        <v>0.5</v>
      </c>
      <c r="R694" s="416">
        <f t="shared" si="82"/>
        <v>0.5</v>
      </c>
      <c r="S694" s="710"/>
      <c r="T694" s="166">
        <f t="shared" ref="T694:X695" si="83">+T688</f>
        <v>0.06</v>
      </c>
      <c r="U694" s="166">
        <f t="shared" si="83"/>
        <v>0.09</v>
      </c>
      <c r="V694" s="166" t="e">
        <f t="shared" si="83"/>
        <v>#REF!</v>
      </c>
      <c r="W694" s="432" t="e">
        <f t="shared" si="83"/>
        <v>#REF!</v>
      </c>
      <c r="X694" s="475">
        <f t="shared" si="83"/>
        <v>0.6</v>
      </c>
      <c r="Y694" s="418"/>
      <c r="Z694" s="475">
        <f t="shared" ref="Z694:AE694" si="84">+Z688</f>
        <v>0.05</v>
      </c>
      <c r="AA694" s="485">
        <f t="shared" si="84"/>
        <v>0.1</v>
      </c>
      <c r="AB694" s="527">
        <f t="shared" si="84"/>
        <v>0.15</v>
      </c>
      <c r="AC694" s="526">
        <f t="shared" si="84"/>
        <v>0.22</v>
      </c>
      <c r="AD694" s="528">
        <f t="shared" si="84"/>
        <v>0.42</v>
      </c>
      <c r="AE694" s="475" t="str">
        <f t="shared" si="84"/>
        <v>#REF!</v>
      </c>
      <c r="AF694" s="713"/>
      <c r="AG694" s="919" t="s">
        <v>456</v>
      </c>
      <c r="AH694" s="813" t="s">
        <v>178</v>
      </c>
      <c r="AI694" s="813" t="s">
        <v>178</v>
      </c>
      <c r="AJ694" s="813" t="s">
        <v>178</v>
      </c>
      <c r="AK694" s="914" t="s">
        <v>457</v>
      </c>
      <c r="AL694" s="813" t="s">
        <v>178</v>
      </c>
      <c r="AM694" s="813" t="s">
        <v>1335</v>
      </c>
      <c r="AN694" s="910">
        <v>7804660</v>
      </c>
      <c r="AO694" s="910">
        <v>3721767</v>
      </c>
      <c r="AP694" s="910">
        <v>4082893</v>
      </c>
      <c r="AQ694" s="915" t="s">
        <v>459</v>
      </c>
      <c r="AR694" s="915" t="s">
        <v>459</v>
      </c>
      <c r="AS694" s="915" t="s">
        <v>459</v>
      </c>
      <c r="AT694" s="915" t="s">
        <v>459</v>
      </c>
      <c r="AU694" s="915" t="s">
        <v>459</v>
      </c>
      <c r="AV694" s="915" t="s">
        <v>459</v>
      </c>
      <c r="AW694" s="915" t="s">
        <v>459</v>
      </c>
      <c r="AX694" s="910">
        <v>7804660</v>
      </c>
      <c r="AY694" s="955"/>
    </row>
    <row r="695" spans="1:55" ht="15.75" customHeight="1" x14ac:dyDescent="0.25">
      <c r="A695" s="829"/>
      <c r="B695" s="710"/>
      <c r="C695" s="710"/>
      <c r="D695" s="404" t="s">
        <v>343</v>
      </c>
      <c r="E695" s="190">
        <f t="shared" ref="E695:K695" si="85">+E689</f>
        <v>482999000</v>
      </c>
      <c r="F695" s="190">
        <f t="shared" si="85"/>
        <v>482999000</v>
      </c>
      <c r="G695" s="178">
        <f t="shared" si="85"/>
        <v>482999000</v>
      </c>
      <c r="H695" s="178">
        <f t="shared" si="85"/>
        <v>482999000</v>
      </c>
      <c r="I695" s="178" t="e">
        <f t="shared" si="85"/>
        <v>#REF!</v>
      </c>
      <c r="J695" s="470" t="e">
        <f t="shared" si="85"/>
        <v>#REF!</v>
      </c>
      <c r="K695" s="474">
        <f t="shared" si="85"/>
        <v>482999000</v>
      </c>
      <c r="L695" s="470"/>
      <c r="M695" s="470">
        <f t="shared" ref="M695:R695" si="86">+M689</f>
        <v>482999000</v>
      </c>
      <c r="N695" s="410">
        <f t="shared" si="86"/>
        <v>220180000</v>
      </c>
      <c r="O695" s="410">
        <f t="shared" si="86"/>
        <v>220180000</v>
      </c>
      <c r="P695" s="410">
        <f t="shared" si="86"/>
        <v>199997000</v>
      </c>
      <c r="Q695" s="410">
        <f t="shared" si="86"/>
        <v>218352000</v>
      </c>
      <c r="R695" s="416">
        <f t="shared" si="86"/>
        <v>218352000</v>
      </c>
      <c r="S695" s="710"/>
      <c r="T695" s="166">
        <f t="shared" si="83"/>
        <v>0</v>
      </c>
      <c r="U695" s="166">
        <f t="shared" si="83"/>
        <v>340880000</v>
      </c>
      <c r="V695" s="166" t="e">
        <f t="shared" si="83"/>
        <v>#REF!</v>
      </c>
      <c r="W695" s="432" t="e">
        <f t="shared" si="83"/>
        <v>#REF!</v>
      </c>
      <c r="X695" s="475">
        <f t="shared" si="83"/>
        <v>447929500</v>
      </c>
      <c r="Y695" s="418"/>
      <c r="Z695" s="475">
        <f t="shared" ref="Z695:AE695" si="87">+Z689</f>
        <v>0</v>
      </c>
      <c r="AA695" s="485">
        <f t="shared" si="87"/>
        <v>162068000</v>
      </c>
      <c r="AB695" s="527">
        <f t="shared" si="87"/>
        <v>162068000</v>
      </c>
      <c r="AC695" s="526">
        <f t="shared" si="87"/>
        <v>162068000</v>
      </c>
      <c r="AD695" s="528">
        <f t="shared" si="87"/>
        <v>162068000</v>
      </c>
      <c r="AE695" s="475" t="str">
        <f t="shared" si="87"/>
        <v>#REF!</v>
      </c>
      <c r="AF695" s="713"/>
      <c r="AG695" s="829"/>
      <c r="AH695" s="710"/>
      <c r="AI695" s="710"/>
      <c r="AJ695" s="710"/>
      <c r="AK695" s="710"/>
      <c r="AL695" s="710"/>
      <c r="AM695" s="710"/>
      <c r="AN695" s="710"/>
      <c r="AO695" s="710"/>
      <c r="AP695" s="710"/>
      <c r="AQ695" s="710"/>
      <c r="AR695" s="710"/>
      <c r="AS695" s="710"/>
      <c r="AT695" s="710"/>
      <c r="AU695" s="710"/>
      <c r="AV695" s="710"/>
      <c r="AW695" s="710"/>
      <c r="AX695" s="710"/>
      <c r="AY695" s="710"/>
    </row>
    <row r="696" spans="1:55" ht="15.75" customHeight="1" x14ac:dyDescent="0.25">
      <c r="A696" s="829"/>
      <c r="B696" s="710"/>
      <c r="C696" s="710"/>
      <c r="D696" s="408" t="s">
        <v>345</v>
      </c>
      <c r="E696" s="190" t="str">
        <f>+E690</f>
        <v>#REF!</v>
      </c>
      <c r="F696" s="190" t="str">
        <f>+F690</f>
        <v>#REF!</v>
      </c>
      <c r="G696" s="178">
        <v>0</v>
      </c>
      <c r="H696" s="178">
        <v>0</v>
      </c>
      <c r="I696" s="178" t="e">
        <f>+I690</f>
        <v>#REF!</v>
      </c>
      <c r="J696" s="470" t="e">
        <f>+J690</f>
        <v>#REF!</v>
      </c>
      <c r="K696" s="474">
        <f>+K690</f>
        <v>0</v>
      </c>
      <c r="L696" s="470"/>
      <c r="M696" s="470" t="str">
        <f t="shared" ref="M696:R696" si="88">+M690</f>
        <v>#REF!</v>
      </c>
      <c r="N696" s="410">
        <f t="shared" si="88"/>
        <v>0</v>
      </c>
      <c r="O696" s="410">
        <f t="shared" si="88"/>
        <v>0</v>
      </c>
      <c r="P696" s="410" t="str">
        <f t="shared" si="88"/>
        <v>#REF!</v>
      </c>
      <c r="Q696" s="410" t="str">
        <f t="shared" si="88"/>
        <v>#REF!</v>
      </c>
      <c r="R696" s="416" t="str">
        <f t="shared" si="88"/>
        <v>#REF!</v>
      </c>
      <c r="S696" s="710"/>
      <c r="T696" s="166">
        <v>0</v>
      </c>
      <c r="U696" s="166">
        <v>0</v>
      </c>
      <c r="V696" s="166" t="e">
        <f t="shared" ref="V696:X699" si="89">+V690</f>
        <v>#REF!</v>
      </c>
      <c r="W696" s="432" t="e">
        <f t="shared" si="89"/>
        <v>#REF!</v>
      </c>
      <c r="X696" s="475">
        <f t="shared" si="89"/>
        <v>409112774</v>
      </c>
      <c r="Y696" s="418"/>
      <c r="Z696" s="475">
        <f t="shared" ref="Z696:AE696" si="90">+Z690</f>
        <v>0</v>
      </c>
      <c r="AA696" s="485">
        <f t="shared" si="90"/>
        <v>0</v>
      </c>
      <c r="AB696" s="527">
        <f t="shared" si="90"/>
        <v>0</v>
      </c>
      <c r="AC696" s="526" t="str">
        <f t="shared" si="90"/>
        <v>#REF!</v>
      </c>
      <c r="AD696" s="528" t="str">
        <f t="shared" si="90"/>
        <v>#REF!</v>
      </c>
      <c r="AE696" s="475" t="str">
        <f t="shared" si="90"/>
        <v>#REF!</v>
      </c>
      <c r="AF696" s="713"/>
      <c r="AG696" s="829"/>
      <c r="AH696" s="710"/>
      <c r="AI696" s="710"/>
      <c r="AJ696" s="710"/>
      <c r="AK696" s="710"/>
      <c r="AL696" s="710"/>
      <c r="AM696" s="710"/>
      <c r="AN696" s="710"/>
      <c r="AO696" s="710"/>
      <c r="AP696" s="710"/>
      <c r="AQ696" s="710"/>
      <c r="AR696" s="710"/>
      <c r="AS696" s="710"/>
      <c r="AT696" s="710"/>
      <c r="AU696" s="710"/>
      <c r="AV696" s="710"/>
      <c r="AW696" s="710"/>
      <c r="AX696" s="710"/>
      <c r="AY696" s="710"/>
    </row>
    <row r="697" spans="1:55" ht="15.75" customHeight="1" x14ac:dyDescent="0.25">
      <c r="A697" s="829"/>
      <c r="B697" s="710"/>
      <c r="C697" s="710"/>
      <c r="D697" s="404" t="s">
        <v>346</v>
      </c>
      <c r="E697" s="190">
        <f t="shared" ref="E697:K697" si="91">+E691</f>
        <v>45106067</v>
      </c>
      <c r="F697" s="190">
        <f t="shared" si="91"/>
        <v>45106067</v>
      </c>
      <c r="G697" s="178">
        <f t="shared" si="91"/>
        <v>45106067</v>
      </c>
      <c r="H697" s="178">
        <f t="shared" si="91"/>
        <v>45106067</v>
      </c>
      <c r="I697" s="178" t="e">
        <f t="shared" si="91"/>
        <v>#REF!</v>
      </c>
      <c r="J697" s="470" t="e">
        <f t="shared" si="91"/>
        <v>#REF!</v>
      </c>
      <c r="K697" s="474">
        <f t="shared" si="91"/>
        <v>0</v>
      </c>
      <c r="L697" s="470"/>
      <c r="M697" s="470">
        <f t="shared" ref="M697:R697" si="92">+M691</f>
        <v>45106067</v>
      </c>
      <c r="N697" s="410">
        <f t="shared" si="92"/>
        <v>0</v>
      </c>
      <c r="O697" s="410">
        <f t="shared" si="92"/>
        <v>0</v>
      </c>
      <c r="P697" s="410" t="str">
        <f t="shared" si="92"/>
        <v>#REF!</v>
      </c>
      <c r="Q697" s="410" t="str">
        <f t="shared" si="92"/>
        <v>#REF!</v>
      </c>
      <c r="R697" s="416" t="str">
        <f t="shared" si="92"/>
        <v>#REF!</v>
      </c>
      <c r="S697" s="710"/>
      <c r="T697" s="166">
        <f t="shared" ref="T697:U699" si="93">+T691</f>
        <v>18479500</v>
      </c>
      <c r="U697" s="166">
        <f t="shared" si="93"/>
        <v>36465800</v>
      </c>
      <c r="V697" s="166" t="e">
        <f t="shared" si="89"/>
        <v>#REF!</v>
      </c>
      <c r="W697" s="432" t="e">
        <f t="shared" si="89"/>
        <v>#REF!</v>
      </c>
      <c r="X697" s="475">
        <f t="shared" si="89"/>
        <v>0</v>
      </c>
      <c r="Y697" s="418"/>
      <c r="Z697" s="475">
        <f t="shared" ref="Z697:AE697" si="94">+Z691</f>
        <v>0</v>
      </c>
      <c r="AA697" s="485">
        <f t="shared" si="94"/>
        <v>0</v>
      </c>
      <c r="AB697" s="527">
        <f t="shared" si="94"/>
        <v>0</v>
      </c>
      <c r="AC697" s="526" t="str">
        <f t="shared" si="94"/>
        <v>#REF!</v>
      </c>
      <c r="AD697" s="528" t="str">
        <f t="shared" si="94"/>
        <v>#REF!</v>
      </c>
      <c r="AE697" s="475" t="str">
        <f t="shared" si="94"/>
        <v>#REF!</v>
      </c>
      <c r="AF697" s="713"/>
      <c r="AG697" s="829"/>
      <c r="AH697" s="710"/>
      <c r="AI697" s="710"/>
      <c r="AJ697" s="710"/>
      <c r="AK697" s="710"/>
      <c r="AL697" s="710"/>
      <c r="AM697" s="710"/>
      <c r="AN697" s="710"/>
      <c r="AO697" s="710"/>
      <c r="AP697" s="710"/>
      <c r="AQ697" s="710"/>
      <c r="AR697" s="710"/>
      <c r="AS697" s="710"/>
      <c r="AT697" s="710"/>
      <c r="AU697" s="710"/>
      <c r="AV697" s="710"/>
      <c r="AW697" s="710"/>
      <c r="AX697" s="710"/>
      <c r="AY697" s="710"/>
    </row>
    <row r="698" spans="1:55" ht="15.75" customHeight="1" x14ac:dyDescent="0.25">
      <c r="A698" s="829"/>
      <c r="B698" s="710"/>
      <c r="C698" s="710"/>
      <c r="D698" s="408" t="s">
        <v>347</v>
      </c>
      <c r="E698" s="190">
        <f t="shared" ref="E698:K698" si="95">+E692</f>
        <v>0.6</v>
      </c>
      <c r="F698" s="190">
        <f t="shared" si="95"/>
        <v>0.6</v>
      </c>
      <c r="G698" s="178">
        <f t="shared" si="95"/>
        <v>0.6</v>
      </c>
      <c r="H698" s="178">
        <f t="shared" si="95"/>
        <v>0.6</v>
      </c>
      <c r="I698" s="178" t="e">
        <f t="shared" si="95"/>
        <v>#REF!</v>
      </c>
      <c r="J698" s="470" t="e">
        <f t="shared" si="95"/>
        <v>#REF!</v>
      </c>
      <c r="K698" s="474">
        <f t="shared" si="95"/>
        <v>45106067</v>
      </c>
      <c r="L698" s="470"/>
      <c r="M698" s="470">
        <f t="shared" ref="M698:R698" si="96">+M692</f>
        <v>0.6</v>
      </c>
      <c r="N698" s="410">
        <f t="shared" si="96"/>
        <v>0.5</v>
      </c>
      <c r="O698" s="410">
        <f t="shared" si="96"/>
        <v>0.5</v>
      </c>
      <c r="P698" s="410">
        <f t="shared" si="96"/>
        <v>0.5</v>
      </c>
      <c r="Q698" s="410">
        <f t="shared" si="96"/>
        <v>0.5</v>
      </c>
      <c r="R698" s="416">
        <f t="shared" si="96"/>
        <v>0.5</v>
      </c>
      <c r="S698" s="710"/>
      <c r="T698" s="166">
        <f t="shared" si="93"/>
        <v>0.06</v>
      </c>
      <c r="U698" s="166">
        <f t="shared" si="93"/>
        <v>0.09</v>
      </c>
      <c r="V698" s="166" t="e">
        <f t="shared" si="89"/>
        <v>#REF!</v>
      </c>
      <c r="W698" s="432" t="e">
        <f t="shared" si="89"/>
        <v>#REF!</v>
      </c>
      <c r="X698" s="475">
        <f t="shared" si="89"/>
        <v>45106067</v>
      </c>
      <c r="Y698" s="418"/>
      <c r="Z698" s="475">
        <f t="shared" ref="Z698:AE698" si="97">+Z692</f>
        <v>0.05</v>
      </c>
      <c r="AA698" s="485">
        <f t="shared" si="97"/>
        <v>0.1</v>
      </c>
      <c r="AB698" s="527">
        <f t="shared" si="97"/>
        <v>0.15</v>
      </c>
      <c r="AC698" s="526">
        <f t="shared" si="97"/>
        <v>0.22</v>
      </c>
      <c r="AD698" s="528">
        <f t="shared" si="97"/>
        <v>0.42</v>
      </c>
      <c r="AE698" s="475" t="str">
        <f t="shared" si="97"/>
        <v>#REF!</v>
      </c>
      <c r="AF698" s="713"/>
      <c r="AG698" s="829"/>
      <c r="AH698" s="710"/>
      <c r="AI698" s="710"/>
      <c r="AJ698" s="710"/>
      <c r="AK698" s="710"/>
      <c r="AL698" s="710"/>
      <c r="AM698" s="710"/>
      <c r="AN698" s="710"/>
      <c r="AO698" s="710"/>
      <c r="AP698" s="710"/>
      <c r="AQ698" s="710"/>
      <c r="AR698" s="710"/>
      <c r="AS698" s="710"/>
      <c r="AT698" s="710"/>
      <c r="AU698" s="710"/>
      <c r="AV698" s="710"/>
      <c r="AW698" s="710"/>
      <c r="AX698" s="710"/>
      <c r="AY698" s="710"/>
    </row>
    <row r="699" spans="1:55" ht="15.75" customHeight="1" x14ac:dyDescent="0.25">
      <c r="A699" s="823"/>
      <c r="B699" s="828"/>
      <c r="C699" s="731"/>
      <c r="D699" s="412" t="s">
        <v>348</v>
      </c>
      <c r="E699" s="190">
        <f t="shared" ref="E699:K699" si="98">+E693</f>
        <v>528105067</v>
      </c>
      <c r="F699" s="190">
        <f t="shared" si="98"/>
        <v>528105067</v>
      </c>
      <c r="G699" s="178">
        <f t="shared" si="98"/>
        <v>528105067</v>
      </c>
      <c r="H699" s="178">
        <f t="shared" si="98"/>
        <v>528105067</v>
      </c>
      <c r="I699" s="178" t="e">
        <f t="shared" si="98"/>
        <v>#REF!</v>
      </c>
      <c r="J699" s="470" t="e">
        <f t="shared" si="98"/>
        <v>#REF!</v>
      </c>
      <c r="K699" s="474">
        <f t="shared" si="98"/>
        <v>0.6</v>
      </c>
      <c r="L699" s="470"/>
      <c r="M699" s="470">
        <f t="shared" ref="M699:R699" si="99">+M693</f>
        <v>528105067</v>
      </c>
      <c r="N699" s="410">
        <f t="shared" si="99"/>
        <v>220180000</v>
      </c>
      <c r="O699" s="410">
        <f t="shared" si="99"/>
        <v>220180000</v>
      </c>
      <c r="P699" s="410">
        <f t="shared" si="99"/>
        <v>199997000</v>
      </c>
      <c r="Q699" s="410">
        <f t="shared" si="99"/>
        <v>218352000</v>
      </c>
      <c r="R699" s="416">
        <f t="shared" si="99"/>
        <v>218352000</v>
      </c>
      <c r="S699" s="731"/>
      <c r="T699" s="166">
        <f t="shared" si="93"/>
        <v>18479500</v>
      </c>
      <c r="U699" s="166">
        <f t="shared" si="93"/>
        <v>377345800</v>
      </c>
      <c r="V699" s="166" t="e">
        <f t="shared" si="89"/>
        <v>#REF!</v>
      </c>
      <c r="W699" s="432" t="e">
        <f t="shared" si="89"/>
        <v>#REF!</v>
      </c>
      <c r="X699" s="475">
        <f t="shared" si="89"/>
        <v>0.55999999999999994</v>
      </c>
      <c r="Y699" s="418"/>
      <c r="Z699" s="475">
        <f t="shared" ref="Z699:AE699" si="100">+Z693</f>
        <v>0</v>
      </c>
      <c r="AA699" s="485">
        <f t="shared" si="100"/>
        <v>162068000</v>
      </c>
      <c r="AB699" s="527">
        <f t="shared" si="100"/>
        <v>162068000</v>
      </c>
      <c r="AC699" s="526">
        <f t="shared" si="100"/>
        <v>162068000</v>
      </c>
      <c r="AD699" s="528">
        <f t="shared" si="100"/>
        <v>162068000</v>
      </c>
      <c r="AE699" s="475" t="str">
        <f t="shared" si="100"/>
        <v>#REF!</v>
      </c>
      <c r="AF699" s="830"/>
      <c r="AG699" s="823"/>
      <c r="AH699" s="731"/>
      <c r="AI699" s="731"/>
      <c r="AJ699" s="731"/>
      <c r="AK699" s="731"/>
      <c r="AL699" s="731"/>
      <c r="AM699" s="731"/>
      <c r="AN699" s="731"/>
      <c r="AO699" s="731"/>
      <c r="AP699" s="731"/>
      <c r="AQ699" s="731"/>
      <c r="AR699" s="731"/>
      <c r="AS699" s="731"/>
      <c r="AT699" s="731"/>
      <c r="AU699" s="731"/>
      <c r="AV699" s="731"/>
      <c r="AW699" s="731"/>
      <c r="AX699" s="731"/>
      <c r="AY699" s="731"/>
    </row>
    <row r="700" spans="1:55" ht="26.25" customHeight="1" x14ac:dyDescent="0.25">
      <c r="A700" s="820">
        <v>8</v>
      </c>
      <c r="B700" s="827" t="s">
        <v>362</v>
      </c>
      <c r="C700" s="914" t="s">
        <v>677</v>
      </c>
      <c r="D700" s="413" t="s">
        <v>340</v>
      </c>
      <c r="E700" s="523">
        <v>1.4</v>
      </c>
      <c r="F700" s="523">
        <v>1.4</v>
      </c>
      <c r="G700" s="178">
        <v>1.4</v>
      </c>
      <c r="H700" s="178">
        <v>1.4</v>
      </c>
      <c r="I700" s="178">
        <v>1.4</v>
      </c>
      <c r="J700" s="470">
        <v>1.4</v>
      </c>
      <c r="K700" s="474">
        <f>+INVERSIÓN!AB59</f>
        <v>1.4</v>
      </c>
      <c r="L700" s="470"/>
      <c r="M700" s="470">
        <f t="shared" ref="M700:M705" si="101">+F700</f>
        <v>1.4</v>
      </c>
      <c r="N700" s="410">
        <v>0.5</v>
      </c>
      <c r="O700" s="410">
        <v>0.5</v>
      </c>
      <c r="P700" s="410">
        <v>0.5</v>
      </c>
      <c r="Q700" s="410">
        <v>0.5</v>
      </c>
      <c r="R700" s="416">
        <v>0.5</v>
      </c>
      <c r="S700" s="952" t="s">
        <v>1415</v>
      </c>
      <c r="T700" s="173">
        <v>7.0000000000000007E-2</v>
      </c>
      <c r="U700" s="182">
        <v>0.19600000000000001</v>
      </c>
      <c r="V700" s="173">
        <v>0.32</v>
      </c>
      <c r="W700" s="442">
        <v>0.44800000000000001</v>
      </c>
      <c r="X700" s="471">
        <f>+INVERSIÓN!BA59</f>
        <v>1.4000000000000004</v>
      </c>
      <c r="Y700" s="471"/>
      <c r="Z700" s="471">
        <v>0</v>
      </c>
      <c r="AA700" s="443">
        <v>0</v>
      </c>
      <c r="AB700" s="481">
        <v>0</v>
      </c>
      <c r="AC700" s="526">
        <v>0.17</v>
      </c>
      <c r="AD700" s="414">
        <v>0.34</v>
      </c>
      <c r="AE700" s="482" t="s">
        <v>673</v>
      </c>
      <c r="AF700" s="957" t="s">
        <v>1416</v>
      </c>
      <c r="AG700" s="919" t="s">
        <v>456</v>
      </c>
      <c r="AH700" s="813" t="s">
        <v>178</v>
      </c>
      <c r="AI700" s="813" t="s">
        <v>178</v>
      </c>
      <c r="AJ700" s="813" t="s">
        <v>178</v>
      </c>
      <c r="AK700" s="914" t="s">
        <v>457</v>
      </c>
      <c r="AL700" s="813"/>
      <c r="AM700" s="813" t="s">
        <v>1335</v>
      </c>
      <c r="AN700" s="910">
        <v>7804660</v>
      </c>
      <c r="AO700" s="910">
        <v>3721767</v>
      </c>
      <c r="AP700" s="910">
        <v>4082893</v>
      </c>
      <c r="AQ700" s="915" t="s">
        <v>459</v>
      </c>
      <c r="AR700" s="915" t="s">
        <v>459</v>
      </c>
      <c r="AS700" s="915" t="s">
        <v>459</v>
      </c>
      <c r="AT700" s="915" t="s">
        <v>459</v>
      </c>
      <c r="AU700" s="915" t="s">
        <v>459</v>
      </c>
      <c r="AV700" s="915" t="s">
        <v>459</v>
      </c>
      <c r="AW700" s="915" t="s">
        <v>459</v>
      </c>
      <c r="AX700" s="910">
        <v>7804660</v>
      </c>
      <c r="AY700" s="427"/>
      <c r="AZ700" s="1"/>
      <c r="BA700" s="1"/>
      <c r="BB700" s="1"/>
      <c r="BC700" s="1"/>
    </row>
    <row r="701" spans="1:55" ht="24.75" customHeight="1" x14ac:dyDescent="0.25">
      <c r="A701" s="829"/>
      <c r="B701" s="710"/>
      <c r="C701" s="710"/>
      <c r="D701" s="404" t="s">
        <v>343</v>
      </c>
      <c r="E701" s="523">
        <v>159600000</v>
      </c>
      <c r="F701" s="523">
        <v>159600000</v>
      </c>
      <c r="G701" s="178">
        <v>250350000</v>
      </c>
      <c r="H701" s="178">
        <v>250350000</v>
      </c>
      <c r="I701" s="178">
        <v>250350000</v>
      </c>
      <c r="J701" s="470">
        <v>222016000</v>
      </c>
      <c r="K701" s="474">
        <f>+INVERSIÓN!AB60</f>
        <v>250350000</v>
      </c>
      <c r="L701" s="450"/>
      <c r="M701" s="470">
        <f t="shared" si="101"/>
        <v>159600000</v>
      </c>
      <c r="N701" s="410">
        <v>152972000</v>
      </c>
      <c r="O701" s="410">
        <v>152972000</v>
      </c>
      <c r="P701" s="410">
        <v>136314000</v>
      </c>
      <c r="Q701" s="410">
        <v>156172000</v>
      </c>
      <c r="R701" s="416">
        <v>156172000</v>
      </c>
      <c r="S701" s="710"/>
      <c r="T701" s="173">
        <v>0</v>
      </c>
      <c r="U701" s="173">
        <v>99990000</v>
      </c>
      <c r="V701" s="173">
        <v>207261000</v>
      </c>
      <c r="W701" s="442">
        <v>222016000</v>
      </c>
      <c r="X701" s="471">
        <f>+INVERSIÓN!BA60</f>
        <v>277709000</v>
      </c>
      <c r="Y701" s="484"/>
      <c r="Z701" s="471">
        <v>0</v>
      </c>
      <c r="AA701" s="443">
        <v>101484000</v>
      </c>
      <c r="AB701" s="481">
        <v>116067000</v>
      </c>
      <c r="AC701" s="526">
        <v>116067000</v>
      </c>
      <c r="AD701" s="414">
        <v>116067000</v>
      </c>
      <c r="AE701" s="482" t="s">
        <v>673</v>
      </c>
      <c r="AF701" s="713"/>
      <c r="AG701" s="829"/>
      <c r="AH701" s="710"/>
      <c r="AI701" s="710"/>
      <c r="AJ701" s="710"/>
      <c r="AK701" s="710"/>
      <c r="AL701" s="710"/>
      <c r="AM701" s="710"/>
      <c r="AN701" s="710"/>
      <c r="AO701" s="710"/>
      <c r="AP701" s="710"/>
      <c r="AQ701" s="710"/>
      <c r="AR701" s="710"/>
      <c r="AS701" s="710"/>
      <c r="AT701" s="710"/>
      <c r="AU701" s="710"/>
      <c r="AV701" s="710"/>
      <c r="AW701" s="710"/>
      <c r="AX701" s="710"/>
      <c r="AY701" s="427"/>
      <c r="AZ701" s="1"/>
      <c r="BA701" s="1"/>
      <c r="BB701" s="1"/>
      <c r="BC701" s="1"/>
    </row>
    <row r="702" spans="1:55" ht="32.25" customHeight="1" x14ac:dyDescent="0.25">
      <c r="A702" s="829"/>
      <c r="B702" s="710"/>
      <c r="C702" s="710"/>
      <c r="D702" s="408" t="s">
        <v>345</v>
      </c>
      <c r="E702" s="523">
        <v>0</v>
      </c>
      <c r="F702" s="523">
        <v>0</v>
      </c>
      <c r="G702" s="178">
        <v>0</v>
      </c>
      <c r="H702" s="178">
        <v>0</v>
      </c>
      <c r="I702" s="178">
        <v>0</v>
      </c>
      <c r="J702" s="470">
        <v>0</v>
      </c>
      <c r="K702" s="474">
        <f>+INVERSIÓN!AB61</f>
        <v>0</v>
      </c>
      <c r="L702" s="450"/>
      <c r="M702" s="470">
        <f t="shared" si="101"/>
        <v>0</v>
      </c>
      <c r="N702" s="410">
        <v>0</v>
      </c>
      <c r="O702" s="410">
        <v>0</v>
      </c>
      <c r="P702" s="410" t="s">
        <v>673</v>
      </c>
      <c r="Q702" s="410" t="s">
        <v>673</v>
      </c>
      <c r="R702" s="416" t="s">
        <v>673</v>
      </c>
      <c r="S702" s="710"/>
      <c r="T702" s="173">
        <v>0</v>
      </c>
      <c r="U702" s="173">
        <v>0</v>
      </c>
      <c r="V702" s="173">
        <v>0</v>
      </c>
      <c r="W702" s="442">
        <v>0</v>
      </c>
      <c r="X702" s="471">
        <f>+INVERSIÓN!BA61</f>
        <v>243612895</v>
      </c>
      <c r="Y702" s="484"/>
      <c r="Z702" s="471">
        <v>0</v>
      </c>
      <c r="AA702" s="443">
        <v>0</v>
      </c>
      <c r="AB702" s="481">
        <v>0</v>
      </c>
      <c r="AC702" s="526" t="s">
        <v>673</v>
      </c>
      <c r="AD702" s="414" t="s">
        <v>673</v>
      </c>
      <c r="AE702" s="482" t="s">
        <v>673</v>
      </c>
      <c r="AF702" s="713"/>
      <c r="AG702" s="829"/>
      <c r="AH702" s="710"/>
      <c r="AI702" s="710"/>
      <c r="AJ702" s="710"/>
      <c r="AK702" s="710"/>
      <c r="AL702" s="710"/>
      <c r="AM702" s="710"/>
      <c r="AN702" s="710"/>
      <c r="AO702" s="710"/>
      <c r="AP702" s="710"/>
      <c r="AQ702" s="710"/>
      <c r="AR702" s="710"/>
      <c r="AS702" s="710"/>
      <c r="AT702" s="710"/>
      <c r="AU702" s="710"/>
      <c r="AV702" s="710"/>
      <c r="AW702" s="710"/>
      <c r="AX702" s="710"/>
      <c r="AY702" s="427"/>
      <c r="AZ702" s="1"/>
      <c r="BA702" s="1"/>
      <c r="BB702" s="1"/>
      <c r="BC702" s="1"/>
    </row>
    <row r="703" spans="1:55" ht="30" customHeight="1" x14ac:dyDescent="0.25">
      <c r="A703" s="829"/>
      <c r="B703" s="710"/>
      <c r="C703" s="710"/>
      <c r="D703" s="404" t="s">
        <v>346</v>
      </c>
      <c r="E703" s="523">
        <v>0</v>
      </c>
      <c r="F703" s="523">
        <v>0</v>
      </c>
      <c r="G703" s="178">
        <v>46923400</v>
      </c>
      <c r="H703" s="178">
        <v>46923400</v>
      </c>
      <c r="I703" s="178">
        <v>46923400</v>
      </c>
      <c r="J703" s="470">
        <v>46923400</v>
      </c>
      <c r="K703" s="474">
        <f>+INVERSIÓN!AB62</f>
        <v>0</v>
      </c>
      <c r="L703" s="450"/>
      <c r="M703" s="470">
        <f t="shared" si="101"/>
        <v>0</v>
      </c>
      <c r="N703" s="410">
        <v>0</v>
      </c>
      <c r="O703" s="410">
        <v>0</v>
      </c>
      <c r="P703" s="410" t="s">
        <v>673</v>
      </c>
      <c r="Q703" s="410" t="s">
        <v>673</v>
      </c>
      <c r="R703" s="416" t="s">
        <v>673</v>
      </c>
      <c r="S703" s="710"/>
      <c r="T703" s="173">
        <v>5648300</v>
      </c>
      <c r="U703" s="173">
        <v>33089933</v>
      </c>
      <c r="V703" s="173">
        <v>42024000</v>
      </c>
      <c r="W703" s="442">
        <v>44906000</v>
      </c>
      <c r="X703" s="471">
        <f>+INVERSIÓN!BA62</f>
        <v>0</v>
      </c>
      <c r="Y703" s="484"/>
      <c r="Z703" s="471">
        <v>0</v>
      </c>
      <c r="AA703" s="443">
        <v>0</v>
      </c>
      <c r="AB703" s="481">
        <v>0</v>
      </c>
      <c r="AC703" s="526" t="s">
        <v>673</v>
      </c>
      <c r="AD703" s="414" t="s">
        <v>673</v>
      </c>
      <c r="AE703" s="482" t="s">
        <v>673</v>
      </c>
      <c r="AF703" s="713"/>
      <c r="AG703" s="829"/>
      <c r="AH703" s="710"/>
      <c r="AI703" s="710"/>
      <c r="AJ703" s="710"/>
      <c r="AK703" s="710"/>
      <c r="AL703" s="710"/>
      <c r="AM703" s="710"/>
      <c r="AN703" s="710"/>
      <c r="AO703" s="710"/>
      <c r="AP703" s="710"/>
      <c r="AQ703" s="710"/>
      <c r="AR703" s="710"/>
      <c r="AS703" s="710"/>
      <c r="AT703" s="710"/>
      <c r="AU703" s="710"/>
      <c r="AV703" s="710"/>
      <c r="AW703" s="710"/>
      <c r="AX703" s="710"/>
      <c r="AY703" s="427"/>
      <c r="AZ703" s="1"/>
      <c r="BA703" s="1"/>
      <c r="BB703" s="1"/>
      <c r="BC703" s="1"/>
    </row>
    <row r="704" spans="1:55" ht="31.5" customHeight="1" x14ac:dyDescent="0.25">
      <c r="A704" s="829"/>
      <c r="B704" s="710"/>
      <c r="C704" s="710"/>
      <c r="D704" s="408" t="s">
        <v>347</v>
      </c>
      <c r="E704" s="523">
        <v>0.5</v>
      </c>
      <c r="F704" s="523">
        <v>0.5</v>
      </c>
      <c r="G704" s="178">
        <v>1.4</v>
      </c>
      <c r="H704" s="178">
        <v>1.4</v>
      </c>
      <c r="I704" s="178">
        <v>1.4</v>
      </c>
      <c r="J704" s="470">
        <v>1.4</v>
      </c>
      <c r="K704" s="474">
        <f>+INVERSIÓN!AB63</f>
        <v>46923400</v>
      </c>
      <c r="L704" s="470"/>
      <c r="M704" s="470">
        <f t="shared" si="101"/>
        <v>0.5</v>
      </c>
      <c r="N704" s="410">
        <v>0.5</v>
      </c>
      <c r="O704" s="410">
        <v>0.5</v>
      </c>
      <c r="P704" s="410">
        <v>0.5</v>
      </c>
      <c r="Q704" s="410">
        <v>0.5</v>
      </c>
      <c r="R704" s="416">
        <v>0.5</v>
      </c>
      <c r="S704" s="710"/>
      <c r="T704" s="173">
        <v>7.0000000000000007E-2</v>
      </c>
      <c r="U704" s="182">
        <v>0.19600000000000001</v>
      </c>
      <c r="V704" s="173">
        <v>0.32</v>
      </c>
      <c r="W704" s="442">
        <v>0.44800000000000001</v>
      </c>
      <c r="X704" s="471">
        <f>+INVERSIÓN!BA63</f>
        <v>46923400</v>
      </c>
      <c r="Y704" s="485"/>
      <c r="Z704" s="471">
        <v>0</v>
      </c>
      <c r="AA704" s="443">
        <v>0</v>
      </c>
      <c r="AB704" s="481">
        <v>0</v>
      </c>
      <c r="AC704" s="526">
        <v>0.17</v>
      </c>
      <c r="AD704" s="414">
        <v>0.34</v>
      </c>
      <c r="AE704" s="482" t="s">
        <v>673</v>
      </c>
      <c r="AF704" s="713"/>
      <c r="AG704" s="829"/>
      <c r="AH704" s="710"/>
      <c r="AI704" s="710"/>
      <c r="AJ704" s="710"/>
      <c r="AK704" s="710"/>
      <c r="AL704" s="710"/>
      <c r="AM704" s="710"/>
      <c r="AN704" s="710"/>
      <c r="AO704" s="710"/>
      <c r="AP704" s="710"/>
      <c r="AQ704" s="710"/>
      <c r="AR704" s="710"/>
      <c r="AS704" s="710"/>
      <c r="AT704" s="710"/>
      <c r="AU704" s="710"/>
      <c r="AV704" s="710"/>
      <c r="AW704" s="710"/>
      <c r="AX704" s="710"/>
      <c r="AY704" s="427"/>
      <c r="AZ704" s="1"/>
      <c r="BA704" s="1"/>
      <c r="BB704" s="1"/>
      <c r="BC704" s="1"/>
    </row>
    <row r="705" spans="1:55" ht="30" customHeight="1" x14ac:dyDescent="0.25">
      <c r="A705" s="829"/>
      <c r="B705" s="710"/>
      <c r="C705" s="731"/>
      <c r="D705" s="412" t="s">
        <v>348</v>
      </c>
      <c r="E705" s="523">
        <v>159600000</v>
      </c>
      <c r="F705" s="523">
        <v>159600000</v>
      </c>
      <c r="G705" s="178">
        <v>297273400</v>
      </c>
      <c r="H705" s="178">
        <v>297273400</v>
      </c>
      <c r="I705" s="178">
        <v>297273400</v>
      </c>
      <c r="J705" s="470">
        <v>268939400</v>
      </c>
      <c r="K705" s="474">
        <f>+INVERSIÓN!AB64</f>
        <v>1.4</v>
      </c>
      <c r="L705" s="452"/>
      <c r="M705" s="470">
        <f t="shared" si="101"/>
        <v>159600000</v>
      </c>
      <c r="N705" s="410">
        <v>152972000</v>
      </c>
      <c r="O705" s="410">
        <v>152972000</v>
      </c>
      <c r="P705" s="410">
        <v>136314000</v>
      </c>
      <c r="Q705" s="410">
        <v>156172000</v>
      </c>
      <c r="R705" s="416">
        <v>156172000</v>
      </c>
      <c r="S705" s="710"/>
      <c r="T705" s="173">
        <v>5648300</v>
      </c>
      <c r="U705" s="173">
        <v>133079933</v>
      </c>
      <c r="V705" s="173">
        <v>249285000</v>
      </c>
      <c r="W705" s="442">
        <v>266922000</v>
      </c>
      <c r="X705" s="471">
        <f>+INVERSIÓN!BA64</f>
        <v>1.4000000000000004</v>
      </c>
      <c r="Y705" s="471"/>
      <c r="Z705" s="471">
        <v>0</v>
      </c>
      <c r="AA705" s="443">
        <v>101484000</v>
      </c>
      <c r="AB705" s="481">
        <v>116067000</v>
      </c>
      <c r="AC705" s="526">
        <v>116067000</v>
      </c>
      <c r="AD705" s="414">
        <v>116067000</v>
      </c>
      <c r="AE705" s="482" t="s">
        <v>673</v>
      </c>
      <c r="AF705" s="713"/>
      <c r="AG705" s="823"/>
      <c r="AH705" s="731"/>
      <c r="AI705" s="731"/>
      <c r="AJ705" s="731"/>
      <c r="AK705" s="731"/>
      <c r="AL705" s="731"/>
      <c r="AM705" s="731"/>
      <c r="AN705" s="731"/>
      <c r="AO705" s="731"/>
      <c r="AP705" s="731"/>
      <c r="AQ705" s="731"/>
      <c r="AR705" s="731"/>
      <c r="AS705" s="731"/>
      <c r="AT705" s="731"/>
      <c r="AU705" s="731"/>
      <c r="AV705" s="731"/>
      <c r="AW705" s="731"/>
      <c r="AX705" s="731"/>
      <c r="AY705" s="427"/>
      <c r="AZ705" s="1"/>
      <c r="BA705" s="1"/>
      <c r="BB705" s="1"/>
      <c r="BC705" s="1"/>
    </row>
    <row r="706" spans="1:55" ht="18" hidden="1" customHeight="1" x14ac:dyDescent="0.25">
      <c r="A706" s="829"/>
      <c r="B706" s="710"/>
      <c r="C706" s="813" t="s">
        <v>646</v>
      </c>
      <c r="D706" s="413" t="s">
        <v>340</v>
      </c>
      <c r="E706" s="523"/>
      <c r="F706" s="523"/>
      <c r="G706" s="178"/>
      <c r="H706" s="178"/>
      <c r="I706" s="178"/>
      <c r="J706" s="470"/>
      <c r="K706" s="474">
        <f>+INVERSIÓN!AB65</f>
        <v>297273400</v>
      </c>
      <c r="L706" s="470"/>
      <c r="M706" s="470"/>
      <c r="N706" s="410"/>
      <c r="O706" s="410"/>
      <c r="P706" s="410"/>
      <c r="Q706" s="410"/>
      <c r="R706" s="416"/>
      <c r="S706" s="710"/>
      <c r="T706" s="173">
        <v>0</v>
      </c>
      <c r="U706" s="173"/>
      <c r="V706" s="173"/>
      <c r="W706" s="442"/>
      <c r="X706" s="471"/>
      <c r="Y706" s="471"/>
      <c r="Z706" s="471"/>
      <c r="AA706" s="443"/>
      <c r="AB706" s="481"/>
      <c r="AC706" s="526"/>
      <c r="AD706" s="414"/>
      <c r="AE706" s="482"/>
      <c r="AF706" s="713"/>
      <c r="AG706" s="913" t="str">
        <f>+C706</f>
        <v>TUNJUELITO</v>
      </c>
      <c r="AH706" s="813" t="s">
        <v>633</v>
      </c>
      <c r="AI706" s="813" t="s">
        <v>633</v>
      </c>
      <c r="AJ706" s="813" t="s">
        <v>633</v>
      </c>
      <c r="AK706" s="786" t="s">
        <v>457</v>
      </c>
      <c r="AL706" s="786"/>
      <c r="AM706" s="786" t="s">
        <v>1335</v>
      </c>
      <c r="AN706" s="931">
        <v>7715777</v>
      </c>
      <c r="AO706" s="910">
        <v>3679381.9895200301</v>
      </c>
      <c r="AP706" s="910">
        <v>4036396.0104799699</v>
      </c>
      <c r="AQ706" s="915" t="s">
        <v>459</v>
      </c>
      <c r="AR706" s="915" t="s">
        <v>459</v>
      </c>
      <c r="AS706" s="915" t="s">
        <v>459</v>
      </c>
      <c r="AT706" s="915" t="s">
        <v>459</v>
      </c>
      <c r="AU706" s="915" t="s">
        <v>459</v>
      </c>
      <c r="AV706" s="915" t="s">
        <v>459</v>
      </c>
      <c r="AW706" s="915" t="s">
        <v>459</v>
      </c>
      <c r="AX706" s="910">
        <v>7715777</v>
      </c>
      <c r="AY706" s="427"/>
    </row>
    <row r="707" spans="1:55" ht="18" hidden="1" customHeight="1" x14ac:dyDescent="0.25">
      <c r="A707" s="829"/>
      <c r="B707" s="710"/>
      <c r="C707" s="710"/>
      <c r="D707" s="404" t="s">
        <v>343</v>
      </c>
      <c r="E707" s="523"/>
      <c r="F707" s="523"/>
      <c r="G707" s="186"/>
      <c r="H707" s="186"/>
      <c r="I707" s="186"/>
      <c r="J707" s="450"/>
      <c r="K707" s="474">
        <f>+INVERSIÓN!AB66</f>
        <v>0</v>
      </c>
      <c r="L707" s="450"/>
      <c r="M707" s="470"/>
      <c r="N707" s="410"/>
      <c r="O707" s="450"/>
      <c r="P707" s="450"/>
      <c r="Q707" s="450"/>
      <c r="R707" s="494"/>
      <c r="S707" s="710"/>
      <c r="T707" s="173">
        <v>0</v>
      </c>
      <c r="U707" s="162"/>
      <c r="V707" s="162"/>
      <c r="W707" s="491"/>
      <c r="X707" s="484"/>
      <c r="Y707" s="484"/>
      <c r="Z707" s="484"/>
      <c r="AA707" s="529"/>
      <c r="AB707" s="530"/>
      <c r="AC707" s="531"/>
      <c r="AD707" s="532"/>
      <c r="AE707" s="533"/>
      <c r="AF707" s="713"/>
      <c r="AG707" s="829"/>
      <c r="AH707" s="710"/>
      <c r="AI707" s="710"/>
      <c r="AJ707" s="710"/>
      <c r="AK707" s="710"/>
      <c r="AL707" s="710"/>
      <c r="AM707" s="710"/>
      <c r="AN707" s="710"/>
      <c r="AO707" s="710"/>
      <c r="AP707" s="710"/>
      <c r="AQ707" s="710"/>
      <c r="AR707" s="710"/>
      <c r="AS707" s="710"/>
      <c r="AT707" s="710"/>
      <c r="AU707" s="710"/>
      <c r="AV707" s="710"/>
      <c r="AW707" s="710"/>
      <c r="AX707" s="710"/>
      <c r="AY707" s="427"/>
    </row>
    <row r="708" spans="1:55" ht="27" hidden="1" customHeight="1" x14ac:dyDescent="0.25">
      <c r="A708" s="829"/>
      <c r="B708" s="710"/>
      <c r="C708" s="710"/>
      <c r="D708" s="408" t="s">
        <v>345</v>
      </c>
      <c r="E708" s="523"/>
      <c r="F708" s="523"/>
      <c r="G708" s="186"/>
      <c r="H708" s="186"/>
      <c r="I708" s="186"/>
      <c r="J708" s="450"/>
      <c r="K708" s="474">
        <f>+INVERSIÓN!AB67</f>
        <v>0</v>
      </c>
      <c r="L708" s="450"/>
      <c r="M708" s="470"/>
      <c r="N708" s="410"/>
      <c r="O708" s="450"/>
      <c r="P708" s="450"/>
      <c r="Q708" s="450"/>
      <c r="R708" s="494"/>
      <c r="S708" s="710"/>
      <c r="T708" s="173">
        <v>0.05</v>
      </c>
      <c r="U708" s="162"/>
      <c r="V708" s="162"/>
      <c r="W708" s="491"/>
      <c r="X708" s="484"/>
      <c r="Y708" s="484"/>
      <c r="Z708" s="484"/>
      <c r="AA708" s="529"/>
      <c r="AB708" s="530"/>
      <c r="AC708" s="531"/>
      <c r="AD708" s="532"/>
      <c r="AE708" s="533"/>
      <c r="AF708" s="713"/>
      <c r="AG708" s="829"/>
      <c r="AH708" s="710"/>
      <c r="AI708" s="710"/>
      <c r="AJ708" s="710"/>
      <c r="AK708" s="710"/>
      <c r="AL708" s="710"/>
      <c r="AM708" s="710"/>
      <c r="AN708" s="710"/>
      <c r="AO708" s="710"/>
      <c r="AP708" s="710"/>
      <c r="AQ708" s="710"/>
      <c r="AR708" s="710"/>
      <c r="AS708" s="710"/>
      <c r="AT708" s="710"/>
      <c r="AU708" s="710"/>
      <c r="AV708" s="710"/>
      <c r="AW708" s="710"/>
      <c r="AX708" s="710"/>
      <c r="AY708" s="427"/>
    </row>
    <row r="709" spans="1:55" ht="27" hidden="1" customHeight="1" x14ac:dyDescent="0.25">
      <c r="A709" s="829"/>
      <c r="B709" s="710"/>
      <c r="C709" s="710"/>
      <c r="D709" s="404" t="s">
        <v>346</v>
      </c>
      <c r="E709" s="523"/>
      <c r="F709" s="523"/>
      <c r="G709" s="186"/>
      <c r="H709" s="186"/>
      <c r="I709" s="186"/>
      <c r="J709" s="450"/>
      <c r="K709" s="474">
        <f>+INVERSIÓN!AB68</f>
        <v>0</v>
      </c>
      <c r="L709" s="450"/>
      <c r="M709" s="470"/>
      <c r="N709" s="410"/>
      <c r="O709" s="450"/>
      <c r="P709" s="450"/>
      <c r="Q709" s="450"/>
      <c r="R709" s="494"/>
      <c r="S709" s="710"/>
      <c r="T709" s="173">
        <v>33914000</v>
      </c>
      <c r="U709" s="162"/>
      <c r="V709" s="162"/>
      <c r="W709" s="491"/>
      <c r="X709" s="484"/>
      <c r="Y709" s="484"/>
      <c r="Z709" s="484"/>
      <c r="AA709" s="529"/>
      <c r="AB709" s="530"/>
      <c r="AC709" s="531"/>
      <c r="AD709" s="532"/>
      <c r="AE709" s="533"/>
      <c r="AF709" s="713"/>
      <c r="AG709" s="829"/>
      <c r="AH709" s="710"/>
      <c r="AI709" s="710"/>
      <c r="AJ709" s="710"/>
      <c r="AK709" s="710"/>
      <c r="AL709" s="710"/>
      <c r="AM709" s="710"/>
      <c r="AN709" s="710"/>
      <c r="AO709" s="710"/>
      <c r="AP709" s="710"/>
      <c r="AQ709" s="710"/>
      <c r="AR709" s="710"/>
      <c r="AS709" s="710"/>
      <c r="AT709" s="710"/>
      <c r="AU709" s="710"/>
      <c r="AV709" s="710"/>
      <c r="AW709" s="710"/>
      <c r="AX709" s="710"/>
      <c r="AY709" s="427"/>
    </row>
    <row r="710" spans="1:55" ht="27" hidden="1" customHeight="1" x14ac:dyDescent="0.25">
      <c r="A710" s="829"/>
      <c r="B710" s="710"/>
      <c r="C710" s="710"/>
      <c r="D710" s="408" t="s">
        <v>347</v>
      </c>
      <c r="E710" s="523"/>
      <c r="F710" s="523"/>
      <c r="G710" s="178"/>
      <c r="H710" s="178"/>
      <c r="I710" s="178"/>
      <c r="J710" s="470"/>
      <c r="K710" s="474">
        <f>+INVERSIÓN!AB69</f>
        <v>0.1</v>
      </c>
      <c r="L710" s="470"/>
      <c r="M710" s="470"/>
      <c r="N710" s="410"/>
      <c r="O710" s="410"/>
      <c r="P710" s="410"/>
      <c r="Q710" s="410"/>
      <c r="R710" s="416"/>
      <c r="S710" s="710"/>
      <c r="T710" s="173">
        <v>0.05</v>
      </c>
      <c r="U710" s="184"/>
      <c r="V710" s="184"/>
      <c r="W710" s="416"/>
      <c r="X710" s="485"/>
      <c r="Y710" s="485"/>
      <c r="Z710" s="485"/>
      <c r="AA710" s="485"/>
      <c r="AB710" s="528"/>
      <c r="AC710" s="526"/>
      <c r="AD710" s="414"/>
      <c r="AE710" s="526"/>
      <c r="AF710" s="713"/>
      <c r="AG710" s="829"/>
      <c r="AH710" s="710"/>
      <c r="AI710" s="710"/>
      <c r="AJ710" s="710"/>
      <c r="AK710" s="710"/>
      <c r="AL710" s="710"/>
      <c r="AM710" s="710"/>
      <c r="AN710" s="710"/>
      <c r="AO710" s="710"/>
      <c r="AP710" s="710"/>
      <c r="AQ710" s="710"/>
      <c r="AR710" s="710"/>
      <c r="AS710" s="710"/>
      <c r="AT710" s="710"/>
      <c r="AU710" s="710"/>
      <c r="AV710" s="710"/>
      <c r="AW710" s="710"/>
      <c r="AX710" s="710"/>
      <c r="AY710" s="427"/>
    </row>
    <row r="711" spans="1:55" ht="27.75" hidden="1" customHeight="1" x14ac:dyDescent="0.25">
      <c r="A711" s="829"/>
      <c r="B711" s="710"/>
      <c r="C711" s="731"/>
      <c r="D711" s="412" t="s">
        <v>348</v>
      </c>
      <c r="E711" s="523"/>
      <c r="F711" s="523"/>
      <c r="G711" s="187"/>
      <c r="H711" s="187"/>
      <c r="I711" s="187"/>
      <c r="J711" s="452"/>
      <c r="K711" s="474">
        <f>+INVERSIÓN!AB70</f>
        <v>160059853</v>
      </c>
      <c r="L711" s="452"/>
      <c r="M711" s="470"/>
      <c r="N711" s="410"/>
      <c r="O711" s="452"/>
      <c r="P711" s="452"/>
      <c r="Q711" s="452"/>
      <c r="R711" s="442"/>
      <c r="S711" s="710"/>
      <c r="T711" s="173">
        <v>33914000</v>
      </c>
      <c r="U711" s="173"/>
      <c r="V711" s="173"/>
      <c r="W711" s="442"/>
      <c r="X711" s="471"/>
      <c r="Y711" s="471"/>
      <c r="Z711" s="471"/>
      <c r="AA711" s="443"/>
      <c r="AB711" s="481"/>
      <c r="AC711" s="531"/>
      <c r="AD711" s="534"/>
      <c r="AE711" s="482"/>
      <c r="AF711" s="713"/>
      <c r="AG711" s="823"/>
      <c r="AH711" s="731"/>
      <c r="AI711" s="731"/>
      <c r="AJ711" s="731"/>
      <c r="AK711" s="731"/>
      <c r="AL711" s="711"/>
      <c r="AM711" s="711"/>
      <c r="AN711" s="731"/>
      <c r="AO711" s="731"/>
      <c r="AP711" s="731"/>
      <c r="AQ711" s="731"/>
      <c r="AR711" s="731"/>
      <c r="AS711" s="731"/>
      <c r="AT711" s="731"/>
      <c r="AU711" s="731"/>
      <c r="AV711" s="731"/>
      <c r="AW711" s="731"/>
      <c r="AX711" s="731"/>
      <c r="AY711" s="427"/>
    </row>
    <row r="712" spans="1:55" ht="18" hidden="1" customHeight="1" x14ac:dyDescent="0.25">
      <c r="A712" s="829"/>
      <c r="B712" s="710"/>
      <c r="C712" s="961" t="s">
        <v>682</v>
      </c>
      <c r="D712" s="413" t="s">
        <v>340</v>
      </c>
      <c r="E712" s="535"/>
      <c r="F712" s="174"/>
      <c r="G712" s="174"/>
      <c r="H712" s="174"/>
      <c r="I712" s="174"/>
      <c r="J712" s="410"/>
      <c r="K712" s="474">
        <f>+INVERSIÓN!AB71</f>
        <v>0.1</v>
      </c>
      <c r="L712" s="410"/>
      <c r="M712" s="410"/>
      <c r="N712" s="410"/>
      <c r="O712" s="410"/>
      <c r="P712" s="410"/>
      <c r="Q712" s="410"/>
      <c r="R712" s="416"/>
      <c r="S712" s="710"/>
      <c r="T712" s="173">
        <v>1.25</v>
      </c>
      <c r="U712" s="173"/>
      <c r="V712" s="173"/>
      <c r="W712" s="442"/>
      <c r="X712" s="471"/>
      <c r="Y712" s="471"/>
      <c r="Z712" s="471"/>
      <c r="AA712" s="443"/>
      <c r="AB712" s="481"/>
      <c r="AC712" s="526"/>
      <c r="AD712" s="414"/>
      <c r="AE712" s="482"/>
      <c r="AF712" s="713"/>
      <c r="AG712" s="913" t="str">
        <f>+C712</f>
        <v>USME</v>
      </c>
      <c r="AH712" s="813" t="s">
        <v>633</v>
      </c>
      <c r="AI712" s="813" t="s">
        <v>633</v>
      </c>
      <c r="AJ712" s="813" t="s">
        <v>633</v>
      </c>
      <c r="AK712" s="813" t="s">
        <v>457</v>
      </c>
      <c r="AL712" s="813"/>
      <c r="AM712" s="813" t="s">
        <v>1335</v>
      </c>
      <c r="AN712" s="931">
        <v>7715777</v>
      </c>
      <c r="AO712" s="910">
        <v>3679381.9895200301</v>
      </c>
      <c r="AP712" s="910">
        <v>4036396.0104799699</v>
      </c>
      <c r="AQ712" s="915" t="s">
        <v>459</v>
      </c>
      <c r="AR712" s="915" t="s">
        <v>459</v>
      </c>
      <c r="AS712" s="915" t="s">
        <v>459</v>
      </c>
      <c r="AT712" s="915" t="s">
        <v>459</v>
      </c>
      <c r="AU712" s="915" t="s">
        <v>459</v>
      </c>
      <c r="AV712" s="915" t="s">
        <v>459</v>
      </c>
      <c r="AW712" s="915" t="s">
        <v>459</v>
      </c>
      <c r="AX712" s="910">
        <v>7715777</v>
      </c>
      <c r="AY712" s="427"/>
    </row>
    <row r="713" spans="1:55" ht="18" hidden="1" customHeight="1" x14ac:dyDescent="0.25">
      <c r="A713" s="829"/>
      <c r="B713" s="710"/>
      <c r="C713" s="713"/>
      <c r="D713" s="404" t="s">
        <v>343</v>
      </c>
      <c r="E713" s="536"/>
      <c r="F713" s="186"/>
      <c r="G713" s="186"/>
      <c r="H713" s="186"/>
      <c r="I713" s="186"/>
      <c r="J713" s="450"/>
      <c r="K713" s="474">
        <f>+INVERSIÓN!AB72</f>
        <v>160059853</v>
      </c>
      <c r="L713" s="450"/>
      <c r="M713" s="450"/>
      <c r="N713" s="410"/>
      <c r="O713" s="450"/>
      <c r="P713" s="450"/>
      <c r="Q713" s="450"/>
      <c r="R713" s="494"/>
      <c r="S713" s="710"/>
      <c r="T713" s="173">
        <v>0</v>
      </c>
      <c r="U713" s="162"/>
      <c r="V713" s="162"/>
      <c r="W713" s="491"/>
      <c r="X713" s="484"/>
      <c r="Y713" s="484"/>
      <c r="Z713" s="484"/>
      <c r="AA713" s="529"/>
      <c r="AB713" s="530"/>
      <c r="AC713" s="531"/>
      <c r="AD713" s="532"/>
      <c r="AE713" s="533"/>
      <c r="AF713" s="713"/>
      <c r="AG713" s="829"/>
      <c r="AH713" s="710"/>
      <c r="AI713" s="710"/>
      <c r="AJ713" s="710"/>
      <c r="AK713" s="710"/>
      <c r="AL713" s="710"/>
      <c r="AM713" s="710"/>
      <c r="AN713" s="710"/>
      <c r="AO713" s="710"/>
      <c r="AP713" s="710"/>
      <c r="AQ713" s="710"/>
      <c r="AR713" s="710"/>
      <c r="AS713" s="710"/>
      <c r="AT713" s="710"/>
      <c r="AU713" s="710"/>
      <c r="AV713" s="710"/>
      <c r="AW713" s="710"/>
      <c r="AX713" s="710"/>
      <c r="AY713" s="427"/>
    </row>
    <row r="714" spans="1:55" ht="27" hidden="1" customHeight="1" x14ac:dyDescent="0.25">
      <c r="A714" s="829"/>
      <c r="B714" s="710"/>
      <c r="C714" s="713"/>
      <c r="D714" s="408" t="s">
        <v>345</v>
      </c>
      <c r="E714" s="536"/>
      <c r="F714" s="186"/>
      <c r="G714" s="186"/>
      <c r="H714" s="186"/>
      <c r="I714" s="186"/>
      <c r="J714" s="450"/>
      <c r="K714" s="474">
        <f>+INVERSIÓN!AB73</f>
        <v>15</v>
      </c>
      <c r="L714" s="450"/>
      <c r="M714" s="450"/>
      <c r="N714" s="410"/>
      <c r="O714" s="450"/>
      <c r="P714" s="450"/>
      <c r="Q714" s="450"/>
      <c r="R714" s="494"/>
      <c r="S714" s="710"/>
      <c r="T714" s="173" t="s">
        <v>673</v>
      </c>
      <c r="U714" s="162"/>
      <c r="V714" s="162"/>
      <c r="W714" s="491"/>
      <c r="X714" s="484"/>
      <c r="Y714" s="484"/>
      <c r="Z714" s="484"/>
      <c r="AA714" s="529"/>
      <c r="AB714" s="530"/>
      <c r="AC714" s="531"/>
      <c r="AD714" s="532"/>
      <c r="AE714" s="533"/>
      <c r="AF714" s="713"/>
      <c r="AG714" s="829"/>
      <c r="AH714" s="710"/>
      <c r="AI714" s="710"/>
      <c r="AJ714" s="710"/>
      <c r="AK714" s="710"/>
      <c r="AL714" s="710"/>
      <c r="AM714" s="710"/>
      <c r="AN714" s="710"/>
      <c r="AO714" s="710"/>
      <c r="AP714" s="710"/>
      <c r="AQ714" s="710"/>
      <c r="AR714" s="710"/>
      <c r="AS714" s="710"/>
      <c r="AT714" s="710"/>
      <c r="AU714" s="710"/>
      <c r="AV714" s="710"/>
      <c r="AW714" s="710"/>
      <c r="AX714" s="710"/>
      <c r="AY714" s="427"/>
    </row>
    <row r="715" spans="1:55" ht="27" hidden="1" customHeight="1" x14ac:dyDescent="0.25">
      <c r="A715" s="829"/>
      <c r="B715" s="710"/>
      <c r="C715" s="713"/>
      <c r="D715" s="404" t="s">
        <v>346</v>
      </c>
      <c r="E715" s="536"/>
      <c r="F715" s="186"/>
      <c r="G715" s="186"/>
      <c r="H715" s="186"/>
      <c r="I715" s="186"/>
      <c r="J715" s="450"/>
      <c r="K715" s="474">
        <f>+INVERSIÓN!AB74</f>
        <v>801561000</v>
      </c>
      <c r="L715" s="450"/>
      <c r="M715" s="450"/>
      <c r="N715" s="410"/>
      <c r="O715" s="450"/>
      <c r="P715" s="450"/>
      <c r="Q715" s="450"/>
      <c r="R715" s="494"/>
      <c r="S715" s="710"/>
      <c r="T715" s="173">
        <v>11357200</v>
      </c>
      <c r="U715" s="162"/>
      <c r="V715" s="162"/>
      <c r="W715" s="491"/>
      <c r="X715" s="484"/>
      <c r="Y715" s="484"/>
      <c r="Z715" s="484"/>
      <c r="AA715" s="529"/>
      <c r="AB715" s="530"/>
      <c r="AC715" s="531"/>
      <c r="AD715" s="532"/>
      <c r="AE715" s="533"/>
      <c r="AF715" s="713"/>
      <c r="AG715" s="829"/>
      <c r="AH715" s="710"/>
      <c r="AI715" s="710"/>
      <c r="AJ715" s="710"/>
      <c r="AK715" s="710"/>
      <c r="AL715" s="710"/>
      <c r="AM715" s="710"/>
      <c r="AN715" s="710"/>
      <c r="AO715" s="710"/>
      <c r="AP715" s="710"/>
      <c r="AQ715" s="710"/>
      <c r="AR715" s="710"/>
      <c r="AS715" s="710"/>
      <c r="AT715" s="710"/>
      <c r="AU715" s="710"/>
      <c r="AV715" s="710"/>
      <c r="AW715" s="710"/>
      <c r="AX715" s="710"/>
      <c r="AY715" s="427"/>
    </row>
    <row r="716" spans="1:55" ht="27" hidden="1" customHeight="1" x14ac:dyDescent="0.25">
      <c r="A716" s="829"/>
      <c r="B716" s="710"/>
      <c r="C716" s="713"/>
      <c r="D716" s="408" t="s">
        <v>347</v>
      </c>
      <c r="E716" s="535"/>
      <c r="F716" s="174"/>
      <c r="G716" s="174"/>
      <c r="H716" s="174"/>
      <c r="I716" s="174"/>
      <c r="J716" s="410"/>
      <c r="K716" s="474">
        <f>+INVERSIÓN!AB75</f>
        <v>0</v>
      </c>
      <c r="L716" s="410"/>
      <c r="M716" s="410"/>
      <c r="N716" s="410"/>
      <c r="O716" s="410"/>
      <c r="P716" s="410"/>
      <c r="Q716" s="410"/>
      <c r="R716" s="416"/>
      <c r="S716" s="710"/>
      <c r="T716" s="173">
        <v>1.25</v>
      </c>
      <c r="U716" s="184"/>
      <c r="V716" s="184"/>
      <c r="W716" s="416"/>
      <c r="X716" s="485"/>
      <c r="Y716" s="485"/>
      <c r="Z716" s="485"/>
      <c r="AA716" s="485"/>
      <c r="AB716" s="528"/>
      <c r="AC716" s="526"/>
      <c r="AD716" s="414"/>
      <c r="AE716" s="526"/>
      <c r="AF716" s="713"/>
      <c r="AG716" s="829"/>
      <c r="AH716" s="710"/>
      <c r="AI716" s="710"/>
      <c r="AJ716" s="710"/>
      <c r="AK716" s="710"/>
      <c r="AL716" s="710"/>
      <c r="AM716" s="710"/>
      <c r="AN716" s="710"/>
      <c r="AO716" s="710"/>
      <c r="AP716" s="710"/>
      <c r="AQ716" s="710"/>
      <c r="AR716" s="710"/>
      <c r="AS716" s="710"/>
      <c r="AT716" s="710"/>
      <c r="AU716" s="710"/>
      <c r="AV716" s="710"/>
      <c r="AW716" s="710"/>
      <c r="AX716" s="710"/>
      <c r="AY716" s="427"/>
    </row>
    <row r="717" spans="1:55" ht="27.75" hidden="1" customHeight="1" x14ac:dyDescent="0.25">
      <c r="A717" s="829"/>
      <c r="B717" s="710"/>
      <c r="C717" s="830"/>
      <c r="D717" s="412" t="s">
        <v>348</v>
      </c>
      <c r="E717" s="537"/>
      <c r="F717" s="187"/>
      <c r="G717" s="187"/>
      <c r="H717" s="187"/>
      <c r="I717" s="187"/>
      <c r="J717" s="452"/>
      <c r="K717" s="474">
        <f>+INVERSIÓN!AB76</f>
        <v>0</v>
      </c>
      <c r="L717" s="452"/>
      <c r="M717" s="452"/>
      <c r="N717" s="410"/>
      <c r="O717" s="452"/>
      <c r="P717" s="452"/>
      <c r="Q717" s="452"/>
      <c r="R717" s="442"/>
      <c r="S717" s="710"/>
      <c r="T717" s="173">
        <v>11357200</v>
      </c>
      <c r="U717" s="173"/>
      <c r="V717" s="173"/>
      <c r="W717" s="442"/>
      <c r="X717" s="471"/>
      <c r="Y717" s="471"/>
      <c r="Z717" s="471"/>
      <c r="AA717" s="443"/>
      <c r="AB717" s="481"/>
      <c r="AC717" s="531"/>
      <c r="AD717" s="534"/>
      <c r="AE717" s="482"/>
      <c r="AF717" s="713"/>
      <c r="AG717" s="823"/>
      <c r="AH717" s="731"/>
      <c r="AI717" s="731"/>
      <c r="AJ717" s="731"/>
      <c r="AK717" s="731"/>
      <c r="AL717" s="731"/>
      <c r="AM717" s="731"/>
      <c r="AN717" s="731"/>
      <c r="AO717" s="731"/>
      <c r="AP717" s="731"/>
      <c r="AQ717" s="731"/>
      <c r="AR717" s="731"/>
      <c r="AS717" s="731"/>
      <c r="AT717" s="731"/>
      <c r="AU717" s="731"/>
      <c r="AV717" s="731"/>
      <c r="AW717" s="731"/>
      <c r="AX717" s="731"/>
      <c r="AY717" s="427"/>
    </row>
    <row r="718" spans="1:55" ht="18" hidden="1" customHeight="1" x14ac:dyDescent="0.25">
      <c r="A718" s="829"/>
      <c r="B718" s="710"/>
      <c r="C718" s="813" t="s">
        <v>1207</v>
      </c>
      <c r="D718" s="413" t="s">
        <v>340</v>
      </c>
      <c r="E718" s="535"/>
      <c r="F718" s="174"/>
      <c r="G718" s="174"/>
      <c r="H718" s="174"/>
      <c r="I718" s="174"/>
      <c r="J718" s="410"/>
      <c r="K718" s="474">
        <f>+INVERSIÓN!AB77</f>
        <v>81973233</v>
      </c>
      <c r="L718" s="410"/>
      <c r="M718" s="410"/>
      <c r="N718" s="410"/>
      <c r="O718" s="410"/>
      <c r="P718" s="410"/>
      <c r="Q718" s="410"/>
      <c r="R718" s="416"/>
      <c r="S718" s="710"/>
      <c r="T718" s="173">
        <v>0</v>
      </c>
      <c r="U718" s="173"/>
      <c r="V718" s="173"/>
      <c r="W718" s="442"/>
      <c r="X718" s="471"/>
      <c r="Y718" s="471"/>
      <c r="Z718" s="471"/>
      <c r="AA718" s="443"/>
      <c r="AB718" s="481"/>
      <c r="AC718" s="526"/>
      <c r="AD718" s="414"/>
      <c r="AE718" s="482"/>
      <c r="AF718" s="713"/>
      <c r="AG718" s="913" t="str">
        <f>+C718</f>
        <v>CIUDAD BOLIVAR</v>
      </c>
      <c r="AH718" s="813" t="s">
        <v>633</v>
      </c>
      <c r="AI718" s="813" t="s">
        <v>633</v>
      </c>
      <c r="AJ718" s="813" t="s">
        <v>633</v>
      </c>
      <c r="AK718" s="813" t="s">
        <v>457</v>
      </c>
      <c r="AL718" s="813"/>
      <c r="AM718" s="813" t="s">
        <v>1335</v>
      </c>
      <c r="AN718" s="931">
        <v>7715777</v>
      </c>
      <c r="AO718" s="910">
        <v>3679381.9895200301</v>
      </c>
      <c r="AP718" s="910">
        <v>4036396.0104799699</v>
      </c>
      <c r="AQ718" s="915" t="s">
        <v>459</v>
      </c>
      <c r="AR718" s="915" t="s">
        <v>459</v>
      </c>
      <c r="AS718" s="915" t="s">
        <v>459</v>
      </c>
      <c r="AT718" s="915" t="s">
        <v>459</v>
      </c>
      <c r="AU718" s="915" t="s">
        <v>459</v>
      </c>
      <c r="AV718" s="915" t="s">
        <v>459</v>
      </c>
      <c r="AW718" s="915" t="s">
        <v>459</v>
      </c>
      <c r="AX718" s="910">
        <v>7715777</v>
      </c>
      <c r="AY718" s="427"/>
    </row>
    <row r="719" spans="1:55" ht="18" hidden="1" customHeight="1" x14ac:dyDescent="0.25">
      <c r="A719" s="829"/>
      <c r="B719" s="710"/>
      <c r="C719" s="710"/>
      <c r="D719" s="404" t="s">
        <v>343</v>
      </c>
      <c r="E719" s="536"/>
      <c r="F719" s="186"/>
      <c r="G719" s="186"/>
      <c r="H719" s="186"/>
      <c r="I719" s="186"/>
      <c r="J719" s="450"/>
      <c r="K719" s="474">
        <f>+INVERSIÓN!AB78</f>
        <v>15</v>
      </c>
      <c r="L719" s="450"/>
      <c r="M719" s="450"/>
      <c r="N719" s="410"/>
      <c r="O719" s="450"/>
      <c r="P719" s="450"/>
      <c r="Q719" s="450"/>
      <c r="R719" s="494"/>
      <c r="S719" s="710"/>
      <c r="T719" s="173">
        <v>135468608</v>
      </c>
      <c r="U719" s="162"/>
      <c r="V719" s="162"/>
      <c r="W719" s="491"/>
      <c r="X719" s="484"/>
      <c r="Y719" s="484"/>
      <c r="Z719" s="484"/>
      <c r="AA719" s="529"/>
      <c r="AB719" s="530"/>
      <c r="AC719" s="531"/>
      <c r="AD719" s="532"/>
      <c r="AE719" s="533"/>
      <c r="AF719" s="713"/>
      <c r="AG719" s="829"/>
      <c r="AH719" s="710"/>
      <c r="AI719" s="710"/>
      <c r="AJ719" s="710"/>
      <c r="AK719" s="710"/>
      <c r="AL719" s="710"/>
      <c r="AM719" s="710"/>
      <c r="AN719" s="710"/>
      <c r="AO719" s="710"/>
      <c r="AP719" s="710"/>
      <c r="AQ719" s="710"/>
      <c r="AR719" s="710"/>
      <c r="AS719" s="710"/>
      <c r="AT719" s="710"/>
      <c r="AU719" s="710"/>
      <c r="AV719" s="710"/>
      <c r="AW719" s="710"/>
      <c r="AX719" s="710"/>
      <c r="AY719" s="427"/>
    </row>
    <row r="720" spans="1:55" ht="27" hidden="1" customHeight="1" x14ac:dyDescent="0.25">
      <c r="A720" s="829"/>
      <c r="B720" s="710"/>
      <c r="C720" s="710"/>
      <c r="D720" s="408" t="s">
        <v>345</v>
      </c>
      <c r="E720" s="536"/>
      <c r="F720" s="186"/>
      <c r="G720" s="186"/>
      <c r="H720" s="186"/>
      <c r="I720" s="186"/>
      <c r="J720" s="450"/>
      <c r="K720" s="474">
        <f>+INVERSIÓN!AB79</f>
        <v>883534233</v>
      </c>
      <c r="L720" s="450"/>
      <c r="M720" s="450"/>
      <c r="N720" s="410"/>
      <c r="O720" s="450"/>
      <c r="P720" s="450"/>
      <c r="Q720" s="450"/>
      <c r="R720" s="494"/>
      <c r="S720" s="710"/>
      <c r="T720" s="173">
        <v>135468608</v>
      </c>
      <c r="U720" s="162"/>
      <c r="V720" s="162"/>
      <c r="W720" s="491"/>
      <c r="X720" s="484"/>
      <c r="Y720" s="484"/>
      <c r="Z720" s="484"/>
      <c r="AA720" s="529"/>
      <c r="AB720" s="530"/>
      <c r="AC720" s="531"/>
      <c r="AD720" s="532"/>
      <c r="AE720" s="533"/>
      <c r="AF720" s="713"/>
      <c r="AG720" s="829"/>
      <c r="AH720" s="710"/>
      <c r="AI720" s="710"/>
      <c r="AJ720" s="710"/>
      <c r="AK720" s="710"/>
      <c r="AL720" s="710"/>
      <c r="AM720" s="710"/>
      <c r="AN720" s="710"/>
      <c r="AO720" s="710"/>
      <c r="AP720" s="710"/>
      <c r="AQ720" s="710"/>
      <c r="AR720" s="710"/>
      <c r="AS720" s="710"/>
      <c r="AT720" s="710"/>
      <c r="AU720" s="710"/>
      <c r="AV720" s="710"/>
      <c r="AW720" s="710"/>
      <c r="AX720" s="710"/>
      <c r="AY720" s="427"/>
    </row>
    <row r="721" spans="1:51" ht="27" hidden="1" customHeight="1" x14ac:dyDescent="0.25">
      <c r="A721" s="829"/>
      <c r="B721" s="710"/>
      <c r="C721" s="710"/>
      <c r="D721" s="404" t="s">
        <v>346</v>
      </c>
      <c r="E721" s="536"/>
      <c r="F721" s="186"/>
      <c r="G721" s="186"/>
      <c r="H721" s="186"/>
      <c r="I721" s="186"/>
      <c r="J721" s="450"/>
      <c r="K721" s="474">
        <f>+INVERSIÓN!AB80</f>
        <v>3459505000</v>
      </c>
      <c r="L721" s="450"/>
      <c r="M721" s="450"/>
      <c r="N721" s="410"/>
      <c r="O721" s="450"/>
      <c r="P721" s="450"/>
      <c r="Q721" s="450"/>
      <c r="R721" s="494"/>
      <c r="S721" s="710"/>
      <c r="T721" s="173" t="s">
        <v>673</v>
      </c>
      <c r="U721" s="162"/>
      <c r="V721" s="162"/>
      <c r="W721" s="491"/>
      <c r="X721" s="484"/>
      <c r="Y721" s="484"/>
      <c r="Z721" s="484"/>
      <c r="AA721" s="529"/>
      <c r="AB721" s="530"/>
      <c r="AC721" s="531"/>
      <c r="AD721" s="532"/>
      <c r="AE721" s="533"/>
      <c r="AF721" s="713"/>
      <c r="AG721" s="829"/>
      <c r="AH721" s="710"/>
      <c r="AI721" s="710"/>
      <c r="AJ721" s="710"/>
      <c r="AK721" s="710"/>
      <c r="AL721" s="710"/>
      <c r="AM721" s="710"/>
      <c r="AN721" s="710"/>
      <c r="AO721" s="710"/>
      <c r="AP721" s="710"/>
      <c r="AQ721" s="710"/>
      <c r="AR721" s="710"/>
      <c r="AS721" s="710"/>
      <c r="AT721" s="710"/>
      <c r="AU721" s="710"/>
      <c r="AV721" s="710"/>
      <c r="AW721" s="710"/>
      <c r="AX721" s="710"/>
      <c r="AY721" s="427"/>
    </row>
    <row r="722" spans="1:51" ht="27" hidden="1" customHeight="1" x14ac:dyDescent="0.25">
      <c r="A722" s="829"/>
      <c r="B722" s="710"/>
      <c r="C722" s="710"/>
      <c r="D722" s="408" t="s">
        <v>347</v>
      </c>
      <c r="E722" s="535"/>
      <c r="F722" s="174"/>
      <c r="G722" s="174"/>
      <c r="H722" s="174"/>
      <c r="I722" s="174"/>
      <c r="J722" s="410"/>
      <c r="K722" s="474">
        <f>+INVERSIÓN!AB81</f>
        <v>793552573</v>
      </c>
      <c r="L722" s="410"/>
      <c r="M722" s="410"/>
      <c r="N722" s="410"/>
      <c r="O722" s="410"/>
      <c r="P722" s="410"/>
      <c r="Q722" s="410"/>
      <c r="R722" s="416"/>
      <c r="S722" s="710"/>
      <c r="T722" s="173" t="s">
        <v>673</v>
      </c>
      <c r="U722" s="184"/>
      <c r="V722" s="184"/>
      <c r="W722" s="416"/>
      <c r="X722" s="485"/>
      <c r="Y722" s="485"/>
      <c r="Z722" s="485"/>
      <c r="AA722" s="485"/>
      <c r="AB722" s="528"/>
      <c r="AC722" s="526"/>
      <c r="AD722" s="414"/>
      <c r="AE722" s="526"/>
      <c r="AF722" s="713"/>
      <c r="AG722" s="829"/>
      <c r="AH722" s="710"/>
      <c r="AI722" s="710"/>
      <c r="AJ722" s="710"/>
      <c r="AK722" s="710"/>
      <c r="AL722" s="710"/>
      <c r="AM722" s="710"/>
      <c r="AN722" s="710"/>
      <c r="AO722" s="710"/>
      <c r="AP722" s="710"/>
      <c r="AQ722" s="710"/>
      <c r="AR722" s="710"/>
      <c r="AS722" s="710"/>
      <c r="AT722" s="710"/>
      <c r="AU722" s="710"/>
      <c r="AV722" s="710"/>
      <c r="AW722" s="710"/>
      <c r="AX722" s="710"/>
      <c r="AY722" s="427"/>
    </row>
    <row r="723" spans="1:51" ht="27.75" hidden="1" customHeight="1" x14ac:dyDescent="0.25">
      <c r="A723" s="829"/>
      <c r="B723" s="710"/>
      <c r="C723" s="731"/>
      <c r="D723" s="412" t="s">
        <v>348</v>
      </c>
      <c r="E723" s="537"/>
      <c r="F723" s="187"/>
      <c r="G723" s="187"/>
      <c r="H723" s="187"/>
      <c r="I723" s="187"/>
      <c r="J723" s="452"/>
      <c r="K723" s="474">
        <f>+INVERSIÓN!AB82</f>
        <v>4253057573</v>
      </c>
      <c r="L723" s="452"/>
      <c r="M723" s="452"/>
      <c r="N723" s="410"/>
      <c r="O723" s="452"/>
      <c r="P723" s="452"/>
      <c r="Q723" s="452"/>
      <c r="R723" s="442"/>
      <c r="S723" s="710"/>
      <c r="T723" s="173" t="s">
        <v>673</v>
      </c>
      <c r="U723" s="173"/>
      <c r="V723" s="173"/>
      <c r="W723" s="442"/>
      <c r="X723" s="471"/>
      <c r="Y723" s="471"/>
      <c r="Z723" s="471"/>
      <c r="AA723" s="443"/>
      <c r="AB723" s="481"/>
      <c r="AC723" s="531"/>
      <c r="AD723" s="534"/>
      <c r="AE723" s="482"/>
      <c r="AF723" s="713"/>
      <c r="AG723" s="823"/>
      <c r="AH723" s="731"/>
      <c r="AI723" s="731"/>
      <c r="AJ723" s="731"/>
      <c r="AK723" s="731"/>
      <c r="AL723" s="731"/>
      <c r="AM723" s="731"/>
      <c r="AN723" s="731"/>
      <c r="AO723" s="731"/>
      <c r="AP723" s="731"/>
      <c r="AQ723" s="731"/>
      <c r="AR723" s="731"/>
      <c r="AS723" s="731"/>
      <c r="AT723" s="731"/>
      <c r="AU723" s="731"/>
      <c r="AV723" s="731"/>
      <c r="AW723" s="731"/>
      <c r="AX723" s="731"/>
      <c r="AY723" s="427"/>
    </row>
    <row r="724" spans="1:51" ht="18" hidden="1" customHeight="1" x14ac:dyDescent="0.25">
      <c r="A724" s="829"/>
      <c r="B724" s="710"/>
      <c r="C724" s="813" t="s">
        <v>670</v>
      </c>
      <c r="D724" s="413" t="s">
        <v>340</v>
      </c>
      <c r="E724" s="535"/>
      <c r="F724" s="174"/>
      <c r="G724" s="174"/>
      <c r="H724" s="174"/>
      <c r="I724" s="174"/>
      <c r="J724" s="410"/>
      <c r="K724" s="474">
        <f>+INVERSIÓN!AB84</f>
        <v>0</v>
      </c>
      <c r="L724" s="410"/>
      <c r="M724" s="410"/>
      <c r="N724" s="410"/>
      <c r="O724" s="410"/>
      <c r="P724" s="410"/>
      <c r="Q724" s="410"/>
      <c r="R724" s="416"/>
      <c r="S724" s="710"/>
      <c r="T724" s="173" t="s">
        <v>673</v>
      </c>
      <c r="U724" s="173"/>
      <c r="V724" s="173"/>
      <c r="W724" s="442"/>
      <c r="X724" s="471"/>
      <c r="Y724" s="471"/>
      <c r="Z724" s="471"/>
      <c r="AA724" s="443"/>
      <c r="AB724" s="481"/>
      <c r="AC724" s="526"/>
      <c r="AD724" s="414"/>
      <c r="AE724" s="482"/>
      <c r="AF724" s="713"/>
      <c r="AG724" s="913" t="str">
        <f>+C724</f>
        <v>PUENTE ARANDA</v>
      </c>
      <c r="AH724" s="813" t="s">
        <v>633</v>
      </c>
      <c r="AI724" s="813" t="s">
        <v>633</v>
      </c>
      <c r="AJ724" s="813" t="s">
        <v>633</v>
      </c>
      <c r="AK724" s="813" t="s">
        <v>457</v>
      </c>
      <c r="AL724" s="813"/>
      <c r="AM724" s="813" t="s">
        <v>1335</v>
      </c>
      <c r="AN724" s="931">
        <v>7715777</v>
      </c>
      <c r="AO724" s="910">
        <v>3679381.9895200301</v>
      </c>
      <c r="AP724" s="910">
        <v>4036396.0104799699</v>
      </c>
      <c r="AQ724" s="915" t="s">
        <v>459</v>
      </c>
      <c r="AR724" s="915" t="s">
        <v>459</v>
      </c>
      <c r="AS724" s="915" t="s">
        <v>459</v>
      </c>
      <c r="AT724" s="915" t="s">
        <v>459</v>
      </c>
      <c r="AU724" s="915" t="s">
        <v>459</v>
      </c>
      <c r="AV724" s="915" t="s">
        <v>459</v>
      </c>
      <c r="AW724" s="915" t="s">
        <v>459</v>
      </c>
      <c r="AX724" s="910">
        <v>7715777</v>
      </c>
      <c r="AY724" s="427"/>
    </row>
    <row r="725" spans="1:51" ht="18" hidden="1" customHeight="1" x14ac:dyDescent="0.25">
      <c r="A725" s="829"/>
      <c r="B725" s="710"/>
      <c r="C725" s="710"/>
      <c r="D725" s="404" t="s">
        <v>343</v>
      </c>
      <c r="E725" s="536"/>
      <c r="F725" s="186"/>
      <c r="G725" s="186"/>
      <c r="H725" s="186"/>
      <c r="I725" s="186"/>
      <c r="J725" s="450"/>
      <c r="K725" s="474">
        <f>+INVERSIÓN!AB85</f>
        <v>0</v>
      </c>
      <c r="L725" s="450"/>
      <c r="M725" s="450"/>
      <c r="N725" s="410"/>
      <c r="O725" s="450"/>
      <c r="P725" s="450"/>
      <c r="Q725" s="450"/>
      <c r="R725" s="494"/>
      <c r="S725" s="710"/>
      <c r="T725" s="173" t="s">
        <v>673</v>
      </c>
      <c r="U725" s="162"/>
      <c r="V725" s="162"/>
      <c r="W725" s="491"/>
      <c r="X725" s="484"/>
      <c r="Y725" s="484"/>
      <c r="Z725" s="484"/>
      <c r="AA725" s="529"/>
      <c r="AB725" s="530"/>
      <c r="AC725" s="531"/>
      <c r="AD725" s="532"/>
      <c r="AE725" s="533"/>
      <c r="AF725" s="713"/>
      <c r="AG725" s="829"/>
      <c r="AH725" s="710"/>
      <c r="AI725" s="710"/>
      <c r="AJ725" s="710"/>
      <c r="AK725" s="710"/>
      <c r="AL725" s="710"/>
      <c r="AM725" s="710"/>
      <c r="AN725" s="710"/>
      <c r="AO725" s="710"/>
      <c r="AP725" s="710"/>
      <c r="AQ725" s="710"/>
      <c r="AR725" s="710"/>
      <c r="AS725" s="710"/>
      <c r="AT725" s="710"/>
      <c r="AU725" s="710"/>
      <c r="AV725" s="710"/>
      <c r="AW725" s="710"/>
      <c r="AX725" s="710"/>
      <c r="AY725" s="427"/>
    </row>
    <row r="726" spans="1:51" ht="27" hidden="1" customHeight="1" x14ac:dyDescent="0.25">
      <c r="A726" s="829"/>
      <c r="B726" s="710"/>
      <c r="C726" s="710"/>
      <c r="D726" s="408" t="s">
        <v>345</v>
      </c>
      <c r="E726" s="536"/>
      <c r="F726" s="186"/>
      <c r="G726" s="186"/>
      <c r="H726" s="186"/>
      <c r="I726" s="186"/>
      <c r="J726" s="450"/>
      <c r="K726" s="474" t="e">
        <f>+INVERSIÓN!#REF!</f>
        <v>#REF!</v>
      </c>
      <c r="L726" s="450"/>
      <c r="M726" s="450"/>
      <c r="N726" s="410"/>
      <c r="O726" s="450"/>
      <c r="P726" s="450"/>
      <c r="Q726" s="450"/>
      <c r="R726" s="494"/>
      <c r="S726" s="710"/>
      <c r="T726" s="173" t="s">
        <v>673</v>
      </c>
      <c r="U726" s="162"/>
      <c r="V726" s="162"/>
      <c r="W726" s="491"/>
      <c r="X726" s="484"/>
      <c r="Y726" s="484"/>
      <c r="Z726" s="484"/>
      <c r="AA726" s="529"/>
      <c r="AB726" s="530"/>
      <c r="AC726" s="531"/>
      <c r="AD726" s="532"/>
      <c r="AE726" s="533"/>
      <c r="AF726" s="713"/>
      <c r="AG726" s="829"/>
      <c r="AH726" s="710"/>
      <c r="AI726" s="710"/>
      <c r="AJ726" s="710"/>
      <c r="AK726" s="710"/>
      <c r="AL726" s="710"/>
      <c r="AM726" s="710"/>
      <c r="AN726" s="710"/>
      <c r="AO726" s="710"/>
      <c r="AP726" s="710"/>
      <c r="AQ726" s="710"/>
      <c r="AR726" s="710"/>
      <c r="AS726" s="710"/>
      <c r="AT726" s="710"/>
      <c r="AU726" s="710"/>
      <c r="AV726" s="710"/>
      <c r="AW726" s="710"/>
      <c r="AX726" s="710"/>
      <c r="AY726" s="427"/>
    </row>
    <row r="727" spans="1:51" ht="27" hidden="1" customHeight="1" x14ac:dyDescent="0.25">
      <c r="A727" s="829"/>
      <c r="B727" s="710"/>
      <c r="C727" s="710"/>
      <c r="D727" s="404" t="s">
        <v>346</v>
      </c>
      <c r="E727" s="536"/>
      <c r="F727" s="186"/>
      <c r="G727" s="186"/>
      <c r="H727" s="186"/>
      <c r="I727" s="186"/>
      <c r="J727" s="450"/>
      <c r="K727" s="474" t="e">
        <f>+INVERSIÓN!#REF!</f>
        <v>#REF!</v>
      </c>
      <c r="L727" s="450"/>
      <c r="M727" s="450"/>
      <c r="N727" s="410"/>
      <c r="O727" s="450"/>
      <c r="P727" s="450"/>
      <c r="Q727" s="450"/>
      <c r="R727" s="494"/>
      <c r="S727" s="710"/>
      <c r="T727" s="173" t="s">
        <v>673</v>
      </c>
      <c r="U727" s="162"/>
      <c r="V727" s="162"/>
      <c r="W727" s="491"/>
      <c r="X727" s="484"/>
      <c r="Y727" s="484"/>
      <c r="Z727" s="484"/>
      <c r="AA727" s="529"/>
      <c r="AB727" s="530"/>
      <c r="AC727" s="531"/>
      <c r="AD727" s="532"/>
      <c r="AE727" s="533"/>
      <c r="AF727" s="713"/>
      <c r="AG727" s="829"/>
      <c r="AH727" s="710"/>
      <c r="AI727" s="710"/>
      <c r="AJ727" s="710"/>
      <c r="AK727" s="710"/>
      <c r="AL727" s="710"/>
      <c r="AM727" s="710"/>
      <c r="AN727" s="710"/>
      <c r="AO727" s="710"/>
      <c r="AP727" s="710"/>
      <c r="AQ727" s="710"/>
      <c r="AR727" s="710"/>
      <c r="AS727" s="710"/>
      <c r="AT727" s="710"/>
      <c r="AU727" s="710"/>
      <c r="AV727" s="710"/>
      <c r="AW727" s="710"/>
      <c r="AX727" s="710"/>
      <c r="AY727" s="427"/>
    </row>
    <row r="728" spans="1:51" ht="27" hidden="1" customHeight="1" x14ac:dyDescent="0.25">
      <c r="A728" s="829"/>
      <c r="B728" s="710"/>
      <c r="C728" s="710"/>
      <c r="D728" s="408" t="s">
        <v>347</v>
      </c>
      <c r="E728" s="535"/>
      <c r="F728" s="174"/>
      <c r="G728" s="174"/>
      <c r="H728" s="174"/>
      <c r="I728" s="174"/>
      <c r="J728" s="410"/>
      <c r="K728" s="474" t="e">
        <f>+INVERSIÓN!#REF!</f>
        <v>#REF!</v>
      </c>
      <c r="L728" s="410"/>
      <c r="M728" s="410"/>
      <c r="N728" s="410"/>
      <c r="O728" s="410"/>
      <c r="P728" s="410"/>
      <c r="Q728" s="410"/>
      <c r="R728" s="416"/>
      <c r="S728" s="710"/>
      <c r="T728" s="173" t="s">
        <v>673</v>
      </c>
      <c r="U728" s="184"/>
      <c r="V728" s="184"/>
      <c r="W728" s="416"/>
      <c r="X728" s="485"/>
      <c r="Y728" s="485"/>
      <c r="Z728" s="485"/>
      <c r="AA728" s="485"/>
      <c r="AB728" s="528"/>
      <c r="AC728" s="526"/>
      <c r="AD728" s="414"/>
      <c r="AE728" s="526"/>
      <c r="AF728" s="713"/>
      <c r="AG728" s="829"/>
      <c r="AH728" s="710"/>
      <c r="AI728" s="710"/>
      <c r="AJ728" s="710"/>
      <c r="AK728" s="710"/>
      <c r="AL728" s="710"/>
      <c r="AM728" s="710"/>
      <c r="AN728" s="710"/>
      <c r="AO728" s="710"/>
      <c r="AP728" s="710"/>
      <c r="AQ728" s="710"/>
      <c r="AR728" s="710"/>
      <c r="AS728" s="710"/>
      <c r="AT728" s="710"/>
      <c r="AU728" s="710"/>
      <c r="AV728" s="710"/>
      <c r="AW728" s="710"/>
      <c r="AX728" s="710"/>
      <c r="AY728" s="427"/>
    </row>
    <row r="729" spans="1:51" ht="27.75" hidden="1" customHeight="1" x14ac:dyDescent="0.25">
      <c r="A729" s="829"/>
      <c r="B729" s="710"/>
      <c r="C729" s="731"/>
      <c r="D729" s="412" t="s">
        <v>348</v>
      </c>
      <c r="E729" s="537"/>
      <c r="F729" s="187"/>
      <c r="G729" s="187"/>
      <c r="H729" s="187"/>
      <c r="I729" s="187"/>
      <c r="J729" s="452"/>
      <c r="K729" s="474" t="e">
        <f>+INVERSIÓN!#REF!</f>
        <v>#REF!</v>
      </c>
      <c r="L729" s="452"/>
      <c r="M729" s="452"/>
      <c r="N729" s="410"/>
      <c r="O729" s="452"/>
      <c r="P729" s="452"/>
      <c r="Q729" s="452"/>
      <c r="R729" s="442"/>
      <c r="S729" s="710"/>
      <c r="T729" s="173" t="s">
        <v>673</v>
      </c>
      <c r="U729" s="173"/>
      <c r="V729" s="173"/>
      <c r="W729" s="442"/>
      <c r="X729" s="471"/>
      <c r="Y729" s="471"/>
      <c r="Z729" s="471"/>
      <c r="AA729" s="443"/>
      <c r="AB729" s="481"/>
      <c r="AC729" s="531"/>
      <c r="AD729" s="534"/>
      <c r="AE729" s="482"/>
      <c r="AF729" s="713"/>
      <c r="AG729" s="823"/>
      <c r="AH729" s="731"/>
      <c r="AI729" s="731"/>
      <c r="AJ729" s="731"/>
      <c r="AK729" s="731"/>
      <c r="AL729" s="731"/>
      <c r="AM729" s="731"/>
      <c r="AN729" s="731"/>
      <c r="AO729" s="731"/>
      <c r="AP729" s="731"/>
      <c r="AQ729" s="731"/>
      <c r="AR729" s="731"/>
      <c r="AS729" s="731"/>
      <c r="AT729" s="731"/>
      <c r="AU729" s="731"/>
      <c r="AV729" s="731"/>
      <c r="AW729" s="731"/>
      <c r="AX729" s="731"/>
      <c r="AY729" s="427"/>
    </row>
    <row r="730" spans="1:51" ht="18" hidden="1" customHeight="1" x14ac:dyDescent="0.25">
      <c r="A730" s="829"/>
      <c r="B730" s="710"/>
      <c r="C730" s="813" t="s">
        <v>526</v>
      </c>
      <c r="D730" s="413" t="s">
        <v>340</v>
      </c>
      <c r="E730" s="535"/>
      <c r="F730" s="174"/>
      <c r="G730" s="174"/>
      <c r="H730" s="174"/>
      <c r="I730" s="174"/>
      <c r="J730" s="410"/>
      <c r="K730" s="474">
        <f>+INVERSIÓN!AB86</f>
        <v>0</v>
      </c>
      <c r="L730" s="410"/>
      <c r="M730" s="410"/>
      <c r="N730" s="410"/>
      <c r="O730" s="410"/>
      <c r="P730" s="410"/>
      <c r="Q730" s="410"/>
      <c r="R730" s="416"/>
      <c r="S730" s="710"/>
      <c r="T730" s="173" t="s">
        <v>673</v>
      </c>
      <c r="U730" s="173"/>
      <c r="V730" s="173"/>
      <c r="W730" s="442"/>
      <c r="X730" s="471"/>
      <c r="Y730" s="471"/>
      <c r="Z730" s="471"/>
      <c r="AA730" s="443"/>
      <c r="AB730" s="481"/>
      <c r="AC730" s="526"/>
      <c r="AD730" s="414"/>
      <c r="AE730" s="482"/>
      <c r="AF730" s="713"/>
      <c r="AG730" s="913" t="str">
        <f>+C730</f>
        <v>KENNEDY</v>
      </c>
      <c r="AH730" s="813" t="s">
        <v>633</v>
      </c>
      <c r="AI730" s="813" t="s">
        <v>633</v>
      </c>
      <c r="AJ730" s="813" t="s">
        <v>633</v>
      </c>
      <c r="AK730" s="813" t="s">
        <v>457</v>
      </c>
      <c r="AL730" s="813"/>
      <c r="AM730" s="813" t="s">
        <v>1335</v>
      </c>
      <c r="AN730" s="931">
        <v>7715777</v>
      </c>
      <c r="AO730" s="910">
        <v>3679381.9895200301</v>
      </c>
      <c r="AP730" s="910">
        <v>4036396.0104799699</v>
      </c>
      <c r="AQ730" s="915" t="s">
        <v>459</v>
      </c>
      <c r="AR730" s="915" t="s">
        <v>459</v>
      </c>
      <c r="AS730" s="915" t="s">
        <v>459</v>
      </c>
      <c r="AT730" s="915" t="s">
        <v>459</v>
      </c>
      <c r="AU730" s="915" t="s">
        <v>459</v>
      </c>
      <c r="AV730" s="915" t="s">
        <v>459</v>
      </c>
      <c r="AW730" s="915" t="s">
        <v>459</v>
      </c>
      <c r="AX730" s="910">
        <v>7715777</v>
      </c>
      <c r="AY730" s="427"/>
    </row>
    <row r="731" spans="1:51" ht="18" hidden="1" customHeight="1" x14ac:dyDescent="0.25">
      <c r="A731" s="829"/>
      <c r="B731" s="710"/>
      <c r="C731" s="710"/>
      <c r="D731" s="404" t="s">
        <v>343</v>
      </c>
      <c r="E731" s="536"/>
      <c r="F731" s="186"/>
      <c r="G731" s="186"/>
      <c r="H731" s="186"/>
      <c r="I731" s="186"/>
      <c r="J731" s="450"/>
      <c r="K731" s="474">
        <f>+INVERSIÓN!AB87</f>
        <v>0</v>
      </c>
      <c r="L731" s="450"/>
      <c r="M731" s="450"/>
      <c r="N731" s="410"/>
      <c r="O731" s="450"/>
      <c r="P731" s="450"/>
      <c r="Q731" s="450"/>
      <c r="R731" s="494"/>
      <c r="S731" s="710"/>
      <c r="T731" s="173" t="s">
        <v>673</v>
      </c>
      <c r="U731" s="162"/>
      <c r="V731" s="162"/>
      <c r="W731" s="491"/>
      <c r="X731" s="484"/>
      <c r="Y731" s="484"/>
      <c r="Z731" s="484"/>
      <c r="AA731" s="529"/>
      <c r="AB731" s="530"/>
      <c r="AC731" s="531"/>
      <c r="AD731" s="532"/>
      <c r="AE731" s="533"/>
      <c r="AF731" s="713"/>
      <c r="AG731" s="829"/>
      <c r="AH731" s="710"/>
      <c r="AI731" s="710"/>
      <c r="AJ731" s="710"/>
      <c r="AK731" s="710"/>
      <c r="AL731" s="710"/>
      <c r="AM731" s="710"/>
      <c r="AN731" s="710"/>
      <c r="AO731" s="710"/>
      <c r="AP731" s="710"/>
      <c r="AQ731" s="710"/>
      <c r="AR731" s="710"/>
      <c r="AS731" s="710"/>
      <c r="AT731" s="710"/>
      <c r="AU731" s="710"/>
      <c r="AV731" s="710"/>
      <c r="AW731" s="710"/>
      <c r="AX731" s="710"/>
      <c r="AY731" s="427"/>
    </row>
    <row r="732" spans="1:51" ht="27" hidden="1" customHeight="1" x14ac:dyDescent="0.25">
      <c r="A732" s="829"/>
      <c r="B732" s="710"/>
      <c r="C732" s="710"/>
      <c r="D732" s="408" t="s">
        <v>345</v>
      </c>
      <c r="E732" s="536"/>
      <c r="F732" s="186"/>
      <c r="G732" s="186"/>
      <c r="H732" s="186"/>
      <c r="I732" s="186"/>
      <c r="J732" s="450"/>
      <c r="K732" s="474">
        <f>+INVERSIÓN!AB88</f>
        <v>0</v>
      </c>
      <c r="L732" s="450"/>
      <c r="M732" s="450"/>
      <c r="N732" s="410"/>
      <c r="O732" s="450"/>
      <c r="P732" s="450"/>
      <c r="Q732" s="450"/>
      <c r="R732" s="494"/>
      <c r="S732" s="710"/>
      <c r="T732" s="173" t="s">
        <v>673</v>
      </c>
      <c r="U732" s="162"/>
      <c r="V732" s="162"/>
      <c r="W732" s="491"/>
      <c r="X732" s="484"/>
      <c r="Y732" s="484"/>
      <c r="Z732" s="484"/>
      <c r="AA732" s="529"/>
      <c r="AB732" s="530"/>
      <c r="AC732" s="531"/>
      <c r="AD732" s="532"/>
      <c r="AE732" s="533"/>
      <c r="AF732" s="713"/>
      <c r="AG732" s="829"/>
      <c r="AH732" s="710"/>
      <c r="AI732" s="710"/>
      <c r="AJ732" s="710"/>
      <c r="AK732" s="710"/>
      <c r="AL732" s="710"/>
      <c r="AM732" s="710"/>
      <c r="AN732" s="710"/>
      <c r="AO732" s="710"/>
      <c r="AP732" s="710"/>
      <c r="AQ732" s="710"/>
      <c r="AR732" s="710"/>
      <c r="AS732" s="710"/>
      <c r="AT732" s="710"/>
      <c r="AU732" s="710"/>
      <c r="AV732" s="710"/>
      <c r="AW732" s="710"/>
      <c r="AX732" s="710"/>
      <c r="AY732" s="427"/>
    </row>
    <row r="733" spans="1:51" ht="27" hidden="1" customHeight="1" x14ac:dyDescent="0.25">
      <c r="A733" s="829"/>
      <c r="B733" s="710"/>
      <c r="C733" s="710"/>
      <c r="D733" s="404" t="s">
        <v>346</v>
      </c>
      <c r="E733" s="536"/>
      <c r="F733" s="186"/>
      <c r="G733" s="186"/>
      <c r="H733" s="186"/>
      <c r="I733" s="186"/>
      <c r="J733" s="450"/>
      <c r="K733" s="474">
        <f>+INVERSIÓN!AB89</f>
        <v>0</v>
      </c>
      <c r="L733" s="450"/>
      <c r="M733" s="450"/>
      <c r="N733" s="410"/>
      <c r="O733" s="450"/>
      <c r="P733" s="450"/>
      <c r="Q733" s="450"/>
      <c r="R733" s="494"/>
      <c r="S733" s="710"/>
      <c r="T733" s="173" t="s">
        <v>673</v>
      </c>
      <c r="U733" s="162"/>
      <c r="V733" s="162"/>
      <c r="W733" s="491"/>
      <c r="X733" s="484"/>
      <c r="Y733" s="484"/>
      <c r="Z733" s="484"/>
      <c r="AA733" s="529"/>
      <c r="AB733" s="530"/>
      <c r="AC733" s="531"/>
      <c r="AD733" s="532"/>
      <c r="AE733" s="533"/>
      <c r="AF733" s="713"/>
      <c r="AG733" s="829"/>
      <c r="AH733" s="710"/>
      <c r="AI733" s="710"/>
      <c r="AJ733" s="710"/>
      <c r="AK733" s="710"/>
      <c r="AL733" s="710"/>
      <c r="AM733" s="710"/>
      <c r="AN733" s="710"/>
      <c r="AO733" s="710"/>
      <c r="AP733" s="710"/>
      <c r="AQ733" s="710"/>
      <c r="AR733" s="710"/>
      <c r="AS733" s="710"/>
      <c r="AT733" s="710"/>
      <c r="AU733" s="710"/>
      <c r="AV733" s="710"/>
      <c r="AW733" s="710"/>
      <c r="AX733" s="710"/>
      <c r="AY733" s="427"/>
    </row>
    <row r="734" spans="1:51" ht="27" hidden="1" customHeight="1" x14ac:dyDescent="0.25">
      <c r="A734" s="829"/>
      <c r="B734" s="710"/>
      <c r="C734" s="710"/>
      <c r="D734" s="408" t="s">
        <v>347</v>
      </c>
      <c r="E734" s="535"/>
      <c r="F734" s="174"/>
      <c r="G734" s="174"/>
      <c r="H734" s="174"/>
      <c r="I734" s="174"/>
      <c r="J734" s="410"/>
      <c r="K734" s="474">
        <f>+INVERSIÓN!AB90</f>
        <v>0</v>
      </c>
      <c r="L734" s="410"/>
      <c r="M734" s="410"/>
      <c r="N734" s="410"/>
      <c r="O734" s="410"/>
      <c r="P734" s="410"/>
      <c r="Q734" s="410"/>
      <c r="R734" s="416"/>
      <c r="S734" s="710"/>
      <c r="T734" s="173" t="s">
        <v>673</v>
      </c>
      <c r="U734" s="184"/>
      <c r="V734" s="184"/>
      <c r="W734" s="416"/>
      <c r="X734" s="485"/>
      <c r="Y734" s="485"/>
      <c r="Z734" s="485"/>
      <c r="AA734" s="485"/>
      <c r="AB734" s="528"/>
      <c r="AC734" s="526"/>
      <c r="AD734" s="414"/>
      <c r="AE734" s="526"/>
      <c r="AF734" s="713"/>
      <c r="AG734" s="829"/>
      <c r="AH734" s="710"/>
      <c r="AI734" s="710"/>
      <c r="AJ734" s="710"/>
      <c r="AK734" s="710"/>
      <c r="AL734" s="710"/>
      <c r="AM734" s="710"/>
      <c r="AN734" s="710"/>
      <c r="AO734" s="710"/>
      <c r="AP734" s="710"/>
      <c r="AQ734" s="710"/>
      <c r="AR734" s="710"/>
      <c r="AS734" s="710"/>
      <c r="AT734" s="710"/>
      <c r="AU734" s="710"/>
      <c r="AV734" s="710"/>
      <c r="AW734" s="710"/>
      <c r="AX734" s="710"/>
      <c r="AY734" s="427"/>
    </row>
    <row r="735" spans="1:51" ht="27.75" hidden="1" customHeight="1" x14ac:dyDescent="0.25">
      <c r="A735" s="829"/>
      <c r="B735" s="710"/>
      <c r="C735" s="731"/>
      <c r="D735" s="412" t="s">
        <v>348</v>
      </c>
      <c r="E735" s="537"/>
      <c r="F735" s="187"/>
      <c r="G735" s="187"/>
      <c r="H735" s="187"/>
      <c r="I735" s="187"/>
      <c r="J735" s="452"/>
      <c r="K735" s="474">
        <f>+INVERSIÓN!AB91</f>
        <v>0</v>
      </c>
      <c r="L735" s="452"/>
      <c r="M735" s="452"/>
      <c r="N735" s="410"/>
      <c r="O735" s="452"/>
      <c r="P735" s="452"/>
      <c r="Q735" s="452"/>
      <c r="R735" s="442"/>
      <c r="S735" s="710"/>
      <c r="T735" s="173" t="s">
        <v>673</v>
      </c>
      <c r="U735" s="173"/>
      <c r="V735" s="173"/>
      <c r="W735" s="442"/>
      <c r="X735" s="471"/>
      <c r="Y735" s="471"/>
      <c r="Z735" s="471"/>
      <c r="AA735" s="443"/>
      <c r="AB735" s="481"/>
      <c r="AC735" s="531"/>
      <c r="AD735" s="534"/>
      <c r="AE735" s="482"/>
      <c r="AF735" s="713"/>
      <c r="AG735" s="823"/>
      <c r="AH735" s="731"/>
      <c r="AI735" s="731"/>
      <c r="AJ735" s="731"/>
      <c r="AK735" s="731"/>
      <c r="AL735" s="731"/>
      <c r="AM735" s="731"/>
      <c r="AN735" s="731"/>
      <c r="AO735" s="731"/>
      <c r="AP735" s="731"/>
      <c r="AQ735" s="731"/>
      <c r="AR735" s="731"/>
      <c r="AS735" s="731"/>
      <c r="AT735" s="731"/>
      <c r="AU735" s="731"/>
      <c r="AV735" s="731"/>
      <c r="AW735" s="731"/>
      <c r="AX735" s="731"/>
      <c r="AY735" s="427"/>
    </row>
    <row r="736" spans="1:51" ht="18" hidden="1" customHeight="1" x14ac:dyDescent="0.25">
      <c r="A736" s="829"/>
      <c r="B736" s="710"/>
      <c r="C736" s="813" t="s">
        <v>652</v>
      </c>
      <c r="D736" s="413" t="s">
        <v>340</v>
      </c>
      <c r="E736" s="535"/>
      <c r="F736" s="174"/>
      <c r="G736" s="174"/>
      <c r="H736" s="174"/>
      <c r="I736" s="174"/>
      <c r="J736" s="410"/>
      <c r="K736" s="474">
        <f>+INVERSIÓN!AB92</f>
        <v>0</v>
      </c>
      <c r="L736" s="410"/>
      <c r="M736" s="410"/>
      <c r="N736" s="410"/>
      <c r="O736" s="410"/>
      <c r="P736" s="410"/>
      <c r="Q736" s="410"/>
      <c r="R736" s="416"/>
      <c r="S736" s="710"/>
      <c r="T736" s="173" t="s">
        <v>673</v>
      </c>
      <c r="U736" s="173"/>
      <c r="V736" s="173"/>
      <c r="W736" s="442"/>
      <c r="X736" s="471"/>
      <c r="Y736" s="471"/>
      <c r="Z736" s="471"/>
      <c r="AA736" s="443"/>
      <c r="AB736" s="481"/>
      <c r="AC736" s="526"/>
      <c r="AD736" s="414"/>
      <c r="AE736" s="482"/>
      <c r="AF736" s="713"/>
      <c r="AG736" s="913" t="str">
        <f>+C736</f>
        <v>FONTIBON</v>
      </c>
      <c r="AH736" s="813" t="s">
        <v>633</v>
      </c>
      <c r="AI736" s="813" t="s">
        <v>633</v>
      </c>
      <c r="AJ736" s="813" t="s">
        <v>633</v>
      </c>
      <c r="AK736" s="813" t="s">
        <v>457</v>
      </c>
      <c r="AL736" s="813"/>
      <c r="AM736" s="813" t="s">
        <v>1335</v>
      </c>
      <c r="AN736" s="931">
        <v>7715777</v>
      </c>
      <c r="AO736" s="910">
        <v>3679381.9895200301</v>
      </c>
      <c r="AP736" s="910">
        <v>4036396.0104799699</v>
      </c>
      <c r="AQ736" s="915" t="s">
        <v>459</v>
      </c>
      <c r="AR736" s="915" t="s">
        <v>459</v>
      </c>
      <c r="AS736" s="915" t="s">
        <v>459</v>
      </c>
      <c r="AT736" s="915" t="s">
        <v>459</v>
      </c>
      <c r="AU736" s="915" t="s">
        <v>459</v>
      </c>
      <c r="AV736" s="915" t="s">
        <v>459</v>
      </c>
      <c r="AW736" s="915" t="s">
        <v>459</v>
      </c>
      <c r="AX736" s="910">
        <v>7715777</v>
      </c>
      <c r="AY736" s="427"/>
    </row>
    <row r="737" spans="1:51" ht="18" hidden="1" customHeight="1" x14ac:dyDescent="0.25">
      <c r="A737" s="829"/>
      <c r="B737" s="710"/>
      <c r="C737" s="710"/>
      <c r="D737" s="404" t="s">
        <v>343</v>
      </c>
      <c r="E737" s="536"/>
      <c r="F737" s="186"/>
      <c r="G737" s="186"/>
      <c r="H737" s="186"/>
      <c r="I737" s="186"/>
      <c r="J737" s="450"/>
      <c r="K737" s="474">
        <f>+INVERSIÓN!AB93</f>
        <v>0</v>
      </c>
      <c r="L737" s="450"/>
      <c r="M737" s="450"/>
      <c r="N737" s="410"/>
      <c r="O737" s="450"/>
      <c r="P737" s="450"/>
      <c r="Q737" s="450"/>
      <c r="R737" s="494"/>
      <c r="S737" s="710"/>
      <c r="T737" s="173" t="s">
        <v>673</v>
      </c>
      <c r="U737" s="162"/>
      <c r="V737" s="162"/>
      <c r="W737" s="491"/>
      <c r="X737" s="484"/>
      <c r="Y737" s="484"/>
      <c r="Z737" s="484"/>
      <c r="AA737" s="529"/>
      <c r="AB737" s="530"/>
      <c r="AC737" s="531"/>
      <c r="AD737" s="532"/>
      <c r="AE737" s="533"/>
      <c r="AF737" s="713"/>
      <c r="AG737" s="829"/>
      <c r="AH737" s="710"/>
      <c r="AI737" s="710"/>
      <c r="AJ737" s="710"/>
      <c r="AK737" s="710"/>
      <c r="AL737" s="710"/>
      <c r="AM737" s="710"/>
      <c r="AN737" s="710"/>
      <c r="AO737" s="710"/>
      <c r="AP737" s="710"/>
      <c r="AQ737" s="710"/>
      <c r="AR737" s="710"/>
      <c r="AS737" s="710"/>
      <c r="AT737" s="710"/>
      <c r="AU737" s="710"/>
      <c r="AV737" s="710"/>
      <c r="AW737" s="710"/>
      <c r="AX737" s="710"/>
      <c r="AY737" s="427"/>
    </row>
    <row r="738" spans="1:51" ht="27" hidden="1" customHeight="1" x14ac:dyDescent="0.25">
      <c r="A738" s="829"/>
      <c r="B738" s="710"/>
      <c r="C738" s="710"/>
      <c r="D738" s="408" t="s">
        <v>345</v>
      </c>
      <c r="E738" s="536"/>
      <c r="F738" s="186"/>
      <c r="G738" s="186"/>
      <c r="H738" s="186"/>
      <c r="I738" s="186"/>
      <c r="J738" s="450"/>
      <c r="K738" s="474">
        <f>+INVERSIÓN!AB94</f>
        <v>0</v>
      </c>
      <c r="L738" s="450"/>
      <c r="M738" s="450"/>
      <c r="N738" s="410"/>
      <c r="O738" s="450"/>
      <c r="P738" s="450"/>
      <c r="Q738" s="450"/>
      <c r="R738" s="494"/>
      <c r="S738" s="710"/>
      <c r="T738" s="173" t="s">
        <v>673</v>
      </c>
      <c r="U738" s="162"/>
      <c r="V738" s="162"/>
      <c r="W738" s="491"/>
      <c r="X738" s="484"/>
      <c r="Y738" s="484"/>
      <c r="Z738" s="484"/>
      <c r="AA738" s="529"/>
      <c r="AB738" s="530"/>
      <c r="AC738" s="531"/>
      <c r="AD738" s="532"/>
      <c r="AE738" s="533"/>
      <c r="AF738" s="713"/>
      <c r="AG738" s="829"/>
      <c r="AH738" s="710"/>
      <c r="AI738" s="710"/>
      <c r="AJ738" s="710"/>
      <c r="AK738" s="710"/>
      <c r="AL738" s="710"/>
      <c r="AM738" s="710"/>
      <c r="AN738" s="710"/>
      <c r="AO738" s="710"/>
      <c r="AP738" s="710"/>
      <c r="AQ738" s="710"/>
      <c r="AR738" s="710"/>
      <c r="AS738" s="710"/>
      <c r="AT738" s="710"/>
      <c r="AU738" s="710"/>
      <c r="AV738" s="710"/>
      <c r="AW738" s="710"/>
      <c r="AX738" s="710"/>
      <c r="AY738" s="427"/>
    </row>
    <row r="739" spans="1:51" ht="27" hidden="1" customHeight="1" x14ac:dyDescent="0.25">
      <c r="A739" s="829"/>
      <c r="B739" s="710"/>
      <c r="C739" s="710"/>
      <c r="D739" s="404" t="s">
        <v>346</v>
      </c>
      <c r="E739" s="536"/>
      <c r="F739" s="186"/>
      <c r="G739" s="186"/>
      <c r="H739" s="186"/>
      <c r="I739" s="186"/>
      <c r="J739" s="450"/>
      <c r="K739" s="474">
        <f>+INVERSIÓN!AB95</f>
        <v>0</v>
      </c>
      <c r="L739" s="450"/>
      <c r="M739" s="450"/>
      <c r="N739" s="410"/>
      <c r="O739" s="450"/>
      <c r="P739" s="450"/>
      <c r="Q739" s="450"/>
      <c r="R739" s="494"/>
      <c r="S739" s="710"/>
      <c r="T739" s="173" t="s">
        <v>673</v>
      </c>
      <c r="U739" s="162"/>
      <c r="V739" s="162"/>
      <c r="W739" s="491"/>
      <c r="X739" s="484"/>
      <c r="Y739" s="484"/>
      <c r="Z739" s="484"/>
      <c r="AA739" s="529"/>
      <c r="AB739" s="530"/>
      <c r="AC739" s="531"/>
      <c r="AD739" s="532"/>
      <c r="AE739" s="533"/>
      <c r="AF739" s="713"/>
      <c r="AG739" s="829"/>
      <c r="AH739" s="710"/>
      <c r="AI739" s="710"/>
      <c r="AJ739" s="710"/>
      <c r="AK739" s="710"/>
      <c r="AL739" s="710"/>
      <c r="AM739" s="710"/>
      <c r="AN739" s="710"/>
      <c r="AO739" s="710"/>
      <c r="AP739" s="710"/>
      <c r="AQ739" s="710"/>
      <c r="AR739" s="710"/>
      <c r="AS739" s="710"/>
      <c r="AT739" s="710"/>
      <c r="AU739" s="710"/>
      <c r="AV739" s="710"/>
      <c r="AW739" s="710"/>
      <c r="AX739" s="710"/>
      <c r="AY739" s="427"/>
    </row>
    <row r="740" spans="1:51" ht="27" hidden="1" customHeight="1" x14ac:dyDescent="0.25">
      <c r="A740" s="829"/>
      <c r="B740" s="710"/>
      <c r="C740" s="710"/>
      <c r="D740" s="408" t="s">
        <v>347</v>
      </c>
      <c r="E740" s="535"/>
      <c r="F740" s="174"/>
      <c r="G740" s="174"/>
      <c r="H740" s="174"/>
      <c r="I740" s="174"/>
      <c r="J740" s="410"/>
      <c r="K740" s="474">
        <f>+INVERSIÓN!AB96</f>
        <v>0</v>
      </c>
      <c r="L740" s="410"/>
      <c r="M740" s="410"/>
      <c r="N740" s="410"/>
      <c r="O740" s="410"/>
      <c r="P740" s="410"/>
      <c r="Q740" s="410"/>
      <c r="R740" s="416"/>
      <c r="S740" s="710"/>
      <c r="T740" s="173" t="s">
        <v>673</v>
      </c>
      <c r="U740" s="184"/>
      <c r="V740" s="184"/>
      <c r="W740" s="416"/>
      <c r="X740" s="485"/>
      <c r="Y740" s="485"/>
      <c r="Z740" s="485"/>
      <c r="AA740" s="485"/>
      <c r="AB740" s="528"/>
      <c r="AC740" s="526"/>
      <c r="AD740" s="414"/>
      <c r="AE740" s="526"/>
      <c r="AF740" s="713"/>
      <c r="AG740" s="829"/>
      <c r="AH740" s="710"/>
      <c r="AI740" s="710"/>
      <c r="AJ740" s="710"/>
      <c r="AK740" s="710"/>
      <c r="AL740" s="710"/>
      <c r="AM740" s="710"/>
      <c r="AN740" s="710"/>
      <c r="AO740" s="710"/>
      <c r="AP740" s="710"/>
      <c r="AQ740" s="710"/>
      <c r="AR740" s="710"/>
      <c r="AS740" s="710"/>
      <c r="AT740" s="710"/>
      <c r="AU740" s="710"/>
      <c r="AV740" s="710"/>
      <c r="AW740" s="710"/>
      <c r="AX740" s="710"/>
      <c r="AY740" s="427"/>
    </row>
    <row r="741" spans="1:51" ht="27.75" hidden="1" customHeight="1" x14ac:dyDescent="0.25">
      <c r="A741" s="829"/>
      <c r="B741" s="710"/>
      <c r="C741" s="731"/>
      <c r="D741" s="412" t="s">
        <v>348</v>
      </c>
      <c r="E741" s="537"/>
      <c r="F741" s="187"/>
      <c r="G741" s="187"/>
      <c r="H741" s="187"/>
      <c r="I741" s="187"/>
      <c r="J741" s="452"/>
      <c r="K741" s="474">
        <f>+INVERSIÓN!AB97</f>
        <v>0</v>
      </c>
      <c r="L741" s="452"/>
      <c r="M741" s="452"/>
      <c r="N741" s="410"/>
      <c r="O741" s="452"/>
      <c r="P741" s="452"/>
      <c r="Q741" s="452"/>
      <c r="R741" s="442"/>
      <c r="S741" s="710"/>
      <c r="T741" s="173" t="s">
        <v>673</v>
      </c>
      <c r="U741" s="173"/>
      <c r="V741" s="173"/>
      <c r="W741" s="442"/>
      <c r="X741" s="471"/>
      <c r="Y741" s="471"/>
      <c r="Z741" s="471"/>
      <c r="AA741" s="443"/>
      <c r="AB741" s="481"/>
      <c r="AC741" s="531"/>
      <c r="AD741" s="534"/>
      <c r="AE741" s="482"/>
      <c r="AF741" s="713"/>
      <c r="AG741" s="823"/>
      <c r="AH741" s="731"/>
      <c r="AI741" s="731"/>
      <c r="AJ741" s="731"/>
      <c r="AK741" s="731"/>
      <c r="AL741" s="731"/>
      <c r="AM741" s="731"/>
      <c r="AN741" s="731"/>
      <c r="AO741" s="731"/>
      <c r="AP741" s="731"/>
      <c r="AQ741" s="731"/>
      <c r="AR741" s="731"/>
      <c r="AS741" s="731"/>
      <c r="AT741" s="731"/>
      <c r="AU741" s="731"/>
      <c r="AV741" s="731"/>
      <c r="AW741" s="731"/>
      <c r="AX741" s="731"/>
      <c r="AY741" s="427"/>
    </row>
    <row r="742" spans="1:51" ht="18" hidden="1" customHeight="1" x14ac:dyDescent="0.25">
      <c r="A742" s="829"/>
      <c r="B742" s="710"/>
      <c r="C742" s="813" t="s">
        <v>662</v>
      </c>
      <c r="D742" s="413" t="s">
        <v>340</v>
      </c>
      <c r="E742" s="535"/>
      <c r="F742" s="174"/>
      <c r="G742" s="174"/>
      <c r="H742" s="174"/>
      <c r="I742" s="174"/>
      <c r="J742" s="410"/>
      <c r="K742" s="474">
        <f>+INVERSIÓN!AB98</f>
        <v>0</v>
      </c>
      <c r="L742" s="410"/>
      <c r="M742" s="410"/>
      <c r="N742" s="410"/>
      <c r="O742" s="410"/>
      <c r="P742" s="410"/>
      <c r="Q742" s="410"/>
      <c r="R742" s="416"/>
      <c r="S742" s="710"/>
      <c r="T742" s="173" t="s">
        <v>673</v>
      </c>
      <c r="U742" s="173"/>
      <c r="V742" s="173"/>
      <c r="W742" s="442"/>
      <c r="X742" s="471"/>
      <c r="Y742" s="471"/>
      <c r="Z742" s="471"/>
      <c r="AA742" s="443"/>
      <c r="AB742" s="481"/>
      <c r="AC742" s="526"/>
      <c r="AD742" s="414"/>
      <c r="AE742" s="482"/>
      <c r="AF742" s="713"/>
      <c r="AG742" s="913" t="str">
        <f>+C742</f>
        <v>LOS MARTIRES</v>
      </c>
      <c r="AH742" s="813" t="s">
        <v>633</v>
      </c>
      <c r="AI742" s="813" t="s">
        <v>633</v>
      </c>
      <c r="AJ742" s="813" t="s">
        <v>633</v>
      </c>
      <c r="AK742" s="813" t="s">
        <v>457</v>
      </c>
      <c r="AL742" s="813"/>
      <c r="AM742" s="813" t="s">
        <v>1335</v>
      </c>
      <c r="AN742" s="931">
        <v>7715777</v>
      </c>
      <c r="AO742" s="910">
        <v>3679381.9895200301</v>
      </c>
      <c r="AP742" s="910">
        <v>4036396.0104799699</v>
      </c>
      <c r="AQ742" s="915" t="s">
        <v>459</v>
      </c>
      <c r="AR742" s="915" t="s">
        <v>459</v>
      </c>
      <c r="AS742" s="915" t="s">
        <v>459</v>
      </c>
      <c r="AT742" s="915" t="s">
        <v>459</v>
      </c>
      <c r="AU742" s="915" t="s">
        <v>459</v>
      </c>
      <c r="AV742" s="915" t="s">
        <v>459</v>
      </c>
      <c r="AW742" s="915" t="s">
        <v>459</v>
      </c>
      <c r="AX742" s="910">
        <v>7715777</v>
      </c>
      <c r="AY742" s="427"/>
    </row>
    <row r="743" spans="1:51" ht="18" hidden="1" customHeight="1" x14ac:dyDescent="0.25">
      <c r="A743" s="829"/>
      <c r="B743" s="710"/>
      <c r="C743" s="710"/>
      <c r="D743" s="404" t="s">
        <v>343</v>
      </c>
      <c r="E743" s="536"/>
      <c r="F743" s="186"/>
      <c r="G743" s="186"/>
      <c r="H743" s="186"/>
      <c r="I743" s="186"/>
      <c r="J743" s="450"/>
      <c r="K743" s="474">
        <f>+INVERSIÓN!AB99</f>
        <v>0</v>
      </c>
      <c r="L743" s="450"/>
      <c r="M743" s="450"/>
      <c r="N743" s="410"/>
      <c r="O743" s="450"/>
      <c r="P743" s="450"/>
      <c r="Q743" s="450"/>
      <c r="R743" s="494"/>
      <c r="S743" s="710"/>
      <c r="T743" s="173" t="s">
        <v>673</v>
      </c>
      <c r="U743" s="162"/>
      <c r="V743" s="162"/>
      <c r="W743" s="491"/>
      <c r="X743" s="484"/>
      <c r="Y743" s="484"/>
      <c r="Z743" s="484"/>
      <c r="AA743" s="529"/>
      <c r="AB743" s="530"/>
      <c r="AC743" s="531"/>
      <c r="AD743" s="532"/>
      <c r="AE743" s="533"/>
      <c r="AF743" s="713"/>
      <c r="AG743" s="829"/>
      <c r="AH743" s="710"/>
      <c r="AI743" s="710"/>
      <c r="AJ743" s="710"/>
      <c r="AK743" s="710"/>
      <c r="AL743" s="710"/>
      <c r="AM743" s="710"/>
      <c r="AN743" s="710"/>
      <c r="AO743" s="710"/>
      <c r="AP743" s="710"/>
      <c r="AQ743" s="710"/>
      <c r="AR743" s="710"/>
      <c r="AS743" s="710"/>
      <c r="AT743" s="710"/>
      <c r="AU743" s="710"/>
      <c r="AV743" s="710"/>
      <c r="AW743" s="710"/>
      <c r="AX743" s="710"/>
      <c r="AY743" s="427"/>
    </row>
    <row r="744" spans="1:51" ht="27" hidden="1" customHeight="1" x14ac:dyDescent="0.25">
      <c r="A744" s="829"/>
      <c r="B744" s="710"/>
      <c r="C744" s="710"/>
      <c r="D744" s="408" t="s">
        <v>345</v>
      </c>
      <c r="E744" s="536"/>
      <c r="F744" s="186"/>
      <c r="G744" s="186"/>
      <c r="H744" s="186"/>
      <c r="I744" s="186"/>
      <c r="J744" s="450"/>
      <c r="K744" s="474">
        <f>+INVERSIÓN!AB100</f>
        <v>0</v>
      </c>
      <c r="L744" s="450"/>
      <c r="M744" s="450"/>
      <c r="N744" s="410"/>
      <c r="O744" s="450"/>
      <c r="P744" s="450"/>
      <c r="Q744" s="450"/>
      <c r="R744" s="494"/>
      <c r="S744" s="710"/>
      <c r="T744" s="173" t="s">
        <v>673</v>
      </c>
      <c r="U744" s="162"/>
      <c r="V744" s="162"/>
      <c r="W744" s="491"/>
      <c r="X744" s="484"/>
      <c r="Y744" s="484"/>
      <c r="Z744" s="484"/>
      <c r="AA744" s="529"/>
      <c r="AB744" s="530"/>
      <c r="AC744" s="531"/>
      <c r="AD744" s="532"/>
      <c r="AE744" s="533"/>
      <c r="AF744" s="713"/>
      <c r="AG744" s="829"/>
      <c r="AH744" s="710"/>
      <c r="AI744" s="710"/>
      <c r="AJ744" s="710"/>
      <c r="AK744" s="710"/>
      <c r="AL744" s="710"/>
      <c r="AM744" s="710"/>
      <c r="AN744" s="710"/>
      <c r="AO744" s="710"/>
      <c r="AP744" s="710"/>
      <c r="AQ744" s="710"/>
      <c r="AR744" s="710"/>
      <c r="AS744" s="710"/>
      <c r="AT744" s="710"/>
      <c r="AU744" s="710"/>
      <c r="AV744" s="710"/>
      <c r="AW744" s="710"/>
      <c r="AX744" s="710"/>
      <c r="AY744" s="427"/>
    </row>
    <row r="745" spans="1:51" ht="27" hidden="1" customHeight="1" x14ac:dyDescent="0.25">
      <c r="A745" s="829"/>
      <c r="B745" s="710"/>
      <c r="C745" s="710"/>
      <c r="D745" s="404" t="s">
        <v>346</v>
      </c>
      <c r="E745" s="536"/>
      <c r="F745" s="186"/>
      <c r="G745" s="186"/>
      <c r="H745" s="186"/>
      <c r="I745" s="186"/>
      <c r="J745" s="450"/>
      <c r="K745" s="474">
        <f>+INVERSIÓN!AB101</f>
        <v>0</v>
      </c>
      <c r="L745" s="450"/>
      <c r="M745" s="450"/>
      <c r="N745" s="410"/>
      <c r="O745" s="450"/>
      <c r="P745" s="450"/>
      <c r="Q745" s="450"/>
      <c r="R745" s="494"/>
      <c r="S745" s="710"/>
      <c r="T745" s="173" t="s">
        <v>673</v>
      </c>
      <c r="U745" s="162"/>
      <c r="V745" s="162"/>
      <c r="W745" s="491"/>
      <c r="X745" s="484"/>
      <c r="Y745" s="484"/>
      <c r="Z745" s="484"/>
      <c r="AA745" s="529"/>
      <c r="AB745" s="530"/>
      <c r="AC745" s="531"/>
      <c r="AD745" s="532"/>
      <c r="AE745" s="533"/>
      <c r="AF745" s="713"/>
      <c r="AG745" s="829"/>
      <c r="AH745" s="710"/>
      <c r="AI745" s="710"/>
      <c r="AJ745" s="710"/>
      <c r="AK745" s="710"/>
      <c r="AL745" s="710"/>
      <c r="AM745" s="710"/>
      <c r="AN745" s="710"/>
      <c r="AO745" s="710"/>
      <c r="AP745" s="710"/>
      <c r="AQ745" s="710"/>
      <c r="AR745" s="710"/>
      <c r="AS745" s="710"/>
      <c r="AT745" s="710"/>
      <c r="AU745" s="710"/>
      <c r="AV745" s="710"/>
      <c r="AW745" s="710"/>
      <c r="AX745" s="710"/>
      <c r="AY745" s="427"/>
    </row>
    <row r="746" spans="1:51" ht="27" hidden="1" customHeight="1" x14ac:dyDescent="0.25">
      <c r="A746" s="829"/>
      <c r="B746" s="710"/>
      <c r="C746" s="710"/>
      <c r="D746" s="408" t="s">
        <v>347</v>
      </c>
      <c r="E746" s="535"/>
      <c r="F746" s="174"/>
      <c r="G746" s="174"/>
      <c r="H746" s="174"/>
      <c r="I746" s="174"/>
      <c r="J746" s="410"/>
      <c r="K746" s="474">
        <f>+INVERSIÓN!AB102</f>
        <v>0</v>
      </c>
      <c r="L746" s="410"/>
      <c r="M746" s="410"/>
      <c r="N746" s="410"/>
      <c r="O746" s="410"/>
      <c r="P746" s="410"/>
      <c r="Q746" s="410"/>
      <c r="R746" s="416"/>
      <c r="S746" s="710"/>
      <c r="T746" s="173" t="s">
        <v>673</v>
      </c>
      <c r="U746" s="184"/>
      <c r="V746" s="184"/>
      <c r="W746" s="416"/>
      <c r="X746" s="485"/>
      <c r="Y746" s="485"/>
      <c r="Z746" s="485"/>
      <c r="AA746" s="485"/>
      <c r="AB746" s="528"/>
      <c r="AC746" s="526"/>
      <c r="AD746" s="414"/>
      <c r="AE746" s="526"/>
      <c r="AF746" s="713"/>
      <c r="AG746" s="829"/>
      <c r="AH746" s="710"/>
      <c r="AI746" s="710"/>
      <c r="AJ746" s="710"/>
      <c r="AK746" s="710"/>
      <c r="AL746" s="710"/>
      <c r="AM746" s="710"/>
      <c r="AN746" s="710"/>
      <c r="AO746" s="710"/>
      <c r="AP746" s="710"/>
      <c r="AQ746" s="710"/>
      <c r="AR746" s="710"/>
      <c r="AS746" s="710"/>
      <c r="AT746" s="710"/>
      <c r="AU746" s="710"/>
      <c r="AV746" s="710"/>
      <c r="AW746" s="710"/>
      <c r="AX746" s="710"/>
      <c r="AY746" s="427"/>
    </row>
    <row r="747" spans="1:51" ht="27.75" hidden="1" customHeight="1" x14ac:dyDescent="0.25">
      <c r="A747" s="829"/>
      <c r="B747" s="710"/>
      <c r="C747" s="731"/>
      <c r="D747" s="412" t="s">
        <v>348</v>
      </c>
      <c r="E747" s="537"/>
      <c r="F747" s="187"/>
      <c r="G747" s="187"/>
      <c r="H747" s="187"/>
      <c r="I747" s="187"/>
      <c r="J747" s="452"/>
      <c r="K747" s="474">
        <f>+INVERSIÓN!AB103</f>
        <v>0</v>
      </c>
      <c r="L747" s="452"/>
      <c r="M747" s="452"/>
      <c r="N747" s="410"/>
      <c r="O747" s="452"/>
      <c r="P747" s="452"/>
      <c r="Q747" s="452"/>
      <c r="R747" s="442"/>
      <c r="S747" s="710"/>
      <c r="T747" s="173" t="s">
        <v>673</v>
      </c>
      <c r="U747" s="173"/>
      <c r="V747" s="173"/>
      <c r="W747" s="442"/>
      <c r="X747" s="471"/>
      <c r="Y747" s="471"/>
      <c r="Z747" s="471"/>
      <c r="AA747" s="443"/>
      <c r="AB747" s="481"/>
      <c r="AC747" s="531"/>
      <c r="AD747" s="534"/>
      <c r="AE747" s="482"/>
      <c r="AF747" s="713"/>
      <c r="AG747" s="823"/>
      <c r="AH747" s="731"/>
      <c r="AI747" s="731"/>
      <c r="AJ747" s="731"/>
      <c r="AK747" s="731"/>
      <c r="AL747" s="731"/>
      <c r="AM747" s="731"/>
      <c r="AN747" s="731"/>
      <c r="AO747" s="731"/>
      <c r="AP747" s="731"/>
      <c r="AQ747" s="731"/>
      <c r="AR747" s="731"/>
      <c r="AS747" s="731"/>
      <c r="AT747" s="731"/>
      <c r="AU747" s="731"/>
      <c r="AV747" s="731"/>
      <c r="AW747" s="731"/>
      <c r="AX747" s="731"/>
      <c r="AY747" s="427"/>
    </row>
    <row r="748" spans="1:51" ht="18" hidden="1" customHeight="1" x14ac:dyDescent="0.25">
      <c r="A748" s="829"/>
      <c r="B748" s="710"/>
      <c r="C748" s="813" t="s">
        <v>654</v>
      </c>
      <c r="D748" s="413" t="s">
        <v>340</v>
      </c>
      <c r="E748" s="535"/>
      <c r="F748" s="174"/>
      <c r="G748" s="174"/>
      <c r="H748" s="174"/>
      <c r="I748" s="174"/>
      <c r="J748" s="410"/>
      <c r="K748" s="474">
        <f>+INVERSIÓN!AB104</f>
        <v>0</v>
      </c>
      <c r="L748" s="410"/>
      <c r="M748" s="410"/>
      <c r="N748" s="410"/>
      <c r="O748" s="410"/>
      <c r="P748" s="410"/>
      <c r="Q748" s="410"/>
      <c r="R748" s="416"/>
      <c r="S748" s="710"/>
      <c r="T748" s="173" t="s">
        <v>673</v>
      </c>
      <c r="U748" s="173"/>
      <c r="V748" s="173"/>
      <c r="W748" s="442"/>
      <c r="X748" s="471"/>
      <c r="Y748" s="471"/>
      <c r="Z748" s="471"/>
      <c r="AA748" s="443"/>
      <c r="AB748" s="481"/>
      <c r="AC748" s="526"/>
      <c r="AD748" s="414"/>
      <c r="AE748" s="482"/>
      <c r="AF748" s="713"/>
      <c r="AG748" s="913" t="str">
        <f>+C748</f>
        <v>ENGATIVA</v>
      </c>
      <c r="AH748" s="813" t="s">
        <v>633</v>
      </c>
      <c r="AI748" s="813" t="s">
        <v>633</v>
      </c>
      <c r="AJ748" s="813" t="s">
        <v>633</v>
      </c>
      <c r="AK748" s="813" t="s">
        <v>457</v>
      </c>
      <c r="AL748" s="813"/>
      <c r="AM748" s="813" t="s">
        <v>1335</v>
      </c>
      <c r="AN748" s="931">
        <v>7715777</v>
      </c>
      <c r="AO748" s="910">
        <v>3679381.9895200301</v>
      </c>
      <c r="AP748" s="910">
        <v>4036396.0104799699</v>
      </c>
      <c r="AQ748" s="915" t="s">
        <v>459</v>
      </c>
      <c r="AR748" s="915" t="s">
        <v>459</v>
      </c>
      <c r="AS748" s="915" t="s">
        <v>459</v>
      </c>
      <c r="AT748" s="915" t="s">
        <v>459</v>
      </c>
      <c r="AU748" s="915" t="s">
        <v>459</v>
      </c>
      <c r="AV748" s="915" t="s">
        <v>459</v>
      </c>
      <c r="AW748" s="915" t="s">
        <v>459</v>
      </c>
      <c r="AX748" s="910">
        <v>7715777</v>
      </c>
      <c r="AY748" s="427"/>
    </row>
    <row r="749" spans="1:51" ht="18" hidden="1" customHeight="1" x14ac:dyDescent="0.25">
      <c r="A749" s="829"/>
      <c r="B749" s="710"/>
      <c r="C749" s="710"/>
      <c r="D749" s="404" t="s">
        <v>343</v>
      </c>
      <c r="E749" s="536"/>
      <c r="F749" s="186"/>
      <c r="G749" s="186"/>
      <c r="H749" s="186"/>
      <c r="I749" s="186"/>
      <c r="J749" s="450"/>
      <c r="K749" s="474">
        <f>+INVERSIÓN!AB105</f>
        <v>0</v>
      </c>
      <c r="L749" s="450"/>
      <c r="M749" s="450"/>
      <c r="N749" s="410"/>
      <c r="O749" s="450"/>
      <c r="P749" s="450"/>
      <c r="Q749" s="450"/>
      <c r="R749" s="494"/>
      <c r="S749" s="710"/>
      <c r="T749" s="173" t="s">
        <v>673</v>
      </c>
      <c r="U749" s="162"/>
      <c r="V749" s="162"/>
      <c r="W749" s="491"/>
      <c r="X749" s="484"/>
      <c r="Y749" s="484"/>
      <c r="Z749" s="484"/>
      <c r="AA749" s="529"/>
      <c r="AB749" s="530"/>
      <c r="AC749" s="531"/>
      <c r="AD749" s="532"/>
      <c r="AE749" s="533"/>
      <c r="AF749" s="713"/>
      <c r="AG749" s="829"/>
      <c r="AH749" s="710"/>
      <c r="AI749" s="710"/>
      <c r="AJ749" s="710"/>
      <c r="AK749" s="710"/>
      <c r="AL749" s="710"/>
      <c r="AM749" s="710"/>
      <c r="AN749" s="710"/>
      <c r="AO749" s="710"/>
      <c r="AP749" s="710"/>
      <c r="AQ749" s="710"/>
      <c r="AR749" s="710"/>
      <c r="AS749" s="710"/>
      <c r="AT749" s="710"/>
      <c r="AU749" s="710"/>
      <c r="AV749" s="710"/>
      <c r="AW749" s="710"/>
      <c r="AX749" s="710"/>
      <c r="AY749" s="427"/>
    </row>
    <row r="750" spans="1:51" ht="27" hidden="1" customHeight="1" x14ac:dyDescent="0.25">
      <c r="A750" s="829"/>
      <c r="B750" s="710"/>
      <c r="C750" s="710"/>
      <c r="D750" s="408" t="s">
        <v>345</v>
      </c>
      <c r="E750" s="536"/>
      <c r="F750" s="186"/>
      <c r="G750" s="186"/>
      <c r="H750" s="186"/>
      <c r="I750" s="186"/>
      <c r="J750" s="450"/>
      <c r="K750" s="474">
        <f>+INVERSIÓN!AB106</f>
        <v>0</v>
      </c>
      <c r="L750" s="450"/>
      <c r="M750" s="450"/>
      <c r="N750" s="410"/>
      <c r="O750" s="450"/>
      <c r="P750" s="450"/>
      <c r="Q750" s="450"/>
      <c r="R750" s="494"/>
      <c r="S750" s="710"/>
      <c r="T750" s="173" t="s">
        <v>673</v>
      </c>
      <c r="U750" s="162"/>
      <c r="V750" s="162"/>
      <c r="W750" s="491"/>
      <c r="X750" s="484"/>
      <c r="Y750" s="484"/>
      <c r="Z750" s="484"/>
      <c r="AA750" s="529"/>
      <c r="AB750" s="530"/>
      <c r="AC750" s="531"/>
      <c r="AD750" s="532"/>
      <c r="AE750" s="533"/>
      <c r="AF750" s="713"/>
      <c r="AG750" s="829"/>
      <c r="AH750" s="710"/>
      <c r="AI750" s="710"/>
      <c r="AJ750" s="710"/>
      <c r="AK750" s="710"/>
      <c r="AL750" s="710"/>
      <c r="AM750" s="710"/>
      <c r="AN750" s="710"/>
      <c r="AO750" s="710"/>
      <c r="AP750" s="710"/>
      <c r="AQ750" s="710"/>
      <c r="AR750" s="710"/>
      <c r="AS750" s="710"/>
      <c r="AT750" s="710"/>
      <c r="AU750" s="710"/>
      <c r="AV750" s="710"/>
      <c r="AW750" s="710"/>
      <c r="AX750" s="710"/>
      <c r="AY750" s="427"/>
    </row>
    <row r="751" spans="1:51" ht="27" hidden="1" customHeight="1" x14ac:dyDescent="0.25">
      <c r="A751" s="829"/>
      <c r="B751" s="710"/>
      <c r="C751" s="710"/>
      <c r="D751" s="404" t="s">
        <v>346</v>
      </c>
      <c r="E751" s="536"/>
      <c r="F751" s="186"/>
      <c r="G751" s="186"/>
      <c r="H751" s="186"/>
      <c r="I751" s="186"/>
      <c r="J751" s="450"/>
      <c r="K751" s="474">
        <f>+INVERSIÓN!AB107</f>
        <v>0</v>
      </c>
      <c r="L751" s="450"/>
      <c r="M751" s="450"/>
      <c r="N751" s="410"/>
      <c r="O751" s="450"/>
      <c r="P751" s="450"/>
      <c r="Q751" s="450"/>
      <c r="R751" s="494"/>
      <c r="S751" s="710"/>
      <c r="T751" s="173" t="s">
        <v>673</v>
      </c>
      <c r="U751" s="162"/>
      <c r="V751" s="162"/>
      <c r="W751" s="491"/>
      <c r="X751" s="484"/>
      <c r="Y751" s="484"/>
      <c r="Z751" s="484"/>
      <c r="AA751" s="529"/>
      <c r="AB751" s="530"/>
      <c r="AC751" s="531"/>
      <c r="AD751" s="532"/>
      <c r="AE751" s="533"/>
      <c r="AF751" s="713"/>
      <c r="AG751" s="829"/>
      <c r="AH751" s="710"/>
      <c r="AI751" s="710"/>
      <c r="AJ751" s="710"/>
      <c r="AK751" s="710"/>
      <c r="AL751" s="710"/>
      <c r="AM751" s="710"/>
      <c r="AN751" s="710"/>
      <c r="AO751" s="710"/>
      <c r="AP751" s="710"/>
      <c r="AQ751" s="710"/>
      <c r="AR751" s="710"/>
      <c r="AS751" s="710"/>
      <c r="AT751" s="710"/>
      <c r="AU751" s="710"/>
      <c r="AV751" s="710"/>
      <c r="AW751" s="710"/>
      <c r="AX751" s="710"/>
      <c r="AY751" s="427"/>
    </row>
    <row r="752" spans="1:51" ht="27" hidden="1" customHeight="1" x14ac:dyDescent="0.25">
      <c r="A752" s="829"/>
      <c r="B752" s="710"/>
      <c r="C752" s="710"/>
      <c r="D752" s="408" t="s">
        <v>347</v>
      </c>
      <c r="E752" s="535"/>
      <c r="F752" s="174"/>
      <c r="G752" s="174"/>
      <c r="H752" s="174"/>
      <c r="I752" s="174"/>
      <c r="J752" s="410"/>
      <c r="K752" s="474">
        <f>+INVERSIÓN!AB108</f>
        <v>0</v>
      </c>
      <c r="L752" s="410"/>
      <c r="M752" s="410"/>
      <c r="N752" s="410"/>
      <c r="O752" s="410"/>
      <c r="P752" s="410"/>
      <c r="Q752" s="410"/>
      <c r="R752" s="416"/>
      <c r="S752" s="710"/>
      <c r="T752" s="173" t="s">
        <v>673</v>
      </c>
      <c r="U752" s="184"/>
      <c r="V752" s="184"/>
      <c r="W752" s="416"/>
      <c r="X752" s="485"/>
      <c r="Y752" s="485"/>
      <c r="Z752" s="485"/>
      <c r="AA752" s="485"/>
      <c r="AB752" s="528"/>
      <c r="AC752" s="526"/>
      <c r="AD752" s="414"/>
      <c r="AE752" s="526"/>
      <c r="AF752" s="713"/>
      <c r="AG752" s="829"/>
      <c r="AH752" s="710"/>
      <c r="AI752" s="710"/>
      <c r="AJ752" s="710"/>
      <c r="AK752" s="710"/>
      <c r="AL752" s="710"/>
      <c r="AM752" s="710"/>
      <c r="AN752" s="710"/>
      <c r="AO752" s="710"/>
      <c r="AP752" s="710"/>
      <c r="AQ752" s="710"/>
      <c r="AR752" s="710"/>
      <c r="AS752" s="710"/>
      <c r="AT752" s="710"/>
      <c r="AU752" s="710"/>
      <c r="AV752" s="710"/>
      <c r="AW752" s="710"/>
      <c r="AX752" s="710"/>
      <c r="AY752" s="427"/>
    </row>
    <row r="753" spans="1:51" ht="27.75" hidden="1" customHeight="1" x14ac:dyDescent="0.25">
      <c r="A753" s="829"/>
      <c r="B753" s="710"/>
      <c r="C753" s="731"/>
      <c r="D753" s="412" t="s">
        <v>348</v>
      </c>
      <c r="E753" s="537"/>
      <c r="F753" s="187"/>
      <c r="G753" s="187"/>
      <c r="H753" s="187"/>
      <c r="I753" s="187"/>
      <c r="J753" s="452"/>
      <c r="K753" s="474">
        <f>+INVERSIÓN!AB109</f>
        <v>0</v>
      </c>
      <c r="L753" s="452"/>
      <c r="M753" s="452"/>
      <c r="N753" s="410"/>
      <c r="O753" s="452"/>
      <c r="P753" s="452"/>
      <c r="Q753" s="452"/>
      <c r="R753" s="442"/>
      <c r="S753" s="710"/>
      <c r="T753" s="173" t="s">
        <v>673</v>
      </c>
      <c r="U753" s="173"/>
      <c r="V753" s="173"/>
      <c r="W753" s="442"/>
      <c r="X753" s="471"/>
      <c r="Y753" s="471"/>
      <c r="Z753" s="471"/>
      <c r="AA753" s="443"/>
      <c r="AB753" s="481"/>
      <c r="AC753" s="531"/>
      <c r="AD753" s="534"/>
      <c r="AE753" s="482"/>
      <c r="AF753" s="713"/>
      <c r="AG753" s="823"/>
      <c r="AH753" s="731"/>
      <c r="AI753" s="731"/>
      <c r="AJ753" s="731"/>
      <c r="AK753" s="731"/>
      <c r="AL753" s="731"/>
      <c r="AM753" s="731"/>
      <c r="AN753" s="731"/>
      <c r="AO753" s="731"/>
      <c r="AP753" s="731"/>
      <c r="AQ753" s="731"/>
      <c r="AR753" s="731"/>
      <c r="AS753" s="731"/>
      <c r="AT753" s="731"/>
      <c r="AU753" s="731"/>
      <c r="AV753" s="731"/>
      <c r="AW753" s="731"/>
      <c r="AX753" s="731"/>
      <c r="AY753" s="427"/>
    </row>
    <row r="754" spans="1:51" ht="18" hidden="1" customHeight="1" x14ac:dyDescent="0.25">
      <c r="A754" s="829"/>
      <c r="B754" s="710"/>
      <c r="C754" s="813" t="s">
        <v>1382</v>
      </c>
      <c r="D754" s="413" t="s">
        <v>340</v>
      </c>
      <c r="E754" s="535"/>
      <c r="F754" s="174"/>
      <c r="G754" s="174"/>
      <c r="H754" s="174"/>
      <c r="I754" s="174"/>
      <c r="J754" s="410"/>
      <c r="K754" s="474">
        <f>+INVERSIÓN!AB110</f>
        <v>0</v>
      </c>
      <c r="L754" s="410"/>
      <c r="M754" s="410"/>
      <c r="N754" s="410"/>
      <c r="O754" s="410"/>
      <c r="P754" s="410"/>
      <c r="Q754" s="410"/>
      <c r="R754" s="416"/>
      <c r="S754" s="710"/>
      <c r="T754" s="173" t="s">
        <v>673</v>
      </c>
      <c r="U754" s="173"/>
      <c r="V754" s="173"/>
      <c r="W754" s="442"/>
      <c r="X754" s="471"/>
      <c r="Y754" s="471"/>
      <c r="Z754" s="471"/>
      <c r="AA754" s="443"/>
      <c r="AB754" s="481"/>
      <c r="AC754" s="526"/>
      <c r="AD754" s="414"/>
      <c r="AE754" s="482"/>
      <c r="AF754" s="713"/>
      <c r="AG754" s="913" t="str">
        <f>+C754</f>
        <v>RAFAEL URIBE</v>
      </c>
      <c r="AH754" s="813" t="s">
        <v>633</v>
      </c>
      <c r="AI754" s="813" t="s">
        <v>633</v>
      </c>
      <c r="AJ754" s="813" t="s">
        <v>633</v>
      </c>
      <c r="AK754" s="813" t="s">
        <v>457</v>
      </c>
      <c r="AL754" s="813"/>
      <c r="AM754" s="813" t="s">
        <v>1335</v>
      </c>
      <c r="AN754" s="931">
        <v>7715777</v>
      </c>
      <c r="AO754" s="910">
        <v>3679381.9895200301</v>
      </c>
      <c r="AP754" s="910">
        <v>4036396.0104799699</v>
      </c>
      <c r="AQ754" s="915" t="s">
        <v>459</v>
      </c>
      <c r="AR754" s="915" t="s">
        <v>459</v>
      </c>
      <c r="AS754" s="915" t="s">
        <v>459</v>
      </c>
      <c r="AT754" s="915" t="s">
        <v>459</v>
      </c>
      <c r="AU754" s="915" t="s">
        <v>459</v>
      </c>
      <c r="AV754" s="915" t="s">
        <v>459</v>
      </c>
      <c r="AW754" s="915" t="s">
        <v>459</v>
      </c>
      <c r="AX754" s="910">
        <v>7715777</v>
      </c>
      <c r="AY754" s="427"/>
    </row>
    <row r="755" spans="1:51" ht="18" hidden="1" customHeight="1" x14ac:dyDescent="0.25">
      <c r="A755" s="829"/>
      <c r="B755" s="710"/>
      <c r="C755" s="710"/>
      <c r="D755" s="404" t="s">
        <v>343</v>
      </c>
      <c r="E755" s="536"/>
      <c r="F755" s="186"/>
      <c r="G755" s="186"/>
      <c r="H755" s="186"/>
      <c r="I755" s="186"/>
      <c r="J755" s="450"/>
      <c r="K755" s="474">
        <f>+INVERSIÓN!AB111</f>
        <v>0</v>
      </c>
      <c r="L755" s="450"/>
      <c r="M755" s="450"/>
      <c r="N755" s="410"/>
      <c r="O755" s="450"/>
      <c r="P755" s="450"/>
      <c r="Q755" s="450"/>
      <c r="R755" s="494"/>
      <c r="S755" s="710"/>
      <c r="T755" s="173" t="s">
        <v>673</v>
      </c>
      <c r="U755" s="162"/>
      <c r="V755" s="162"/>
      <c r="W755" s="491"/>
      <c r="X755" s="484"/>
      <c r="Y755" s="484"/>
      <c r="Z755" s="484"/>
      <c r="AA755" s="529"/>
      <c r="AB755" s="530"/>
      <c r="AC755" s="531"/>
      <c r="AD755" s="532"/>
      <c r="AE755" s="533"/>
      <c r="AF755" s="713"/>
      <c r="AG755" s="829"/>
      <c r="AH755" s="710"/>
      <c r="AI755" s="710"/>
      <c r="AJ755" s="710"/>
      <c r="AK755" s="710"/>
      <c r="AL755" s="710"/>
      <c r="AM755" s="710"/>
      <c r="AN755" s="710"/>
      <c r="AO755" s="710"/>
      <c r="AP755" s="710"/>
      <c r="AQ755" s="710"/>
      <c r="AR755" s="710"/>
      <c r="AS755" s="710"/>
      <c r="AT755" s="710"/>
      <c r="AU755" s="710"/>
      <c r="AV755" s="710"/>
      <c r="AW755" s="710"/>
      <c r="AX755" s="710"/>
      <c r="AY755" s="427"/>
    </row>
    <row r="756" spans="1:51" ht="27" hidden="1" customHeight="1" x14ac:dyDescent="0.25">
      <c r="A756" s="829"/>
      <c r="B756" s="710"/>
      <c r="C756" s="710"/>
      <c r="D756" s="408" t="s">
        <v>345</v>
      </c>
      <c r="E756" s="536"/>
      <c r="F756" s="186"/>
      <c r="G756" s="186"/>
      <c r="H756" s="186"/>
      <c r="I756" s="186"/>
      <c r="J756" s="450"/>
      <c r="K756" s="474">
        <f>+INVERSIÓN!AB112</f>
        <v>0</v>
      </c>
      <c r="L756" s="450"/>
      <c r="M756" s="450"/>
      <c r="N756" s="410"/>
      <c r="O756" s="450"/>
      <c r="P756" s="450"/>
      <c r="Q756" s="450"/>
      <c r="R756" s="494"/>
      <c r="S756" s="710"/>
      <c r="T756" s="173" t="s">
        <v>673</v>
      </c>
      <c r="U756" s="162"/>
      <c r="V756" s="162"/>
      <c r="W756" s="491"/>
      <c r="X756" s="484"/>
      <c r="Y756" s="484"/>
      <c r="Z756" s="484"/>
      <c r="AA756" s="529"/>
      <c r="AB756" s="530"/>
      <c r="AC756" s="531"/>
      <c r="AD756" s="532"/>
      <c r="AE756" s="533"/>
      <c r="AF756" s="713"/>
      <c r="AG756" s="829"/>
      <c r="AH756" s="710"/>
      <c r="AI756" s="710"/>
      <c r="AJ756" s="710"/>
      <c r="AK756" s="710"/>
      <c r="AL756" s="710"/>
      <c r="AM756" s="710"/>
      <c r="AN756" s="710"/>
      <c r="AO756" s="710"/>
      <c r="AP756" s="710"/>
      <c r="AQ756" s="710"/>
      <c r="AR756" s="710"/>
      <c r="AS756" s="710"/>
      <c r="AT756" s="710"/>
      <c r="AU756" s="710"/>
      <c r="AV756" s="710"/>
      <c r="AW756" s="710"/>
      <c r="AX756" s="710"/>
      <c r="AY756" s="427"/>
    </row>
    <row r="757" spans="1:51" ht="27" hidden="1" customHeight="1" x14ac:dyDescent="0.25">
      <c r="A757" s="829"/>
      <c r="B757" s="710"/>
      <c r="C757" s="710"/>
      <c r="D757" s="404" t="s">
        <v>346</v>
      </c>
      <c r="E757" s="536"/>
      <c r="F757" s="186"/>
      <c r="G757" s="186"/>
      <c r="H757" s="186"/>
      <c r="I757" s="186"/>
      <c r="J757" s="450"/>
      <c r="K757" s="474">
        <f>+INVERSIÓN!AB113</f>
        <v>0</v>
      </c>
      <c r="L757" s="450"/>
      <c r="M757" s="450"/>
      <c r="N757" s="410"/>
      <c r="O757" s="450"/>
      <c r="P757" s="450"/>
      <c r="Q757" s="450"/>
      <c r="R757" s="494"/>
      <c r="S757" s="710"/>
      <c r="T757" s="173" t="s">
        <v>673</v>
      </c>
      <c r="U757" s="162"/>
      <c r="V757" s="162"/>
      <c r="W757" s="491"/>
      <c r="X757" s="484"/>
      <c r="Y757" s="484"/>
      <c r="Z757" s="484"/>
      <c r="AA757" s="529"/>
      <c r="AB757" s="530"/>
      <c r="AC757" s="531"/>
      <c r="AD757" s="532"/>
      <c r="AE757" s="533"/>
      <c r="AF757" s="713"/>
      <c r="AG757" s="829"/>
      <c r="AH757" s="710"/>
      <c r="AI757" s="710"/>
      <c r="AJ757" s="710"/>
      <c r="AK757" s="710"/>
      <c r="AL757" s="710"/>
      <c r="AM757" s="710"/>
      <c r="AN757" s="710"/>
      <c r="AO757" s="710"/>
      <c r="AP757" s="710"/>
      <c r="AQ757" s="710"/>
      <c r="AR757" s="710"/>
      <c r="AS757" s="710"/>
      <c r="AT757" s="710"/>
      <c r="AU757" s="710"/>
      <c r="AV757" s="710"/>
      <c r="AW757" s="710"/>
      <c r="AX757" s="710"/>
      <c r="AY757" s="427"/>
    </row>
    <row r="758" spans="1:51" ht="27" hidden="1" customHeight="1" x14ac:dyDescent="0.25">
      <c r="A758" s="829"/>
      <c r="B758" s="710"/>
      <c r="C758" s="710"/>
      <c r="D758" s="408" t="s">
        <v>347</v>
      </c>
      <c r="E758" s="535"/>
      <c r="F758" s="174"/>
      <c r="G758" s="174"/>
      <c r="H758" s="174"/>
      <c r="I758" s="174"/>
      <c r="J758" s="410"/>
      <c r="K758" s="474">
        <f>+INVERSIÓN!AB114</f>
        <v>0</v>
      </c>
      <c r="L758" s="410"/>
      <c r="M758" s="410"/>
      <c r="N758" s="410"/>
      <c r="O758" s="410"/>
      <c r="P758" s="410"/>
      <c r="Q758" s="410"/>
      <c r="R758" s="416"/>
      <c r="S758" s="710"/>
      <c r="T758" s="173" t="s">
        <v>673</v>
      </c>
      <c r="U758" s="184"/>
      <c r="V758" s="184"/>
      <c r="W758" s="416"/>
      <c r="X758" s="485"/>
      <c r="Y758" s="485"/>
      <c r="Z758" s="485"/>
      <c r="AA758" s="485"/>
      <c r="AB758" s="528"/>
      <c r="AC758" s="526"/>
      <c r="AD758" s="414"/>
      <c r="AE758" s="526"/>
      <c r="AF758" s="713"/>
      <c r="AG758" s="829"/>
      <c r="AH758" s="710"/>
      <c r="AI758" s="710"/>
      <c r="AJ758" s="710"/>
      <c r="AK758" s="710"/>
      <c r="AL758" s="710"/>
      <c r="AM758" s="710"/>
      <c r="AN758" s="710"/>
      <c r="AO758" s="710"/>
      <c r="AP758" s="710"/>
      <c r="AQ758" s="710"/>
      <c r="AR758" s="710"/>
      <c r="AS758" s="710"/>
      <c r="AT758" s="710"/>
      <c r="AU758" s="710"/>
      <c r="AV758" s="710"/>
      <c r="AW758" s="710"/>
      <c r="AX758" s="710"/>
      <c r="AY758" s="427"/>
    </row>
    <row r="759" spans="1:51" ht="27.75" hidden="1" customHeight="1" x14ac:dyDescent="0.25">
      <c r="A759" s="829"/>
      <c r="B759" s="710"/>
      <c r="C759" s="731"/>
      <c r="D759" s="412" t="s">
        <v>348</v>
      </c>
      <c r="E759" s="537"/>
      <c r="F759" s="187"/>
      <c r="G759" s="187"/>
      <c r="H759" s="187"/>
      <c r="I759" s="187"/>
      <c r="J759" s="452"/>
      <c r="K759" s="474">
        <f>+INVERSIÓN!AB115</f>
        <v>0</v>
      </c>
      <c r="L759" s="452"/>
      <c r="M759" s="452"/>
      <c r="N759" s="410"/>
      <c r="O759" s="452"/>
      <c r="P759" s="452"/>
      <c r="Q759" s="452"/>
      <c r="R759" s="442"/>
      <c r="S759" s="710"/>
      <c r="T759" s="173" t="s">
        <v>673</v>
      </c>
      <c r="U759" s="173"/>
      <c r="V759" s="173"/>
      <c r="W759" s="442"/>
      <c r="X759" s="471"/>
      <c r="Y759" s="471"/>
      <c r="Z759" s="471"/>
      <c r="AA759" s="443"/>
      <c r="AB759" s="481"/>
      <c r="AC759" s="531"/>
      <c r="AD759" s="534"/>
      <c r="AE759" s="482"/>
      <c r="AF759" s="713"/>
      <c r="AG759" s="823"/>
      <c r="AH759" s="731"/>
      <c r="AI759" s="731"/>
      <c r="AJ759" s="731"/>
      <c r="AK759" s="731"/>
      <c r="AL759" s="731"/>
      <c r="AM759" s="731"/>
      <c r="AN759" s="731"/>
      <c r="AO759" s="731"/>
      <c r="AP759" s="731"/>
      <c r="AQ759" s="731"/>
      <c r="AR759" s="731"/>
      <c r="AS759" s="731"/>
      <c r="AT759" s="731"/>
      <c r="AU759" s="731"/>
      <c r="AV759" s="731"/>
      <c r="AW759" s="731"/>
      <c r="AX759" s="731"/>
      <c r="AY759" s="427"/>
    </row>
    <row r="760" spans="1:51" ht="18" hidden="1" customHeight="1" x14ac:dyDescent="0.25">
      <c r="A760" s="829"/>
      <c r="B760" s="710"/>
      <c r="C760" s="914" t="s">
        <v>511</v>
      </c>
      <c r="D760" s="413" t="s">
        <v>340</v>
      </c>
      <c r="E760" s="535"/>
      <c r="F760" s="174"/>
      <c r="G760" s="174"/>
      <c r="H760" s="174"/>
      <c r="I760" s="174"/>
      <c r="J760" s="410"/>
      <c r="K760" s="474">
        <f>+INVERSIÓN!AB116</f>
        <v>0</v>
      </c>
      <c r="L760" s="410"/>
      <c r="M760" s="410"/>
      <c r="N760" s="410"/>
      <c r="O760" s="410"/>
      <c r="P760" s="410"/>
      <c r="Q760" s="410"/>
      <c r="R760" s="416"/>
      <c r="S760" s="710"/>
      <c r="T760" s="173" t="s">
        <v>673</v>
      </c>
      <c r="U760" s="167"/>
      <c r="V760" s="167"/>
      <c r="W760" s="415"/>
      <c r="X760" s="418"/>
      <c r="Y760" s="418"/>
      <c r="Z760" s="418"/>
      <c r="AA760" s="456"/>
      <c r="AB760" s="538"/>
      <c r="AC760" s="526"/>
      <c r="AD760" s="414"/>
      <c r="AE760" s="418"/>
      <c r="AF760" s="713"/>
      <c r="AG760" s="919" t="s">
        <v>632</v>
      </c>
      <c r="AH760" s="813" t="s">
        <v>633</v>
      </c>
      <c r="AI760" s="813" t="s">
        <v>633</v>
      </c>
      <c r="AJ760" s="813" t="s">
        <v>633</v>
      </c>
      <c r="AK760" s="813" t="s">
        <v>457</v>
      </c>
      <c r="AL760" s="813"/>
      <c r="AM760" s="813" t="s">
        <v>1335</v>
      </c>
      <c r="AN760" s="931">
        <v>7715777</v>
      </c>
      <c r="AO760" s="910">
        <v>3679381.9895200301</v>
      </c>
      <c r="AP760" s="910">
        <v>4036396.0104799699</v>
      </c>
      <c r="AQ760" s="911" t="s">
        <v>459</v>
      </c>
      <c r="AR760" s="911" t="s">
        <v>459</v>
      </c>
      <c r="AS760" s="911" t="s">
        <v>459</v>
      </c>
      <c r="AT760" s="911" t="s">
        <v>459</v>
      </c>
      <c r="AU760" s="915" t="s">
        <v>459</v>
      </c>
      <c r="AV760" s="915" t="s">
        <v>459</v>
      </c>
      <c r="AW760" s="915" t="s">
        <v>459</v>
      </c>
      <c r="AX760" s="910">
        <v>7715777</v>
      </c>
      <c r="AY760" s="427"/>
    </row>
    <row r="761" spans="1:51" ht="18" hidden="1" customHeight="1" x14ac:dyDescent="0.25">
      <c r="A761" s="829"/>
      <c r="B761" s="710"/>
      <c r="C761" s="710"/>
      <c r="D761" s="404" t="s">
        <v>343</v>
      </c>
      <c r="E761" s="535"/>
      <c r="F761" s="174"/>
      <c r="G761" s="174"/>
      <c r="H761" s="174"/>
      <c r="I761" s="174"/>
      <c r="J761" s="410"/>
      <c r="K761" s="474">
        <f>+INVERSIÓN!AB117</f>
        <v>0</v>
      </c>
      <c r="L761" s="410"/>
      <c r="M761" s="410"/>
      <c r="N761" s="410"/>
      <c r="O761" s="410"/>
      <c r="P761" s="410"/>
      <c r="Q761" s="410"/>
      <c r="R761" s="416"/>
      <c r="S761" s="710"/>
      <c r="T761" s="173" t="s">
        <v>673</v>
      </c>
      <c r="U761" s="167"/>
      <c r="V761" s="167"/>
      <c r="W761" s="415"/>
      <c r="X761" s="418"/>
      <c r="Y761" s="418"/>
      <c r="Z761" s="418"/>
      <c r="AA761" s="456"/>
      <c r="AB761" s="538"/>
      <c r="AC761" s="526"/>
      <c r="AD761" s="414"/>
      <c r="AE761" s="418"/>
      <c r="AF761" s="713"/>
      <c r="AG761" s="829"/>
      <c r="AH761" s="710"/>
      <c r="AI761" s="710"/>
      <c r="AJ761" s="710"/>
      <c r="AK761" s="710"/>
      <c r="AL761" s="710"/>
      <c r="AM761" s="710"/>
      <c r="AN761" s="710"/>
      <c r="AO761" s="710"/>
      <c r="AP761" s="710"/>
      <c r="AQ761" s="710"/>
      <c r="AR761" s="710"/>
      <c r="AS761" s="710"/>
      <c r="AT761" s="710"/>
      <c r="AU761" s="710"/>
      <c r="AV761" s="710"/>
      <c r="AW761" s="710"/>
      <c r="AX761" s="710"/>
      <c r="AY761" s="427"/>
    </row>
    <row r="762" spans="1:51" ht="27" hidden="1" customHeight="1" x14ac:dyDescent="0.25">
      <c r="A762" s="829"/>
      <c r="B762" s="710"/>
      <c r="C762" s="710"/>
      <c r="D762" s="408" t="s">
        <v>345</v>
      </c>
      <c r="E762" s="535"/>
      <c r="F762" s="174"/>
      <c r="G762" s="174"/>
      <c r="H762" s="174"/>
      <c r="I762" s="174"/>
      <c r="J762" s="410"/>
      <c r="K762" s="474">
        <f>+INVERSIÓN!AB118</f>
        <v>0</v>
      </c>
      <c r="L762" s="410"/>
      <c r="M762" s="410"/>
      <c r="N762" s="410"/>
      <c r="O762" s="410"/>
      <c r="P762" s="410"/>
      <c r="Q762" s="410"/>
      <c r="R762" s="416"/>
      <c r="S762" s="710"/>
      <c r="T762" s="173" t="s">
        <v>673</v>
      </c>
      <c r="U762" s="167"/>
      <c r="V762" s="167"/>
      <c r="W762" s="415"/>
      <c r="X762" s="418"/>
      <c r="Y762" s="418"/>
      <c r="Z762" s="418"/>
      <c r="AA762" s="456"/>
      <c r="AB762" s="538"/>
      <c r="AC762" s="526"/>
      <c r="AD762" s="414"/>
      <c r="AE762" s="418"/>
      <c r="AF762" s="713"/>
      <c r="AG762" s="829"/>
      <c r="AH762" s="710"/>
      <c r="AI762" s="710"/>
      <c r="AJ762" s="710"/>
      <c r="AK762" s="710"/>
      <c r="AL762" s="710"/>
      <c r="AM762" s="710"/>
      <c r="AN762" s="710"/>
      <c r="AO762" s="710"/>
      <c r="AP762" s="710"/>
      <c r="AQ762" s="710"/>
      <c r="AR762" s="710"/>
      <c r="AS762" s="710"/>
      <c r="AT762" s="710"/>
      <c r="AU762" s="710"/>
      <c r="AV762" s="710"/>
      <c r="AW762" s="710"/>
      <c r="AX762" s="710"/>
      <c r="AY762" s="427"/>
    </row>
    <row r="763" spans="1:51" ht="27" hidden="1" customHeight="1" x14ac:dyDescent="0.25">
      <c r="A763" s="829"/>
      <c r="B763" s="710"/>
      <c r="C763" s="710"/>
      <c r="D763" s="404" t="s">
        <v>346</v>
      </c>
      <c r="E763" s="535"/>
      <c r="F763" s="174"/>
      <c r="G763" s="174"/>
      <c r="H763" s="174"/>
      <c r="I763" s="174"/>
      <c r="J763" s="410"/>
      <c r="K763" s="474">
        <f>+INVERSIÓN!AB119</f>
        <v>0</v>
      </c>
      <c r="L763" s="410"/>
      <c r="M763" s="410"/>
      <c r="N763" s="410"/>
      <c r="O763" s="410"/>
      <c r="P763" s="410"/>
      <c r="Q763" s="410"/>
      <c r="R763" s="416"/>
      <c r="S763" s="710"/>
      <c r="T763" s="173" t="s">
        <v>673</v>
      </c>
      <c r="U763" s="167"/>
      <c r="V763" s="167"/>
      <c r="W763" s="415"/>
      <c r="X763" s="418"/>
      <c r="Y763" s="418"/>
      <c r="Z763" s="418"/>
      <c r="AA763" s="456"/>
      <c r="AB763" s="538"/>
      <c r="AC763" s="526"/>
      <c r="AD763" s="414"/>
      <c r="AE763" s="418"/>
      <c r="AF763" s="713"/>
      <c r="AG763" s="829"/>
      <c r="AH763" s="710"/>
      <c r="AI763" s="710"/>
      <c r="AJ763" s="710"/>
      <c r="AK763" s="710"/>
      <c r="AL763" s="710"/>
      <c r="AM763" s="710"/>
      <c r="AN763" s="710"/>
      <c r="AO763" s="710"/>
      <c r="AP763" s="710"/>
      <c r="AQ763" s="710"/>
      <c r="AR763" s="710"/>
      <c r="AS763" s="710"/>
      <c r="AT763" s="710"/>
      <c r="AU763" s="710"/>
      <c r="AV763" s="710"/>
      <c r="AW763" s="710"/>
      <c r="AX763" s="710"/>
      <c r="AY763" s="427"/>
    </row>
    <row r="764" spans="1:51" ht="27" hidden="1" customHeight="1" x14ac:dyDescent="0.25">
      <c r="A764" s="829"/>
      <c r="B764" s="710"/>
      <c r="C764" s="710"/>
      <c r="D764" s="408" t="s">
        <v>347</v>
      </c>
      <c r="E764" s="535"/>
      <c r="F764" s="174"/>
      <c r="G764" s="174"/>
      <c r="H764" s="174"/>
      <c r="I764" s="174"/>
      <c r="J764" s="410"/>
      <c r="K764" s="474">
        <f>+INVERSIÓN!AB120</f>
        <v>0</v>
      </c>
      <c r="L764" s="410"/>
      <c r="M764" s="410"/>
      <c r="N764" s="410"/>
      <c r="O764" s="410"/>
      <c r="P764" s="410"/>
      <c r="Q764" s="410"/>
      <c r="R764" s="416"/>
      <c r="S764" s="710"/>
      <c r="T764" s="173" t="s">
        <v>673</v>
      </c>
      <c r="U764" s="167"/>
      <c r="V764" s="167"/>
      <c r="W764" s="415"/>
      <c r="X764" s="418"/>
      <c r="Y764" s="418"/>
      <c r="Z764" s="418"/>
      <c r="AA764" s="456"/>
      <c r="AB764" s="538"/>
      <c r="AC764" s="526"/>
      <c r="AD764" s="414"/>
      <c r="AE764" s="418"/>
      <c r="AF764" s="713"/>
      <c r="AG764" s="829"/>
      <c r="AH764" s="710"/>
      <c r="AI764" s="710"/>
      <c r="AJ764" s="710"/>
      <c r="AK764" s="710"/>
      <c r="AL764" s="710"/>
      <c r="AM764" s="710"/>
      <c r="AN764" s="710"/>
      <c r="AO764" s="710"/>
      <c r="AP764" s="710"/>
      <c r="AQ764" s="710"/>
      <c r="AR764" s="710"/>
      <c r="AS764" s="710"/>
      <c r="AT764" s="710"/>
      <c r="AU764" s="710"/>
      <c r="AV764" s="710"/>
      <c r="AW764" s="710"/>
      <c r="AX764" s="710"/>
      <c r="AY764" s="427"/>
    </row>
    <row r="765" spans="1:51" ht="27.75" hidden="1" customHeight="1" x14ac:dyDescent="0.25">
      <c r="A765" s="829"/>
      <c r="B765" s="710"/>
      <c r="C765" s="731"/>
      <c r="D765" s="412" t="s">
        <v>348</v>
      </c>
      <c r="E765" s="535"/>
      <c r="F765" s="174"/>
      <c r="G765" s="174"/>
      <c r="H765" s="174"/>
      <c r="I765" s="174"/>
      <c r="J765" s="410"/>
      <c r="K765" s="474">
        <f>+INVERSIÓN!AB121</f>
        <v>0</v>
      </c>
      <c r="L765" s="410"/>
      <c r="M765" s="410"/>
      <c r="N765" s="410"/>
      <c r="O765" s="410"/>
      <c r="P765" s="410"/>
      <c r="Q765" s="410"/>
      <c r="R765" s="416"/>
      <c r="S765" s="710"/>
      <c r="T765" s="173" t="s">
        <v>673</v>
      </c>
      <c r="U765" s="167"/>
      <c r="V765" s="167"/>
      <c r="W765" s="415"/>
      <c r="X765" s="418"/>
      <c r="Y765" s="418"/>
      <c r="Z765" s="418"/>
      <c r="AA765" s="456"/>
      <c r="AB765" s="538"/>
      <c r="AC765" s="526"/>
      <c r="AD765" s="414"/>
      <c r="AE765" s="418"/>
      <c r="AF765" s="713"/>
      <c r="AG765" s="823"/>
      <c r="AH765" s="731"/>
      <c r="AI765" s="731"/>
      <c r="AJ765" s="731"/>
      <c r="AK765" s="731"/>
      <c r="AL765" s="731"/>
      <c r="AM765" s="731"/>
      <c r="AN765" s="731"/>
      <c r="AO765" s="731"/>
      <c r="AP765" s="731"/>
      <c r="AQ765" s="731"/>
      <c r="AR765" s="731"/>
      <c r="AS765" s="731"/>
      <c r="AT765" s="731"/>
      <c r="AU765" s="731"/>
      <c r="AV765" s="731"/>
      <c r="AW765" s="731"/>
      <c r="AX765" s="731"/>
      <c r="AY765" s="427"/>
    </row>
    <row r="766" spans="1:51" ht="22.5" customHeight="1" x14ac:dyDescent="0.25">
      <c r="A766" s="829"/>
      <c r="B766" s="710"/>
      <c r="C766" s="914" t="s">
        <v>512</v>
      </c>
      <c r="D766" s="413" t="s">
        <v>340</v>
      </c>
      <c r="E766" s="535">
        <f t="shared" ref="E766:E771" si="102">+E700</f>
        <v>1.4</v>
      </c>
      <c r="F766" s="174">
        <v>1.4</v>
      </c>
      <c r="G766" s="174">
        <f t="shared" ref="G766:H771" si="103">+G700</f>
        <v>1.4</v>
      </c>
      <c r="H766" s="174">
        <f t="shared" si="103"/>
        <v>1.4</v>
      </c>
      <c r="I766" s="174">
        <v>1.4</v>
      </c>
      <c r="J766" s="410">
        <v>1.4</v>
      </c>
      <c r="K766" s="414">
        <f t="shared" ref="K766:K771" si="104">+K700</f>
        <v>1.4</v>
      </c>
      <c r="L766" s="410"/>
      <c r="M766" s="410"/>
      <c r="N766" s="410">
        <f t="shared" ref="N766:R771" si="105">+N700</f>
        <v>0.5</v>
      </c>
      <c r="O766" s="410">
        <f t="shared" si="105"/>
        <v>0.5</v>
      </c>
      <c r="P766" s="410">
        <f t="shared" si="105"/>
        <v>0.5</v>
      </c>
      <c r="Q766" s="410">
        <f t="shared" si="105"/>
        <v>0.5</v>
      </c>
      <c r="R766" s="416">
        <f t="shared" si="105"/>
        <v>0.5</v>
      </c>
      <c r="S766" s="710"/>
      <c r="T766" s="166">
        <f t="shared" ref="T766:U771" si="106">+T700</f>
        <v>7.0000000000000007E-2</v>
      </c>
      <c r="U766" s="181">
        <f t="shared" si="106"/>
        <v>0.19600000000000001</v>
      </c>
      <c r="V766" s="166">
        <v>0.32</v>
      </c>
      <c r="W766" s="432">
        <v>0.44800000000000001</v>
      </c>
      <c r="X766" s="475">
        <f t="shared" ref="X766:X771" si="107">+X700</f>
        <v>1.4000000000000004</v>
      </c>
      <c r="Y766" s="418"/>
      <c r="Z766" s="418"/>
      <c r="AA766" s="485">
        <f t="shared" ref="AA766:AE771" si="108">+AA700</f>
        <v>0</v>
      </c>
      <c r="AB766" s="527">
        <f t="shared" si="108"/>
        <v>0</v>
      </c>
      <c r="AC766" s="526">
        <f t="shared" si="108"/>
        <v>0.17</v>
      </c>
      <c r="AD766" s="414">
        <f t="shared" si="108"/>
        <v>0.34</v>
      </c>
      <c r="AE766" s="475" t="str">
        <f t="shared" si="108"/>
        <v>#REF!</v>
      </c>
      <c r="AF766" s="713"/>
      <c r="AG766" s="919" t="s">
        <v>456</v>
      </c>
      <c r="AH766" s="813" t="s">
        <v>178</v>
      </c>
      <c r="AI766" s="813" t="s">
        <v>178</v>
      </c>
      <c r="AJ766" s="813" t="s">
        <v>178</v>
      </c>
      <c r="AK766" s="914" t="s">
        <v>457</v>
      </c>
      <c r="AL766" s="813"/>
      <c r="AM766" s="813" t="s">
        <v>1335</v>
      </c>
      <c r="AN766" s="910">
        <v>7804660</v>
      </c>
      <c r="AO766" s="910">
        <v>3721767</v>
      </c>
      <c r="AP766" s="910">
        <v>4082893</v>
      </c>
      <c r="AQ766" s="915" t="s">
        <v>459</v>
      </c>
      <c r="AR766" s="915" t="s">
        <v>459</v>
      </c>
      <c r="AS766" s="915" t="s">
        <v>459</v>
      </c>
      <c r="AT766" s="915" t="s">
        <v>459</v>
      </c>
      <c r="AU766" s="915" t="s">
        <v>459</v>
      </c>
      <c r="AV766" s="915" t="s">
        <v>459</v>
      </c>
      <c r="AW766" s="915" t="s">
        <v>459</v>
      </c>
      <c r="AX766" s="910">
        <v>7804660</v>
      </c>
      <c r="AY766" s="427"/>
    </row>
    <row r="767" spans="1:51" ht="26.25" customHeight="1" x14ac:dyDescent="0.25">
      <c r="A767" s="829"/>
      <c r="B767" s="710"/>
      <c r="C767" s="710"/>
      <c r="D767" s="404" t="s">
        <v>343</v>
      </c>
      <c r="E767" s="535">
        <f t="shared" si="102"/>
        <v>159600000</v>
      </c>
      <c r="F767" s="174">
        <v>250350000</v>
      </c>
      <c r="G767" s="174">
        <f t="shared" si="103"/>
        <v>250350000</v>
      </c>
      <c r="H767" s="174">
        <f t="shared" si="103"/>
        <v>250350000</v>
      </c>
      <c r="I767" s="174">
        <v>250350000</v>
      </c>
      <c r="J767" s="410">
        <v>222016000</v>
      </c>
      <c r="K767" s="414">
        <f t="shared" si="104"/>
        <v>250350000</v>
      </c>
      <c r="L767" s="410"/>
      <c r="M767" s="410"/>
      <c r="N767" s="410">
        <f t="shared" si="105"/>
        <v>152972000</v>
      </c>
      <c r="O767" s="410">
        <f t="shared" si="105"/>
        <v>152972000</v>
      </c>
      <c r="P767" s="410">
        <f t="shared" si="105"/>
        <v>136314000</v>
      </c>
      <c r="Q767" s="410">
        <f t="shared" si="105"/>
        <v>156172000</v>
      </c>
      <c r="R767" s="416">
        <f t="shared" si="105"/>
        <v>156172000</v>
      </c>
      <c r="S767" s="710"/>
      <c r="T767" s="166">
        <f t="shared" si="106"/>
        <v>0</v>
      </c>
      <c r="U767" s="181">
        <f t="shared" si="106"/>
        <v>99990000</v>
      </c>
      <c r="V767" s="166">
        <v>207261000</v>
      </c>
      <c r="W767" s="432">
        <v>222016000</v>
      </c>
      <c r="X767" s="475">
        <f t="shared" si="107"/>
        <v>277709000</v>
      </c>
      <c r="Y767" s="418"/>
      <c r="Z767" s="418"/>
      <c r="AA767" s="485">
        <f t="shared" si="108"/>
        <v>101484000</v>
      </c>
      <c r="AB767" s="527">
        <f t="shared" si="108"/>
        <v>116067000</v>
      </c>
      <c r="AC767" s="526">
        <f t="shared" si="108"/>
        <v>116067000</v>
      </c>
      <c r="AD767" s="414">
        <f t="shared" si="108"/>
        <v>116067000</v>
      </c>
      <c r="AE767" s="475" t="str">
        <f t="shared" si="108"/>
        <v>#REF!</v>
      </c>
      <c r="AF767" s="713"/>
      <c r="AG767" s="829"/>
      <c r="AH767" s="710"/>
      <c r="AI767" s="710"/>
      <c r="AJ767" s="710"/>
      <c r="AK767" s="710"/>
      <c r="AL767" s="710"/>
      <c r="AM767" s="710"/>
      <c r="AN767" s="710"/>
      <c r="AO767" s="710"/>
      <c r="AP767" s="710"/>
      <c r="AQ767" s="710"/>
      <c r="AR767" s="710"/>
      <c r="AS767" s="710"/>
      <c r="AT767" s="710"/>
      <c r="AU767" s="710"/>
      <c r="AV767" s="710"/>
      <c r="AW767" s="710"/>
      <c r="AX767" s="710"/>
      <c r="AY767" s="427"/>
    </row>
    <row r="768" spans="1:51" ht="15.75" customHeight="1" x14ac:dyDescent="0.25">
      <c r="A768" s="829"/>
      <c r="B768" s="710"/>
      <c r="C768" s="710"/>
      <c r="D768" s="408" t="s">
        <v>345</v>
      </c>
      <c r="E768" s="535">
        <f t="shared" si="102"/>
        <v>0</v>
      </c>
      <c r="F768" s="174" t="s">
        <v>673</v>
      </c>
      <c r="G768" s="174">
        <f t="shared" si="103"/>
        <v>0</v>
      </c>
      <c r="H768" s="174">
        <f t="shared" si="103"/>
        <v>0</v>
      </c>
      <c r="I768" s="174">
        <v>0</v>
      </c>
      <c r="J768" s="410">
        <v>0</v>
      </c>
      <c r="K768" s="414">
        <f t="shared" si="104"/>
        <v>0</v>
      </c>
      <c r="L768" s="410"/>
      <c r="M768" s="410"/>
      <c r="N768" s="410">
        <f t="shared" si="105"/>
        <v>0</v>
      </c>
      <c r="O768" s="410">
        <f t="shared" si="105"/>
        <v>0</v>
      </c>
      <c r="P768" s="410" t="str">
        <f t="shared" si="105"/>
        <v>#REF!</v>
      </c>
      <c r="Q768" s="410" t="str">
        <f t="shared" si="105"/>
        <v>#REF!</v>
      </c>
      <c r="R768" s="416" t="str">
        <f t="shared" si="105"/>
        <v>#REF!</v>
      </c>
      <c r="S768" s="710"/>
      <c r="T768" s="166">
        <f t="shared" si="106"/>
        <v>0</v>
      </c>
      <c r="U768" s="181">
        <f t="shared" si="106"/>
        <v>0</v>
      </c>
      <c r="V768" s="166">
        <v>0</v>
      </c>
      <c r="W768" s="432">
        <v>0</v>
      </c>
      <c r="X768" s="475">
        <f t="shared" si="107"/>
        <v>243612895</v>
      </c>
      <c r="Y768" s="418"/>
      <c r="Z768" s="418"/>
      <c r="AA768" s="485">
        <f t="shared" si="108"/>
        <v>0</v>
      </c>
      <c r="AB768" s="527">
        <f t="shared" si="108"/>
        <v>0</v>
      </c>
      <c r="AC768" s="526" t="str">
        <f t="shared" si="108"/>
        <v>#REF!</v>
      </c>
      <c r="AD768" s="414" t="str">
        <f t="shared" si="108"/>
        <v>#REF!</v>
      </c>
      <c r="AE768" s="475" t="str">
        <f t="shared" si="108"/>
        <v>#REF!</v>
      </c>
      <c r="AF768" s="713"/>
      <c r="AG768" s="829"/>
      <c r="AH768" s="710"/>
      <c r="AI768" s="710"/>
      <c r="AJ768" s="710"/>
      <c r="AK768" s="710"/>
      <c r="AL768" s="710"/>
      <c r="AM768" s="710"/>
      <c r="AN768" s="710"/>
      <c r="AO768" s="710"/>
      <c r="AP768" s="710"/>
      <c r="AQ768" s="710"/>
      <c r="AR768" s="710"/>
      <c r="AS768" s="710"/>
      <c r="AT768" s="710"/>
      <c r="AU768" s="710"/>
      <c r="AV768" s="710"/>
      <c r="AW768" s="710"/>
      <c r="AX768" s="710"/>
      <c r="AY768" s="427"/>
    </row>
    <row r="769" spans="1:51" ht="18.75" customHeight="1" x14ac:dyDescent="0.25">
      <c r="A769" s="829"/>
      <c r="B769" s="710"/>
      <c r="C769" s="710"/>
      <c r="D769" s="404" t="s">
        <v>346</v>
      </c>
      <c r="E769" s="535">
        <f t="shared" si="102"/>
        <v>0</v>
      </c>
      <c r="F769" s="174">
        <v>46923400</v>
      </c>
      <c r="G769" s="174">
        <f t="shared" si="103"/>
        <v>46923400</v>
      </c>
      <c r="H769" s="174">
        <f t="shared" si="103"/>
        <v>46923400</v>
      </c>
      <c r="I769" s="174">
        <v>46923400</v>
      </c>
      <c r="J769" s="410">
        <v>46923400</v>
      </c>
      <c r="K769" s="414">
        <f t="shared" si="104"/>
        <v>0</v>
      </c>
      <c r="L769" s="410"/>
      <c r="M769" s="410"/>
      <c r="N769" s="410">
        <f t="shared" si="105"/>
        <v>0</v>
      </c>
      <c r="O769" s="410">
        <f t="shared" si="105"/>
        <v>0</v>
      </c>
      <c r="P769" s="410" t="str">
        <f t="shared" si="105"/>
        <v>#REF!</v>
      </c>
      <c r="Q769" s="410" t="str">
        <f t="shared" si="105"/>
        <v>#REF!</v>
      </c>
      <c r="R769" s="416" t="str">
        <f t="shared" si="105"/>
        <v>#REF!</v>
      </c>
      <c r="S769" s="710"/>
      <c r="T769" s="166">
        <f t="shared" si="106"/>
        <v>5648300</v>
      </c>
      <c r="U769" s="181">
        <f t="shared" si="106"/>
        <v>33089933</v>
      </c>
      <c r="V769" s="166">
        <v>42024000</v>
      </c>
      <c r="W769" s="432">
        <v>44906000</v>
      </c>
      <c r="X769" s="475">
        <f t="shared" si="107"/>
        <v>0</v>
      </c>
      <c r="Y769" s="418"/>
      <c r="Z769" s="418"/>
      <c r="AA769" s="485">
        <f t="shared" si="108"/>
        <v>0</v>
      </c>
      <c r="AB769" s="527">
        <f t="shared" si="108"/>
        <v>0</v>
      </c>
      <c r="AC769" s="526" t="str">
        <f t="shared" si="108"/>
        <v>#REF!</v>
      </c>
      <c r="AD769" s="414" t="str">
        <f t="shared" si="108"/>
        <v>#REF!</v>
      </c>
      <c r="AE769" s="475" t="str">
        <f t="shared" si="108"/>
        <v>#REF!</v>
      </c>
      <c r="AF769" s="713"/>
      <c r="AG769" s="829"/>
      <c r="AH769" s="710"/>
      <c r="AI769" s="710"/>
      <c r="AJ769" s="710"/>
      <c r="AK769" s="710"/>
      <c r="AL769" s="710"/>
      <c r="AM769" s="710"/>
      <c r="AN769" s="710"/>
      <c r="AO769" s="710"/>
      <c r="AP769" s="710"/>
      <c r="AQ769" s="710"/>
      <c r="AR769" s="710"/>
      <c r="AS769" s="710"/>
      <c r="AT769" s="710"/>
      <c r="AU769" s="710"/>
      <c r="AV769" s="710"/>
      <c r="AW769" s="710"/>
      <c r="AX769" s="710"/>
      <c r="AY769" s="427"/>
    </row>
    <row r="770" spans="1:51" ht="15.75" customHeight="1" x14ac:dyDescent="0.25">
      <c r="A770" s="829"/>
      <c r="B770" s="710"/>
      <c r="C770" s="710"/>
      <c r="D770" s="408" t="s">
        <v>347</v>
      </c>
      <c r="E770" s="535">
        <f t="shared" si="102"/>
        <v>0.5</v>
      </c>
      <c r="F770" s="174">
        <v>1.4</v>
      </c>
      <c r="G770" s="174">
        <f t="shared" si="103"/>
        <v>1.4</v>
      </c>
      <c r="H770" s="174">
        <f t="shared" si="103"/>
        <v>1.4</v>
      </c>
      <c r="I770" s="174">
        <v>0</v>
      </c>
      <c r="J770" s="410">
        <v>0</v>
      </c>
      <c r="K770" s="414">
        <f t="shared" si="104"/>
        <v>46923400</v>
      </c>
      <c r="L770" s="410"/>
      <c r="M770" s="410"/>
      <c r="N770" s="410">
        <f t="shared" si="105"/>
        <v>0.5</v>
      </c>
      <c r="O770" s="410">
        <f t="shared" si="105"/>
        <v>0.5</v>
      </c>
      <c r="P770" s="410">
        <f t="shared" si="105"/>
        <v>0.5</v>
      </c>
      <c r="Q770" s="410">
        <f t="shared" si="105"/>
        <v>0.5</v>
      </c>
      <c r="R770" s="416">
        <f t="shared" si="105"/>
        <v>0.5</v>
      </c>
      <c r="S770" s="710"/>
      <c r="T770" s="166">
        <f t="shared" si="106"/>
        <v>7.0000000000000007E-2</v>
      </c>
      <c r="U770" s="181">
        <f t="shared" si="106"/>
        <v>0.19600000000000001</v>
      </c>
      <c r="V770" s="166">
        <v>0.32</v>
      </c>
      <c r="W770" s="432">
        <v>0.44800000000000001</v>
      </c>
      <c r="X770" s="475">
        <f t="shared" si="107"/>
        <v>46923400</v>
      </c>
      <c r="Y770" s="418"/>
      <c r="Z770" s="418"/>
      <c r="AA770" s="485">
        <f t="shared" si="108"/>
        <v>0</v>
      </c>
      <c r="AB770" s="527">
        <f t="shared" si="108"/>
        <v>0</v>
      </c>
      <c r="AC770" s="526">
        <f t="shared" si="108"/>
        <v>0.17</v>
      </c>
      <c r="AD770" s="414">
        <f t="shared" si="108"/>
        <v>0.34</v>
      </c>
      <c r="AE770" s="475" t="str">
        <f t="shared" si="108"/>
        <v>#REF!</v>
      </c>
      <c r="AF770" s="713"/>
      <c r="AG770" s="829"/>
      <c r="AH770" s="710"/>
      <c r="AI770" s="710"/>
      <c r="AJ770" s="710"/>
      <c r="AK770" s="710"/>
      <c r="AL770" s="710"/>
      <c r="AM770" s="710"/>
      <c r="AN770" s="710"/>
      <c r="AO770" s="710"/>
      <c r="AP770" s="710"/>
      <c r="AQ770" s="710"/>
      <c r="AR770" s="710"/>
      <c r="AS770" s="710"/>
      <c r="AT770" s="710"/>
      <c r="AU770" s="710"/>
      <c r="AV770" s="710"/>
      <c r="AW770" s="710"/>
      <c r="AX770" s="710"/>
      <c r="AY770" s="427"/>
    </row>
    <row r="771" spans="1:51" ht="15.75" customHeight="1" x14ac:dyDescent="0.25">
      <c r="A771" s="823"/>
      <c r="B771" s="828"/>
      <c r="C771" s="731"/>
      <c r="D771" s="412" t="s">
        <v>348</v>
      </c>
      <c r="E771" s="535">
        <f t="shared" si="102"/>
        <v>159600000</v>
      </c>
      <c r="F771" s="174">
        <v>297273400</v>
      </c>
      <c r="G771" s="174">
        <f t="shared" si="103"/>
        <v>297273400</v>
      </c>
      <c r="H771" s="174">
        <f t="shared" si="103"/>
        <v>297273400</v>
      </c>
      <c r="I771" s="174">
        <v>0</v>
      </c>
      <c r="J771" s="410">
        <v>0</v>
      </c>
      <c r="K771" s="414">
        <f t="shared" si="104"/>
        <v>1.4</v>
      </c>
      <c r="L771" s="410"/>
      <c r="M771" s="410"/>
      <c r="N771" s="410">
        <f t="shared" si="105"/>
        <v>152972000</v>
      </c>
      <c r="O771" s="410">
        <f t="shared" si="105"/>
        <v>152972000</v>
      </c>
      <c r="P771" s="410">
        <f t="shared" si="105"/>
        <v>136314000</v>
      </c>
      <c r="Q771" s="410">
        <f t="shared" si="105"/>
        <v>156172000</v>
      </c>
      <c r="R771" s="416">
        <f t="shared" si="105"/>
        <v>156172000</v>
      </c>
      <c r="S771" s="731"/>
      <c r="T771" s="166">
        <f t="shared" si="106"/>
        <v>5648300</v>
      </c>
      <c r="U771" s="181">
        <f t="shared" si="106"/>
        <v>133079933</v>
      </c>
      <c r="V771" s="166">
        <v>249285000</v>
      </c>
      <c r="W771" s="432">
        <v>266922000</v>
      </c>
      <c r="X771" s="475">
        <f t="shared" si="107"/>
        <v>1.4000000000000004</v>
      </c>
      <c r="Y771" s="418"/>
      <c r="Z771" s="418"/>
      <c r="AA771" s="485">
        <f t="shared" si="108"/>
        <v>101484000</v>
      </c>
      <c r="AB771" s="527">
        <f t="shared" si="108"/>
        <v>116067000</v>
      </c>
      <c r="AC771" s="526">
        <f t="shared" si="108"/>
        <v>116067000</v>
      </c>
      <c r="AD771" s="414">
        <f t="shared" si="108"/>
        <v>116067000</v>
      </c>
      <c r="AE771" s="475" t="str">
        <f t="shared" si="108"/>
        <v>#REF!</v>
      </c>
      <c r="AF771" s="830"/>
      <c r="AG771" s="823"/>
      <c r="AH771" s="731"/>
      <c r="AI771" s="731"/>
      <c r="AJ771" s="731"/>
      <c r="AK771" s="731"/>
      <c r="AL771" s="731"/>
      <c r="AM771" s="731"/>
      <c r="AN771" s="731"/>
      <c r="AO771" s="731"/>
      <c r="AP771" s="731"/>
      <c r="AQ771" s="731"/>
      <c r="AR771" s="731"/>
      <c r="AS771" s="731"/>
      <c r="AT771" s="731"/>
      <c r="AU771" s="731"/>
      <c r="AV771" s="731"/>
      <c r="AW771" s="731"/>
      <c r="AX771" s="731"/>
      <c r="AY771" s="427"/>
    </row>
    <row r="772" spans="1:51" ht="33" customHeight="1" x14ac:dyDescent="0.25">
      <c r="A772" s="820">
        <v>9</v>
      </c>
      <c r="B772" s="827" t="s">
        <v>689</v>
      </c>
      <c r="C772" s="914" t="s">
        <v>690</v>
      </c>
      <c r="D772" s="413" t="s">
        <v>340</v>
      </c>
      <c r="E772" s="179">
        <v>0</v>
      </c>
      <c r="F772" s="179">
        <v>0</v>
      </c>
      <c r="G772" s="174">
        <v>0</v>
      </c>
      <c r="H772" s="174">
        <v>0</v>
      </c>
      <c r="I772" s="174">
        <v>0.1</v>
      </c>
      <c r="J772" s="410">
        <v>0.1</v>
      </c>
      <c r="K772" s="409"/>
      <c r="L772" s="410"/>
      <c r="M772" s="410">
        <f t="shared" ref="M772:M777" si="109">+F772</f>
        <v>0</v>
      </c>
      <c r="N772" s="410">
        <v>1</v>
      </c>
      <c r="O772" s="410">
        <v>1</v>
      </c>
      <c r="P772" s="410">
        <v>1</v>
      </c>
      <c r="Q772" s="410">
        <v>1</v>
      </c>
      <c r="R772" s="416">
        <v>1</v>
      </c>
      <c r="S772" s="444"/>
      <c r="T772" s="173">
        <v>0</v>
      </c>
      <c r="U772" s="173">
        <v>0</v>
      </c>
      <c r="V772" s="173">
        <v>0</v>
      </c>
      <c r="W772" s="442">
        <v>0</v>
      </c>
      <c r="X772" s="444"/>
      <c r="Y772" s="444"/>
      <c r="Z772" s="444">
        <v>0</v>
      </c>
      <c r="AA772" s="445">
        <v>0</v>
      </c>
      <c r="AB772" s="472">
        <v>0</v>
      </c>
      <c r="AC772" s="401">
        <v>0.5</v>
      </c>
      <c r="AD772" s="502">
        <v>0.7</v>
      </c>
      <c r="AE772" s="447" t="s">
        <v>673</v>
      </c>
      <c r="AF772" s="992" t="s">
        <v>1417</v>
      </c>
      <c r="AG772" s="919" t="s">
        <v>456</v>
      </c>
      <c r="AH772" s="813" t="s">
        <v>178</v>
      </c>
      <c r="AI772" s="813" t="s">
        <v>178</v>
      </c>
      <c r="AJ772" s="813" t="s">
        <v>178</v>
      </c>
      <c r="AK772" s="914" t="s">
        <v>457</v>
      </c>
      <c r="AL772" s="813"/>
      <c r="AM772" s="786" t="s">
        <v>691</v>
      </c>
      <c r="AN772" s="910">
        <v>7804660</v>
      </c>
      <c r="AO772" s="910">
        <v>3721767</v>
      </c>
      <c r="AP772" s="910">
        <v>4082893</v>
      </c>
      <c r="AQ772" s="915" t="s">
        <v>459</v>
      </c>
      <c r="AR772" s="915" t="s">
        <v>459</v>
      </c>
      <c r="AS772" s="915" t="s">
        <v>459</v>
      </c>
      <c r="AT772" s="915" t="s">
        <v>459</v>
      </c>
      <c r="AU772" s="915" t="s">
        <v>459</v>
      </c>
      <c r="AV772" s="915" t="s">
        <v>459</v>
      </c>
      <c r="AW772" s="915" t="s">
        <v>459</v>
      </c>
      <c r="AX772" s="910">
        <v>7804660</v>
      </c>
      <c r="AY772" s="427"/>
    </row>
    <row r="773" spans="1:51" ht="33" customHeight="1" x14ac:dyDescent="0.25">
      <c r="A773" s="829"/>
      <c r="B773" s="710"/>
      <c r="C773" s="710"/>
      <c r="D773" s="404" t="s">
        <v>343</v>
      </c>
      <c r="E773" s="179">
        <v>0</v>
      </c>
      <c r="F773" s="179">
        <v>0</v>
      </c>
      <c r="G773" s="174">
        <v>0</v>
      </c>
      <c r="H773" s="174">
        <v>0</v>
      </c>
      <c r="I773" s="174">
        <v>160059853</v>
      </c>
      <c r="J773" s="410">
        <v>160059853</v>
      </c>
      <c r="K773" s="449"/>
      <c r="L773" s="450"/>
      <c r="M773" s="410">
        <f t="shared" si="109"/>
        <v>0</v>
      </c>
      <c r="N773" s="410">
        <v>400424000</v>
      </c>
      <c r="O773" s="410">
        <v>478424000</v>
      </c>
      <c r="P773" s="410">
        <v>491805000</v>
      </c>
      <c r="Q773" s="410">
        <v>463576000</v>
      </c>
      <c r="R773" s="416">
        <v>463576000</v>
      </c>
      <c r="S773" s="444"/>
      <c r="T773" s="173">
        <v>0</v>
      </c>
      <c r="U773" s="173">
        <v>0</v>
      </c>
      <c r="V773" s="173">
        <v>0</v>
      </c>
      <c r="W773" s="442">
        <v>0</v>
      </c>
      <c r="X773" s="163"/>
      <c r="Y773" s="163"/>
      <c r="Z773" s="444">
        <v>40000000</v>
      </c>
      <c r="AA773" s="445">
        <v>318184000</v>
      </c>
      <c r="AB773" s="472">
        <v>318184000</v>
      </c>
      <c r="AC773" s="401">
        <v>318184000</v>
      </c>
      <c r="AD773" s="502">
        <v>318184000</v>
      </c>
      <c r="AE773" s="447" t="s">
        <v>673</v>
      </c>
      <c r="AF773" s="713"/>
      <c r="AG773" s="829"/>
      <c r="AH773" s="710"/>
      <c r="AI773" s="710"/>
      <c r="AJ773" s="710"/>
      <c r="AK773" s="710"/>
      <c r="AL773" s="710"/>
      <c r="AM773" s="710"/>
      <c r="AN773" s="710"/>
      <c r="AO773" s="710"/>
      <c r="AP773" s="710"/>
      <c r="AQ773" s="710"/>
      <c r="AR773" s="710"/>
      <c r="AS773" s="710"/>
      <c r="AT773" s="710"/>
      <c r="AU773" s="710"/>
      <c r="AV773" s="710"/>
      <c r="AW773" s="710"/>
      <c r="AX773" s="710"/>
      <c r="AY773" s="427"/>
    </row>
    <row r="774" spans="1:51" ht="33" customHeight="1" x14ac:dyDescent="0.25">
      <c r="A774" s="829"/>
      <c r="B774" s="710"/>
      <c r="C774" s="710"/>
      <c r="D774" s="408" t="s">
        <v>345</v>
      </c>
      <c r="E774" s="179">
        <v>0.1</v>
      </c>
      <c r="F774" s="179">
        <v>0.1</v>
      </c>
      <c r="G774" s="174">
        <v>0.1</v>
      </c>
      <c r="H774" s="174">
        <v>0.1</v>
      </c>
      <c r="I774" s="174">
        <v>0.1</v>
      </c>
      <c r="J774" s="410">
        <v>0.1</v>
      </c>
      <c r="K774" s="449"/>
      <c r="L774" s="450"/>
      <c r="M774" s="410">
        <f t="shared" si="109"/>
        <v>0.1</v>
      </c>
      <c r="N774" s="410">
        <v>0</v>
      </c>
      <c r="O774" s="410">
        <v>0</v>
      </c>
      <c r="P774" s="410" t="s">
        <v>673</v>
      </c>
      <c r="Q774" s="410" t="s">
        <v>673</v>
      </c>
      <c r="R774" s="416" t="s">
        <v>673</v>
      </c>
      <c r="S774" s="444"/>
      <c r="T774" s="173">
        <v>0.05</v>
      </c>
      <c r="U774" s="173">
        <v>0.1</v>
      </c>
      <c r="V774" s="173">
        <v>0</v>
      </c>
      <c r="W774" s="442">
        <v>0</v>
      </c>
      <c r="X774" s="163"/>
      <c r="Y774" s="163"/>
      <c r="Z774" s="444">
        <v>0</v>
      </c>
      <c r="AA774" s="445">
        <v>0</v>
      </c>
      <c r="AB774" s="472">
        <v>0</v>
      </c>
      <c r="AC774" s="401" t="s">
        <v>673</v>
      </c>
      <c r="AD774" s="502" t="s">
        <v>673</v>
      </c>
      <c r="AE774" s="447" t="s">
        <v>673</v>
      </c>
      <c r="AF774" s="713"/>
      <c r="AG774" s="829"/>
      <c r="AH774" s="710"/>
      <c r="AI774" s="710"/>
      <c r="AJ774" s="710"/>
      <c r="AK774" s="710"/>
      <c r="AL774" s="710"/>
      <c r="AM774" s="710"/>
      <c r="AN774" s="710"/>
      <c r="AO774" s="710"/>
      <c r="AP774" s="710"/>
      <c r="AQ774" s="710"/>
      <c r="AR774" s="710"/>
      <c r="AS774" s="710"/>
      <c r="AT774" s="710"/>
      <c r="AU774" s="710"/>
      <c r="AV774" s="710"/>
      <c r="AW774" s="710"/>
      <c r="AX774" s="710"/>
      <c r="AY774" s="427"/>
    </row>
    <row r="775" spans="1:51" ht="33" customHeight="1" x14ac:dyDescent="0.25">
      <c r="A775" s="829"/>
      <c r="B775" s="710"/>
      <c r="C775" s="710"/>
      <c r="D775" s="404" t="s">
        <v>346</v>
      </c>
      <c r="E775" s="179">
        <v>160059853</v>
      </c>
      <c r="F775" s="179">
        <v>160059853</v>
      </c>
      <c r="G775" s="174">
        <v>160059853</v>
      </c>
      <c r="H775" s="174">
        <v>160059853</v>
      </c>
      <c r="I775" s="174">
        <v>160059853</v>
      </c>
      <c r="J775" s="410">
        <v>160059853</v>
      </c>
      <c r="K775" s="449"/>
      <c r="L775" s="450"/>
      <c r="M775" s="410">
        <f t="shared" si="109"/>
        <v>160059853</v>
      </c>
      <c r="N775" s="410">
        <v>0</v>
      </c>
      <c r="O775" s="410">
        <v>0</v>
      </c>
      <c r="P775" s="410" t="s">
        <v>673</v>
      </c>
      <c r="Q775" s="410" t="s">
        <v>673</v>
      </c>
      <c r="R775" s="416" t="s">
        <v>673</v>
      </c>
      <c r="S775" s="444"/>
      <c r="T775" s="173">
        <v>33914000</v>
      </c>
      <c r="U775" s="173">
        <v>97735000</v>
      </c>
      <c r="V775" s="173">
        <v>126122834</v>
      </c>
      <c r="W775" s="442">
        <v>126122834</v>
      </c>
      <c r="X775" s="163"/>
      <c r="Y775" s="163"/>
      <c r="Z775" s="444">
        <v>0</v>
      </c>
      <c r="AA775" s="445">
        <v>0</v>
      </c>
      <c r="AB775" s="472">
        <v>0</v>
      </c>
      <c r="AC775" s="401" t="s">
        <v>673</v>
      </c>
      <c r="AD775" s="502" t="s">
        <v>673</v>
      </c>
      <c r="AE775" s="447" t="s">
        <v>673</v>
      </c>
      <c r="AF775" s="713"/>
      <c r="AG775" s="829"/>
      <c r="AH775" s="710"/>
      <c r="AI775" s="710"/>
      <c r="AJ775" s="710"/>
      <c r="AK775" s="710"/>
      <c r="AL775" s="710"/>
      <c r="AM775" s="710"/>
      <c r="AN775" s="710"/>
      <c r="AO775" s="710"/>
      <c r="AP775" s="710"/>
      <c r="AQ775" s="710"/>
      <c r="AR775" s="710"/>
      <c r="AS775" s="710"/>
      <c r="AT775" s="710"/>
      <c r="AU775" s="710"/>
      <c r="AV775" s="710"/>
      <c r="AW775" s="710"/>
      <c r="AX775" s="710"/>
      <c r="AY775" s="427"/>
    </row>
    <row r="776" spans="1:51" ht="33" customHeight="1" x14ac:dyDescent="0.25">
      <c r="A776" s="829"/>
      <c r="B776" s="710"/>
      <c r="C776" s="710"/>
      <c r="D776" s="408" t="s">
        <v>347</v>
      </c>
      <c r="E776" s="179">
        <v>0.1</v>
      </c>
      <c r="F776" s="179">
        <v>0.1</v>
      </c>
      <c r="G776" s="174">
        <v>0.1</v>
      </c>
      <c r="H776" s="174">
        <v>0.1</v>
      </c>
      <c r="I776" s="174">
        <v>0</v>
      </c>
      <c r="J776" s="410">
        <v>0</v>
      </c>
      <c r="K776" s="409"/>
      <c r="L776" s="410"/>
      <c r="M776" s="410">
        <f t="shared" si="109"/>
        <v>0.1</v>
      </c>
      <c r="N776" s="410">
        <v>1</v>
      </c>
      <c r="O776" s="410">
        <v>1</v>
      </c>
      <c r="P776" s="410">
        <v>1</v>
      </c>
      <c r="Q776" s="410">
        <v>1</v>
      </c>
      <c r="R776" s="416">
        <v>1</v>
      </c>
      <c r="S776" s="444"/>
      <c r="T776" s="173">
        <v>0.05</v>
      </c>
      <c r="U776" s="173">
        <v>0.1</v>
      </c>
      <c r="V776" s="173">
        <v>0</v>
      </c>
      <c r="W776" s="442">
        <v>0</v>
      </c>
      <c r="X776" s="420"/>
      <c r="Y776" s="420"/>
      <c r="Z776" s="444">
        <v>0</v>
      </c>
      <c r="AA776" s="445">
        <v>0</v>
      </c>
      <c r="AB776" s="472">
        <v>0</v>
      </c>
      <c r="AC776" s="401">
        <v>0.5</v>
      </c>
      <c r="AD776" s="502">
        <v>0.7</v>
      </c>
      <c r="AE776" s="447" t="s">
        <v>673</v>
      </c>
      <c r="AF776" s="713"/>
      <c r="AG776" s="829"/>
      <c r="AH776" s="710"/>
      <c r="AI776" s="710"/>
      <c r="AJ776" s="710"/>
      <c r="AK776" s="710"/>
      <c r="AL776" s="710"/>
      <c r="AM776" s="710"/>
      <c r="AN776" s="710"/>
      <c r="AO776" s="710"/>
      <c r="AP776" s="710"/>
      <c r="AQ776" s="710"/>
      <c r="AR776" s="710"/>
      <c r="AS776" s="710"/>
      <c r="AT776" s="710"/>
      <c r="AU776" s="710"/>
      <c r="AV776" s="710"/>
      <c r="AW776" s="710"/>
      <c r="AX776" s="710"/>
      <c r="AY776" s="427"/>
    </row>
    <row r="777" spans="1:51" ht="33" customHeight="1" x14ac:dyDescent="0.25">
      <c r="A777" s="829"/>
      <c r="B777" s="710"/>
      <c r="C777" s="731"/>
      <c r="D777" s="412" t="s">
        <v>348</v>
      </c>
      <c r="E777" s="179">
        <v>160059853</v>
      </c>
      <c r="F777" s="179">
        <v>160059853</v>
      </c>
      <c r="G777" s="174">
        <v>160059853</v>
      </c>
      <c r="H777" s="174">
        <v>160059853</v>
      </c>
      <c r="I777" s="174">
        <v>0</v>
      </c>
      <c r="J777" s="410">
        <v>0</v>
      </c>
      <c r="K777" s="451"/>
      <c r="L777" s="452"/>
      <c r="M777" s="410">
        <f t="shared" si="109"/>
        <v>160059853</v>
      </c>
      <c r="N777" s="410">
        <v>400424000</v>
      </c>
      <c r="O777" s="410">
        <v>400424000</v>
      </c>
      <c r="P777" s="410">
        <v>491805000</v>
      </c>
      <c r="Q777" s="410">
        <v>463576000</v>
      </c>
      <c r="R777" s="416">
        <v>463576000</v>
      </c>
      <c r="S777" s="444"/>
      <c r="T777" s="173">
        <v>33914000</v>
      </c>
      <c r="U777" s="173">
        <v>97735000</v>
      </c>
      <c r="V777" s="173">
        <v>203360834</v>
      </c>
      <c r="W777" s="442">
        <v>126122834</v>
      </c>
      <c r="X777" s="444"/>
      <c r="Y777" s="444"/>
      <c r="Z777" s="444">
        <v>40000000</v>
      </c>
      <c r="AA777" s="445">
        <v>318184000</v>
      </c>
      <c r="AB777" s="472">
        <v>318184000</v>
      </c>
      <c r="AC777" s="401">
        <v>318184000</v>
      </c>
      <c r="AD777" s="502">
        <v>318184000</v>
      </c>
      <c r="AE777" s="447" t="s">
        <v>673</v>
      </c>
      <c r="AF777" s="830"/>
      <c r="AG777" s="823"/>
      <c r="AH777" s="731"/>
      <c r="AI777" s="731"/>
      <c r="AJ777" s="731"/>
      <c r="AK777" s="731"/>
      <c r="AL777" s="731"/>
      <c r="AM777" s="731"/>
      <c r="AN777" s="731"/>
      <c r="AO777" s="731"/>
      <c r="AP777" s="731"/>
      <c r="AQ777" s="731"/>
      <c r="AR777" s="731"/>
      <c r="AS777" s="731"/>
      <c r="AT777" s="731"/>
      <c r="AU777" s="731"/>
      <c r="AV777" s="731"/>
      <c r="AW777" s="731"/>
      <c r="AX777" s="731"/>
      <c r="AY777" s="427"/>
    </row>
    <row r="778" spans="1:51" ht="18" customHeight="1" x14ac:dyDescent="0.25">
      <c r="A778" s="829"/>
      <c r="B778" s="710"/>
      <c r="C778" s="914" t="s">
        <v>512</v>
      </c>
      <c r="D778" s="413" t="s">
        <v>340</v>
      </c>
      <c r="E778" s="179">
        <f t="shared" ref="E778:F783" si="110">+E712</f>
        <v>0</v>
      </c>
      <c r="F778" s="180">
        <f t="shared" si="110"/>
        <v>0</v>
      </c>
      <c r="G778" s="174">
        <f t="shared" ref="G778:H783" si="111">+G772</f>
        <v>0</v>
      </c>
      <c r="H778" s="174">
        <f t="shared" si="111"/>
        <v>0</v>
      </c>
      <c r="I778" s="174">
        <v>0.1</v>
      </c>
      <c r="J778" s="410">
        <v>0.1</v>
      </c>
      <c r="K778" s="409"/>
      <c r="L778" s="410"/>
      <c r="M778" s="410">
        <f t="shared" ref="M778:R778" si="112">+M772</f>
        <v>0</v>
      </c>
      <c r="N778" s="410">
        <f t="shared" si="112"/>
        <v>1</v>
      </c>
      <c r="O778" s="410">
        <f t="shared" si="112"/>
        <v>1</v>
      </c>
      <c r="P778" s="410">
        <f t="shared" si="112"/>
        <v>1</v>
      </c>
      <c r="Q778" s="410">
        <f t="shared" si="112"/>
        <v>1</v>
      </c>
      <c r="R778" s="410">
        <f t="shared" si="112"/>
        <v>1</v>
      </c>
      <c r="S778" s="409"/>
      <c r="T778" s="166">
        <f t="shared" ref="T778:U783" si="113">+T772</f>
        <v>0</v>
      </c>
      <c r="U778" s="166">
        <f t="shared" si="113"/>
        <v>0</v>
      </c>
      <c r="V778" s="166">
        <v>0</v>
      </c>
      <c r="W778" s="432">
        <v>0</v>
      </c>
      <c r="X778" s="411"/>
      <c r="Y778" s="411"/>
      <c r="Z778" s="411"/>
      <c r="AA778" s="420">
        <f t="shared" ref="AA778:AE783" si="114">+AA772</f>
        <v>0</v>
      </c>
      <c r="AB778" s="420">
        <f t="shared" si="114"/>
        <v>0</v>
      </c>
      <c r="AC778" s="420">
        <f t="shared" si="114"/>
        <v>0.5</v>
      </c>
      <c r="AD778" s="420">
        <f t="shared" si="114"/>
        <v>0.7</v>
      </c>
      <c r="AE778" s="169" t="str">
        <f t="shared" si="114"/>
        <v>#REF!</v>
      </c>
      <c r="AF778" s="521"/>
      <c r="AG778" s="919" t="s">
        <v>456</v>
      </c>
      <c r="AH778" s="813" t="s">
        <v>178</v>
      </c>
      <c r="AI778" s="813" t="s">
        <v>178</v>
      </c>
      <c r="AJ778" s="813" t="s">
        <v>178</v>
      </c>
      <c r="AK778" s="914" t="s">
        <v>457</v>
      </c>
      <c r="AL778" s="813"/>
      <c r="AM778" s="786" t="s">
        <v>691</v>
      </c>
      <c r="AN778" s="910">
        <v>7804660</v>
      </c>
      <c r="AO778" s="910">
        <v>3721767</v>
      </c>
      <c r="AP778" s="910">
        <v>4082893</v>
      </c>
      <c r="AQ778" s="915" t="s">
        <v>459</v>
      </c>
      <c r="AR778" s="915" t="s">
        <v>459</v>
      </c>
      <c r="AS778" s="915" t="s">
        <v>459</v>
      </c>
      <c r="AT778" s="915" t="s">
        <v>459</v>
      </c>
      <c r="AU778" s="915" t="s">
        <v>459</v>
      </c>
      <c r="AV778" s="915" t="s">
        <v>459</v>
      </c>
      <c r="AW778" s="915" t="s">
        <v>459</v>
      </c>
      <c r="AX778" s="910">
        <v>7804660</v>
      </c>
      <c r="AY778" s="427"/>
    </row>
    <row r="779" spans="1:51" ht="15.75" customHeight="1" x14ac:dyDescent="0.25">
      <c r="A779" s="829"/>
      <c r="B779" s="710"/>
      <c r="C779" s="710"/>
      <c r="D779" s="404" t="s">
        <v>343</v>
      </c>
      <c r="E779" s="179">
        <f t="shared" si="110"/>
        <v>0</v>
      </c>
      <c r="F779" s="180">
        <f t="shared" si="110"/>
        <v>0</v>
      </c>
      <c r="G779" s="174">
        <f t="shared" si="111"/>
        <v>0</v>
      </c>
      <c r="H779" s="174">
        <f t="shared" si="111"/>
        <v>0</v>
      </c>
      <c r="I779" s="174">
        <v>160059853</v>
      </c>
      <c r="J779" s="410">
        <v>160059853</v>
      </c>
      <c r="K779" s="409"/>
      <c r="L779" s="410"/>
      <c r="M779" s="410">
        <f t="shared" ref="M779:R779" si="115">+M773</f>
        <v>0</v>
      </c>
      <c r="N779" s="410">
        <f t="shared" si="115"/>
        <v>400424000</v>
      </c>
      <c r="O779" s="410">
        <f t="shared" si="115"/>
        <v>478424000</v>
      </c>
      <c r="P779" s="410">
        <f t="shared" si="115"/>
        <v>491805000</v>
      </c>
      <c r="Q779" s="410">
        <f t="shared" si="115"/>
        <v>463576000</v>
      </c>
      <c r="R779" s="410">
        <f t="shared" si="115"/>
        <v>463576000</v>
      </c>
      <c r="S779" s="409"/>
      <c r="T779" s="166">
        <f t="shared" si="113"/>
        <v>0</v>
      </c>
      <c r="U779" s="166">
        <f t="shared" si="113"/>
        <v>0</v>
      </c>
      <c r="V779" s="166">
        <v>0</v>
      </c>
      <c r="W779" s="432">
        <v>0</v>
      </c>
      <c r="X779" s="411"/>
      <c r="Y779" s="411"/>
      <c r="Z779" s="411"/>
      <c r="AA779" s="420">
        <f t="shared" si="114"/>
        <v>318184000</v>
      </c>
      <c r="AB779" s="420">
        <f t="shared" si="114"/>
        <v>318184000</v>
      </c>
      <c r="AC779" s="420">
        <f t="shared" si="114"/>
        <v>318184000</v>
      </c>
      <c r="AD779" s="420">
        <f t="shared" si="114"/>
        <v>318184000</v>
      </c>
      <c r="AE779" s="169" t="str">
        <f t="shared" si="114"/>
        <v>#REF!</v>
      </c>
      <c r="AF779" s="521"/>
      <c r="AG779" s="829"/>
      <c r="AH779" s="710"/>
      <c r="AI779" s="710"/>
      <c r="AJ779" s="710"/>
      <c r="AK779" s="710"/>
      <c r="AL779" s="710"/>
      <c r="AM779" s="710"/>
      <c r="AN779" s="710"/>
      <c r="AO779" s="710"/>
      <c r="AP779" s="710"/>
      <c r="AQ779" s="710"/>
      <c r="AR779" s="710"/>
      <c r="AS779" s="710"/>
      <c r="AT779" s="710"/>
      <c r="AU779" s="710"/>
      <c r="AV779" s="710"/>
      <c r="AW779" s="710"/>
      <c r="AX779" s="710"/>
      <c r="AY779" s="427"/>
    </row>
    <row r="780" spans="1:51" ht="15.75" customHeight="1" x14ac:dyDescent="0.25">
      <c r="A780" s="829"/>
      <c r="B780" s="710"/>
      <c r="C780" s="710"/>
      <c r="D780" s="408" t="s">
        <v>345</v>
      </c>
      <c r="E780" s="179">
        <f t="shared" si="110"/>
        <v>0</v>
      </c>
      <c r="F780" s="180">
        <f t="shared" si="110"/>
        <v>0</v>
      </c>
      <c r="G780" s="174">
        <f t="shared" si="111"/>
        <v>0.1</v>
      </c>
      <c r="H780" s="174">
        <f t="shared" si="111"/>
        <v>0.1</v>
      </c>
      <c r="I780" s="174">
        <v>0.1</v>
      </c>
      <c r="J780" s="410">
        <v>0.1</v>
      </c>
      <c r="K780" s="409"/>
      <c r="L780" s="410"/>
      <c r="M780" s="410">
        <f t="shared" ref="M780:R780" si="116">+M774</f>
        <v>0.1</v>
      </c>
      <c r="N780" s="410">
        <f t="shared" si="116"/>
        <v>0</v>
      </c>
      <c r="O780" s="410">
        <f t="shared" si="116"/>
        <v>0</v>
      </c>
      <c r="P780" s="410" t="str">
        <f t="shared" si="116"/>
        <v>#REF!</v>
      </c>
      <c r="Q780" s="410" t="str">
        <f t="shared" si="116"/>
        <v>#REF!</v>
      </c>
      <c r="R780" s="410" t="str">
        <f t="shared" si="116"/>
        <v>#REF!</v>
      </c>
      <c r="S780" s="409"/>
      <c r="T780" s="166">
        <f t="shared" si="113"/>
        <v>0.05</v>
      </c>
      <c r="U780" s="166">
        <f t="shared" si="113"/>
        <v>0.1</v>
      </c>
      <c r="V780" s="166">
        <v>0</v>
      </c>
      <c r="W780" s="432">
        <v>0</v>
      </c>
      <c r="X780" s="411"/>
      <c r="Y780" s="411"/>
      <c r="Z780" s="411"/>
      <c r="AA780" s="420">
        <f t="shared" si="114"/>
        <v>0</v>
      </c>
      <c r="AB780" s="420">
        <f t="shared" si="114"/>
        <v>0</v>
      </c>
      <c r="AC780" s="420" t="str">
        <f t="shared" si="114"/>
        <v>#REF!</v>
      </c>
      <c r="AD780" s="420" t="str">
        <f t="shared" si="114"/>
        <v>#REF!</v>
      </c>
      <c r="AE780" s="169" t="str">
        <f t="shared" si="114"/>
        <v>#REF!</v>
      </c>
      <c r="AF780" s="521"/>
      <c r="AG780" s="829"/>
      <c r="AH780" s="710"/>
      <c r="AI780" s="710"/>
      <c r="AJ780" s="710"/>
      <c r="AK780" s="710"/>
      <c r="AL780" s="710"/>
      <c r="AM780" s="710"/>
      <c r="AN780" s="710"/>
      <c r="AO780" s="710"/>
      <c r="AP780" s="710"/>
      <c r="AQ780" s="710"/>
      <c r="AR780" s="710"/>
      <c r="AS780" s="710"/>
      <c r="AT780" s="710"/>
      <c r="AU780" s="710"/>
      <c r="AV780" s="710"/>
      <c r="AW780" s="710"/>
      <c r="AX780" s="710"/>
      <c r="AY780" s="427"/>
    </row>
    <row r="781" spans="1:51" ht="15.75" customHeight="1" x14ac:dyDescent="0.25">
      <c r="A781" s="829"/>
      <c r="B781" s="710"/>
      <c r="C781" s="710"/>
      <c r="D781" s="404" t="s">
        <v>346</v>
      </c>
      <c r="E781" s="179">
        <f t="shared" si="110"/>
        <v>0</v>
      </c>
      <c r="F781" s="180">
        <f t="shared" si="110"/>
        <v>0</v>
      </c>
      <c r="G781" s="174">
        <f t="shared" si="111"/>
        <v>160059853</v>
      </c>
      <c r="H781" s="174">
        <f t="shared" si="111"/>
        <v>160059853</v>
      </c>
      <c r="I781" s="174">
        <v>160059853</v>
      </c>
      <c r="J781" s="410">
        <v>160059853</v>
      </c>
      <c r="K781" s="409"/>
      <c r="L781" s="410"/>
      <c r="M781" s="410">
        <f t="shared" ref="M781:R781" si="117">+M775</f>
        <v>160059853</v>
      </c>
      <c r="N781" s="410">
        <f t="shared" si="117"/>
        <v>0</v>
      </c>
      <c r="O781" s="410">
        <f t="shared" si="117"/>
        <v>0</v>
      </c>
      <c r="P781" s="410" t="str">
        <f t="shared" si="117"/>
        <v>#REF!</v>
      </c>
      <c r="Q781" s="410" t="str">
        <f t="shared" si="117"/>
        <v>#REF!</v>
      </c>
      <c r="R781" s="410" t="str">
        <f t="shared" si="117"/>
        <v>#REF!</v>
      </c>
      <c r="S781" s="409"/>
      <c r="T781" s="166">
        <f t="shared" si="113"/>
        <v>33914000</v>
      </c>
      <c r="U781" s="166">
        <f t="shared" si="113"/>
        <v>97735000</v>
      </c>
      <c r="V781" s="166">
        <v>126122834</v>
      </c>
      <c r="W781" s="432">
        <v>126122834</v>
      </c>
      <c r="X781" s="411"/>
      <c r="Y781" s="411"/>
      <c r="Z781" s="411"/>
      <c r="AA781" s="420">
        <f t="shared" si="114"/>
        <v>0</v>
      </c>
      <c r="AB781" s="420">
        <f t="shared" si="114"/>
        <v>0</v>
      </c>
      <c r="AC781" s="420" t="str">
        <f t="shared" si="114"/>
        <v>#REF!</v>
      </c>
      <c r="AD781" s="420" t="str">
        <f t="shared" si="114"/>
        <v>#REF!</v>
      </c>
      <c r="AE781" s="169" t="str">
        <f t="shared" si="114"/>
        <v>#REF!</v>
      </c>
      <c r="AF781" s="521"/>
      <c r="AG781" s="829"/>
      <c r="AH781" s="710"/>
      <c r="AI781" s="710"/>
      <c r="AJ781" s="710"/>
      <c r="AK781" s="710"/>
      <c r="AL781" s="710"/>
      <c r="AM781" s="710"/>
      <c r="AN781" s="710"/>
      <c r="AO781" s="710"/>
      <c r="AP781" s="710"/>
      <c r="AQ781" s="710"/>
      <c r="AR781" s="710"/>
      <c r="AS781" s="710"/>
      <c r="AT781" s="710"/>
      <c r="AU781" s="710"/>
      <c r="AV781" s="710"/>
      <c r="AW781" s="710"/>
      <c r="AX781" s="710"/>
      <c r="AY781" s="427"/>
    </row>
    <row r="782" spans="1:51" ht="15.75" customHeight="1" x14ac:dyDescent="0.25">
      <c r="A782" s="829"/>
      <c r="B782" s="710"/>
      <c r="C782" s="710"/>
      <c r="D782" s="408" t="s">
        <v>347</v>
      </c>
      <c r="E782" s="179">
        <f t="shared" si="110"/>
        <v>0</v>
      </c>
      <c r="F782" s="180">
        <f t="shared" si="110"/>
        <v>0</v>
      </c>
      <c r="G782" s="174">
        <f t="shared" si="111"/>
        <v>0.1</v>
      </c>
      <c r="H782" s="174">
        <f t="shared" si="111"/>
        <v>0.1</v>
      </c>
      <c r="I782" s="174">
        <v>15</v>
      </c>
      <c r="J782" s="410">
        <v>15</v>
      </c>
      <c r="K782" s="409"/>
      <c r="L782" s="410"/>
      <c r="M782" s="410">
        <f t="shared" ref="M782:R782" si="118">+M776</f>
        <v>0.1</v>
      </c>
      <c r="N782" s="410">
        <f t="shared" si="118"/>
        <v>1</v>
      </c>
      <c r="O782" s="410">
        <f t="shared" si="118"/>
        <v>1</v>
      </c>
      <c r="P782" s="410">
        <f t="shared" si="118"/>
        <v>1</v>
      </c>
      <c r="Q782" s="410">
        <f t="shared" si="118"/>
        <v>1</v>
      </c>
      <c r="R782" s="410">
        <f t="shared" si="118"/>
        <v>1</v>
      </c>
      <c r="S782" s="409"/>
      <c r="T782" s="166">
        <f t="shared" si="113"/>
        <v>0.05</v>
      </c>
      <c r="U782" s="166">
        <f t="shared" si="113"/>
        <v>0.1</v>
      </c>
      <c r="V782" s="166">
        <v>0</v>
      </c>
      <c r="W782" s="432">
        <v>0</v>
      </c>
      <c r="X782" s="411"/>
      <c r="Y782" s="411"/>
      <c r="Z782" s="411"/>
      <c r="AA782" s="420">
        <f t="shared" si="114"/>
        <v>0</v>
      </c>
      <c r="AB782" s="420">
        <f t="shared" si="114"/>
        <v>0</v>
      </c>
      <c r="AC782" s="420">
        <f t="shared" si="114"/>
        <v>0.5</v>
      </c>
      <c r="AD782" s="420">
        <f t="shared" si="114"/>
        <v>0.7</v>
      </c>
      <c r="AE782" s="169" t="str">
        <f t="shared" si="114"/>
        <v>#REF!</v>
      </c>
      <c r="AF782" s="521"/>
      <c r="AG782" s="829"/>
      <c r="AH782" s="710"/>
      <c r="AI782" s="710"/>
      <c r="AJ782" s="710"/>
      <c r="AK782" s="710"/>
      <c r="AL782" s="710"/>
      <c r="AM782" s="710"/>
      <c r="AN782" s="710"/>
      <c r="AO782" s="710"/>
      <c r="AP782" s="710"/>
      <c r="AQ782" s="710"/>
      <c r="AR782" s="710"/>
      <c r="AS782" s="710"/>
      <c r="AT782" s="710"/>
      <c r="AU782" s="710"/>
      <c r="AV782" s="710"/>
      <c r="AW782" s="710"/>
      <c r="AX782" s="710"/>
      <c r="AY782" s="427"/>
    </row>
    <row r="783" spans="1:51" ht="15.75" customHeight="1" x14ac:dyDescent="0.25">
      <c r="A783" s="823"/>
      <c r="B783" s="828"/>
      <c r="C783" s="731"/>
      <c r="D783" s="412" t="s">
        <v>348</v>
      </c>
      <c r="E783" s="179">
        <f t="shared" si="110"/>
        <v>0</v>
      </c>
      <c r="F783" s="180">
        <f t="shared" si="110"/>
        <v>0</v>
      </c>
      <c r="G783" s="174">
        <f t="shared" si="111"/>
        <v>160059853</v>
      </c>
      <c r="H783" s="174">
        <f t="shared" si="111"/>
        <v>160059853</v>
      </c>
      <c r="I783" s="174">
        <v>801561000</v>
      </c>
      <c r="J783" s="410">
        <v>754641627</v>
      </c>
      <c r="K783" s="409"/>
      <c r="L783" s="410"/>
      <c r="M783" s="410">
        <f t="shared" ref="M783:R783" si="119">+M777</f>
        <v>160059853</v>
      </c>
      <c r="N783" s="410">
        <f t="shared" si="119"/>
        <v>400424000</v>
      </c>
      <c r="O783" s="410">
        <f t="shared" si="119"/>
        <v>400424000</v>
      </c>
      <c r="P783" s="410">
        <f t="shared" si="119"/>
        <v>491805000</v>
      </c>
      <c r="Q783" s="410">
        <f t="shared" si="119"/>
        <v>463576000</v>
      </c>
      <c r="R783" s="410">
        <f t="shared" si="119"/>
        <v>463576000</v>
      </c>
      <c r="S783" s="409"/>
      <c r="T783" s="166">
        <f t="shared" si="113"/>
        <v>33914000</v>
      </c>
      <c r="U783" s="166">
        <f t="shared" si="113"/>
        <v>97735000</v>
      </c>
      <c r="V783" s="166">
        <v>203360834</v>
      </c>
      <c r="W783" s="432">
        <v>126122834</v>
      </c>
      <c r="X783" s="411"/>
      <c r="Y783" s="411"/>
      <c r="Z783" s="411"/>
      <c r="AA783" s="420">
        <f t="shared" si="114"/>
        <v>318184000</v>
      </c>
      <c r="AB783" s="420">
        <f t="shared" si="114"/>
        <v>318184000</v>
      </c>
      <c r="AC783" s="420">
        <f t="shared" si="114"/>
        <v>318184000</v>
      </c>
      <c r="AD783" s="420">
        <f t="shared" si="114"/>
        <v>318184000</v>
      </c>
      <c r="AE783" s="169" t="str">
        <f t="shared" si="114"/>
        <v>#REF!</v>
      </c>
      <c r="AF783" s="521"/>
      <c r="AG783" s="823"/>
      <c r="AH783" s="731"/>
      <c r="AI783" s="731"/>
      <c r="AJ783" s="731"/>
      <c r="AK783" s="731"/>
      <c r="AL783" s="731"/>
      <c r="AM783" s="731"/>
      <c r="AN783" s="731"/>
      <c r="AO783" s="731"/>
      <c r="AP783" s="731"/>
      <c r="AQ783" s="731"/>
      <c r="AR783" s="731"/>
      <c r="AS783" s="731"/>
      <c r="AT783" s="731"/>
      <c r="AU783" s="731"/>
      <c r="AV783" s="731"/>
      <c r="AW783" s="731"/>
      <c r="AX783" s="731"/>
      <c r="AY783" s="427"/>
    </row>
    <row r="784" spans="1:51" ht="24.75" customHeight="1" x14ac:dyDescent="0.25">
      <c r="A784" s="820">
        <v>10</v>
      </c>
      <c r="B784" s="827" t="s">
        <v>370</v>
      </c>
      <c r="C784" s="914" t="s">
        <v>692</v>
      </c>
      <c r="D784" s="413" t="s">
        <v>340</v>
      </c>
      <c r="E784" s="179">
        <v>15</v>
      </c>
      <c r="F784" s="179">
        <v>15</v>
      </c>
      <c r="G784" s="174">
        <v>15</v>
      </c>
      <c r="H784" s="174">
        <v>15</v>
      </c>
      <c r="I784" s="174">
        <v>0</v>
      </c>
      <c r="J784" s="410">
        <v>0</v>
      </c>
      <c r="K784" s="409"/>
      <c r="L784" s="410"/>
      <c r="M784" s="410">
        <f t="shared" ref="M784:M789" si="120">+F784</f>
        <v>15</v>
      </c>
      <c r="N784" s="410">
        <v>12.5</v>
      </c>
      <c r="O784" s="410">
        <v>12.5</v>
      </c>
      <c r="P784" s="410">
        <v>12.5</v>
      </c>
      <c r="Q784" s="410">
        <v>12.5</v>
      </c>
      <c r="R784" s="416">
        <v>12.5</v>
      </c>
      <c r="S784" s="444"/>
      <c r="T784" s="173">
        <v>1.25</v>
      </c>
      <c r="U784" s="173">
        <v>2.5</v>
      </c>
      <c r="V784" s="173">
        <v>3.75</v>
      </c>
      <c r="W784" s="442">
        <v>5</v>
      </c>
      <c r="X784" s="444"/>
      <c r="Y784" s="444"/>
      <c r="Z784" s="444">
        <v>2</v>
      </c>
      <c r="AA784" s="445">
        <v>4.0999999999999996</v>
      </c>
      <c r="AB784" s="472">
        <v>6.2</v>
      </c>
      <c r="AC784" s="401">
        <v>8.3000000000000007</v>
      </c>
      <c r="AD784" s="420">
        <v>10.4</v>
      </c>
      <c r="AE784" s="447" t="s">
        <v>673</v>
      </c>
      <c r="AF784" s="992" t="s">
        <v>1418</v>
      </c>
      <c r="AG784" s="919" t="s">
        <v>456</v>
      </c>
      <c r="AH784" s="813" t="s">
        <v>178</v>
      </c>
      <c r="AI784" s="813" t="s">
        <v>178</v>
      </c>
      <c r="AJ784" s="813" t="s">
        <v>178</v>
      </c>
      <c r="AK784" s="914" t="s">
        <v>457</v>
      </c>
      <c r="AL784" s="786"/>
      <c r="AM784" s="786" t="s">
        <v>691</v>
      </c>
      <c r="AN784" s="910">
        <v>7804660</v>
      </c>
      <c r="AO784" s="910">
        <v>3721767</v>
      </c>
      <c r="AP784" s="910">
        <v>4082893</v>
      </c>
      <c r="AQ784" s="915" t="s">
        <v>459</v>
      </c>
      <c r="AR784" s="915" t="s">
        <v>459</v>
      </c>
      <c r="AS784" s="915" t="s">
        <v>459</v>
      </c>
      <c r="AT784" s="915" t="s">
        <v>459</v>
      </c>
      <c r="AU784" s="915" t="s">
        <v>459</v>
      </c>
      <c r="AV784" s="915" t="s">
        <v>459</v>
      </c>
      <c r="AW784" s="915" t="s">
        <v>459</v>
      </c>
      <c r="AX784" s="910">
        <v>7804660</v>
      </c>
      <c r="AY784" s="427"/>
    </row>
    <row r="785" spans="1:55" ht="24.75" customHeight="1" x14ac:dyDescent="0.25">
      <c r="A785" s="829"/>
      <c r="B785" s="710"/>
      <c r="C785" s="710"/>
      <c r="D785" s="404" t="s">
        <v>343</v>
      </c>
      <c r="E785" s="179">
        <v>801561000</v>
      </c>
      <c r="F785" s="179">
        <v>801561000</v>
      </c>
      <c r="G785" s="174">
        <v>801561000</v>
      </c>
      <c r="H785" s="174">
        <v>801561000</v>
      </c>
      <c r="I785" s="174">
        <v>81973233</v>
      </c>
      <c r="J785" s="410">
        <v>81973233</v>
      </c>
      <c r="K785" s="449"/>
      <c r="L785" s="450"/>
      <c r="M785" s="410">
        <f t="shared" si="120"/>
        <v>801561000</v>
      </c>
      <c r="N785" s="410">
        <v>381900000</v>
      </c>
      <c r="O785" s="410">
        <v>303900000</v>
      </c>
      <c r="P785" s="410">
        <v>225075000</v>
      </c>
      <c r="Q785" s="410">
        <v>225075000</v>
      </c>
      <c r="R785" s="416">
        <v>225075000</v>
      </c>
      <c r="S785" s="444"/>
      <c r="T785" s="173">
        <v>0</v>
      </c>
      <c r="U785" s="173">
        <v>101350694</v>
      </c>
      <c r="V785" s="173">
        <v>426196694</v>
      </c>
      <c r="W785" s="442">
        <v>619322694</v>
      </c>
      <c r="X785" s="163"/>
      <c r="Y785" s="163"/>
      <c r="Z785" s="444">
        <v>27401143</v>
      </c>
      <c r="AA785" s="445">
        <v>102981143</v>
      </c>
      <c r="AB785" s="472">
        <v>119147442</v>
      </c>
      <c r="AC785" s="401">
        <v>121576922</v>
      </c>
      <c r="AD785" s="420">
        <v>168075108</v>
      </c>
      <c r="AE785" s="447" t="s">
        <v>673</v>
      </c>
      <c r="AF785" s="713"/>
      <c r="AG785" s="829"/>
      <c r="AH785" s="710"/>
      <c r="AI785" s="710"/>
      <c r="AJ785" s="710"/>
      <c r="AK785" s="710"/>
      <c r="AL785" s="710"/>
      <c r="AM785" s="710"/>
      <c r="AN785" s="710"/>
      <c r="AO785" s="710"/>
      <c r="AP785" s="710"/>
      <c r="AQ785" s="710"/>
      <c r="AR785" s="710"/>
      <c r="AS785" s="710"/>
      <c r="AT785" s="710"/>
      <c r="AU785" s="710"/>
      <c r="AV785" s="710"/>
      <c r="AW785" s="710"/>
      <c r="AX785" s="710"/>
      <c r="AY785" s="427"/>
    </row>
    <row r="786" spans="1:55" ht="24.75" customHeight="1" x14ac:dyDescent="0.25">
      <c r="A786" s="829"/>
      <c r="B786" s="710"/>
      <c r="C786" s="710"/>
      <c r="D786" s="408" t="s">
        <v>345</v>
      </c>
      <c r="E786" s="179" t="s">
        <v>673</v>
      </c>
      <c r="F786" s="179" t="s">
        <v>673</v>
      </c>
      <c r="G786" s="174">
        <v>0</v>
      </c>
      <c r="H786" s="174">
        <v>0</v>
      </c>
      <c r="I786" s="174">
        <v>15</v>
      </c>
      <c r="J786" s="410">
        <v>15</v>
      </c>
      <c r="K786" s="449"/>
      <c r="L786" s="450"/>
      <c r="M786" s="410" t="str">
        <f t="shared" si="120"/>
        <v>#REF!</v>
      </c>
      <c r="N786" s="410">
        <v>0</v>
      </c>
      <c r="O786" s="410">
        <v>0</v>
      </c>
      <c r="P786" s="410" t="s">
        <v>673</v>
      </c>
      <c r="Q786" s="410" t="s">
        <v>673</v>
      </c>
      <c r="R786" s="416" t="s">
        <v>673</v>
      </c>
      <c r="S786" s="444"/>
      <c r="T786" s="173">
        <v>0</v>
      </c>
      <c r="U786" s="173">
        <v>0</v>
      </c>
      <c r="V786" s="173">
        <v>0</v>
      </c>
      <c r="W786" s="442">
        <v>0</v>
      </c>
      <c r="X786" s="163"/>
      <c r="Y786" s="163"/>
      <c r="Z786" s="444">
        <v>0</v>
      </c>
      <c r="AA786" s="445">
        <v>0</v>
      </c>
      <c r="AB786" s="472">
        <v>0</v>
      </c>
      <c r="AC786" s="401" t="s">
        <v>673</v>
      </c>
      <c r="AD786" s="420" t="s">
        <v>673</v>
      </c>
      <c r="AE786" s="447" t="s">
        <v>673</v>
      </c>
      <c r="AF786" s="713"/>
      <c r="AG786" s="829"/>
      <c r="AH786" s="710"/>
      <c r="AI786" s="710"/>
      <c r="AJ786" s="710"/>
      <c r="AK786" s="710"/>
      <c r="AL786" s="710"/>
      <c r="AM786" s="710"/>
      <c r="AN786" s="710"/>
      <c r="AO786" s="710"/>
      <c r="AP786" s="710"/>
      <c r="AQ786" s="710"/>
      <c r="AR786" s="710"/>
      <c r="AS786" s="710"/>
      <c r="AT786" s="710"/>
      <c r="AU786" s="710"/>
      <c r="AV786" s="710"/>
      <c r="AW786" s="710"/>
      <c r="AX786" s="710"/>
      <c r="AY786" s="427"/>
    </row>
    <row r="787" spans="1:55" ht="24.75" customHeight="1" x14ac:dyDescent="0.25">
      <c r="A787" s="829"/>
      <c r="B787" s="710"/>
      <c r="C787" s="710"/>
      <c r="D787" s="404" t="s">
        <v>346</v>
      </c>
      <c r="E787" s="179">
        <v>81973233</v>
      </c>
      <c r="F787" s="179">
        <v>81973233</v>
      </c>
      <c r="G787" s="174">
        <v>81973233</v>
      </c>
      <c r="H787" s="174">
        <v>81973233</v>
      </c>
      <c r="I787" s="174">
        <v>883534233</v>
      </c>
      <c r="J787" s="410">
        <v>836614860</v>
      </c>
      <c r="K787" s="449"/>
      <c r="L787" s="450"/>
      <c r="M787" s="410">
        <f t="shared" si="120"/>
        <v>81973233</v>
      </c>
      <c r="N787" s="410">
        <v>0</v>
      </c>
      <c r="O787" s="410">
        <v>0</v>
      </c>
      <c r="P787" s="410" t="s">
        <v>673</v>
      </c>
      <c r="Q787" s="410" t="s">
        <v>673</v>
      </c>
      <c r="R787" s="416" t="s">
        <v>673</v>
      </c>
      <c r="S787" s="444"/>
      <c r="T787" s="173">
        <v>11357200</v>
      </c>
      <c r="U787" s="173">
        <v>38726571</v>
      </c>
      <c r="V787" s="173">
        <v>78539901</v>
      </c>
      <c r="W787" s="442">
        <v>80858628</v>
      </c>
      <c r="X787" s="163"/>
      <c r="Y787" s="163"/>
      <c r="Z787" s="444">
        <v>0</v>
      </c>
      <c r="AA787" s="445">
        <v>0</v>
      </c>
      <c r="AB787" s="472">
        <v>0</v>
      </c>
      <c r="AC787" s="401" t="s">
        <v>673</v>
      </c>
      <c r="AD787" s="420" t="s">
        <v>673</v>
      </c>
      <c r="AE787" s="447" t="s">
        <v>673</v>
      </c>
      <c r="AF787" s="713"/>
      <c r="AG787" s="829"/>
      <c r="AH787" s="710"/>
      <c r="AI787" s="710"/>
      <c r="AJ787" s="710"/>
      <c r="AK787" s="710"/>
      <c r="AL787" s="710"/>
      <c r="AM787" s="710"/>
      <c r="AN787" s="710"/>
      <c r="AO787" s="710"/>
      <c r="AP787" s="710"/>
      <c r="AQ787" s="710"/>
      <c r="AR787" s="710"/>
      <c r="AS787" s="710"/>
      <c r="AT787" s="710"/>
      <c r="AU787" s="710"/>
      <c r="AV787" s="710"/>
      <c r="AW787" s="710"/>
      <c r="AX787" s="710"/>
      <c r="AY787" s="427"/>
    </row>
    <row r="788" spans="1:55" ht="24.75" customHeight="1" x14ac:dyDescent="0.25">
      <c r="A788" s="829"/>
      <c r="B788" s="710"/>
      <c r="C788" s="710"/>
      <c r="D788" s="408" t="s">
        <v>347</v>
      </c>
      <c r="E788" s="179">
        <v>15</v>
      </c>
      <c r="F788" s="179">
        <v>15</v>
      </c>
      <c r="G788" s="174">
        <v>15</v>
      </c>
      <c r="H788" s="174">
        <v>15</v>
      </c>
      <c r="I788" s="174">
        <v>15</v>
      </c>
      <c r="J788" s="410">
        <v>15</v>
      </c>
      <c r="K788" s="409"/>
      <c r="L788" s="410"/>
      <c r="M788" s="410">
        <f t="shared" si="120"/>
        <v>15</v>
      </c>
      <c r="N788" s="410">
        <v>12.5</v>
      </c>
      <c r="O788" s="410">
        <v>12.5</v>
      </c>
      <c r="P788" s="410">
        <v>12.5</v>
      </c>
      <c r="Q788" s="410">
        <v>12.5</v>
      </c>
      <c r="R788" s="416">
        <v>12.5</v>
      </c>
      <c r="S788" s="444"/>
      <c r="T788" s="173">
        <v>1.25</v>
      </c>
      <c r="U788" s="173">
        <v>2.5</v>
      </c>
      <c r="V788" s="173">
        <v>3.75</v>
      </c>
      <c r="W788" s="442">
        <v>5</v>
      </c>
      <c r="X788" s="420"/>
      <c r="Y788" s="420"/>
      <c r="Z788" s="444">
        <v>2</v>
      </c>
      <c r="AA788" s="445">
        <v>4.0999999999999996</v>
      </c>
      <c r="AB788" s="472">
        <v>6.2</v>
      </c>
      <c r="AC788" s="401">
        <v>8.3000000000000007</v>
      </c>
      <c r="AD788" s="420">
        <v>10.4</v>
      </c>
      <c r="AE788" s="447" t="s">
        <v>673</v>
      </c>
      <c r="AF788" s="713"/>
      <c r="AG788" s="829"/>
      <c r="AH788" s="710"/>
      <c r="AI788" s="710"/>
      <c r="AJ788" s="710"/>
      <c r="AK788" s="710"/>
      <c r="AL788" s="710"/>
      <c r="AM788" s="710"/>
      <c r="AN788" s="710"/>
      <c r="AO788" s="710"/>
      <c r="AP788" s="710"/>
      <c r="AQ788" s="710"/>
      <c r="AR788" s="710"/>
      <c r="AS788" s="710"/>
      <c r="AT788" s="710"/>
      <c r="AU788" s="710"/>
      <c r="AV788" s="710"/>
      <c r="AW788" s="710"/>
      <c r="AX788" s="710"/>
      <c r="AY788" s="427"/>
    </row>
    <row r="789" spans="1:55" ht="24.75" customHeight="1" x14ac:dyDescent="0.25">
      <c r="A789" s="829"/>
      <c r="B789" s="710"/>
      <c r="C789" s="731"/>
      <c r="D789" s="412" t="s">
        <v>348</v>
      </c>
      <c r="E789" s="179">
        <v>883534233</v>
      </c>
      <c r="F789" s="179">
        <v>883534233</v>
      </c>
      <c r="G789" s="174">
        <v>883534233</v>
      </c>
      <c r="H789" s="174">
        <v>883534233</v>
      </c>
      <c r="I789" s="174">
        <v>801561000</v>
      </c>
      <c r="J789" s="410">
        <v>754641627</v>
      </c>
      <c r="K789" s="451"/>
      <c r="L789" s="452"/>
      <c r="M789" s="410">
        <f t="shared" si="120"/>
        <v>883534233</v>
      </c>
      <c r="N789" s="410">
        <v>381900000</v>
      </c>
      <c r="O789" s="410">
        <v>381900000</v>
      </c>
      <c r="P789" s="410">
        <v>225075000</v>
      </c>
      <c r="Q789" s="410">
        <v>225075000</v>
      </c>
      <c r="R789" s="416">
        <v>225075000</v>
      </c>
      <c r="S789" s="444"/>
      <c r="T789" s="173">
        <v>11357200</v>
      </c>
      <c r="U789" s="173">
        <v>140077265</v>
      </c>
      <c r="V789" s="173">
        <v>427498595</v>
      </c>
      <c r="W789" s="442">
        <v>700181322</v>
      </c>
      <c r="X789" s="444"/>
      <c r="Y789" s="444"/>
      <c r="Z789" s="444">
        <v>27401143</v>
      </c>
      <c r="AA789" s="445">
        <v>102981143</v>
      </c>
      <c r="AB789" s="472">
        <v>119147442</v>
      </c>
      <c r="AC789" s="401">
        <v>121576922</v>
      </c>
      <c r="AD789" s="420">
        <v>168075108</v>
      </c>
      <c r="AE789" s="447" t="s">
        <v>673</v>
      </c>
      <c r="AF789" s="830"/>
      <c r="AG789" s="823"/>
      <c r="AH789" s="731"/>
      <c r="AI789" s="731"/>
      <c r="AJ789" s="731"/>
      <c r="AK789" s="731"/>
      <c r="AL789" s="731"/>
      <c r="AM789" s="731"/>
      <c r="AN789" s="731"/>
      <c r="AO789" s="731"/>
      <c r="AP789" s="731"/>
      <c r="AQ789" s="731"/>
      <c r="AR789" s="731"/>
      <c r="AS789" s="731"/>
      <c r="AT789" s="731"/>
      <c r="AU789" s="731"/>
      <c r="AV789" s="731"/>
      <c r="AW789" s="731"/>
      <c r="AX789" s="731"/>
      <c r="AY789" s="427"/>
    </row>
    <row r="790" spans="1:55" ht="18" customHeight="1" x14ac:dyDescent="0.25">
      <c r="A790" s="829"/>
      <c r="B790" s="710"/>
      <c r="C790" s="914" t="s">
        <v>512</v>
      </c>
      <c r="D790" s="413" t="s">
        <v>340</v>
      </c>
      <c r="E790" s="179">
        <f t="shared" ref="E790:H795" si="121">+E784</f>
        <v>15</v>
      </c>
      <c r="F790" s="180">
        <f t="shared" si="121"/>
        <v>15</v>
      </c>
      <c r="G790" s="174">
        <f t="shared" si="121"/>
        <v>15</v>
      </c>
      <c r="H790" s="174">
        <f t="shared" si="121"/>
        <v>15</v>
      </c>
      <c r="I790" s="174">
        <v>0</v>
      </c>
      <c r="J790" s="410">
        <v>0</v>
      </c>
      <c r="K790" s="409"/>
      <c r="L790" s="410"/>
      <c r="M790" s="410">
        <f t="shared" ref="M790:R790" si="122">+M784</f>
        <v>15</v>
      </c>
      <c r="N790" s="410">
        <f t="shared" si="122"/>
        <v>12.5</v>
      </c>
      <c r="O790" s="410">
        <f t="shared" si="122"/>
        <v>12.5</v>
      </c>
      <c r="P790" s="410">
        <f t="shared" si="122"/>
        <v>12.5</v>
      </c>
      <c r="Q790" s="410">
        <f t="shared" si="122"/>
        <v>12.5</v>
      </c>
      <c r="R790" s="410">
        <f t="shared" si="122"/>
        <v>12.5</v>
      </c>
      <c r="S790" s="409"/>
      <c r="T790" s="166">
        <f>+T784</f>
        <v>1.25</v>
      </c>
      <c r="U790" s="166">
        <f>+U784</f>
        <v>2.5</v>
      </c>
      <c r="V790" s="166">
        <v>3.75</v>
      </c>
      <c r="W790" s="432">
        <v>5</v>
      </c>
      <c r="X790" s="411"/>
      <c r="Y790" s="411"/>
      <c r="Z790" s="411"/>
      <c r="AA790" s="420">
        <f t="shared" ref="AA790:AE795" si="123">+AA784</f>
        <v>4.0999999999999996</v>
      </c>
      <c r="AB790" s="420">
        <f t="shared" si="123"/>
        <v>6.2</v>
      </c>
      <c r="AC790" s="420">
        <f t="shared" si="123"/>
        <v>8.3000000000000007</v>
      </c>
      <c r="AD790" s="420">
        <f t="shared" si="123"/>
        <v>10.4</v>
      </c>
      <c r="AE790" s="169" t="str">
        <f t="shared" si="123"/>
        <v>#REF!</v>
      </c>
      <c r="AF790" s="521"/>
      <c r="AG790" s="919" t="s">
        <v>456</v>
      </c>
      <c r="AH790" s="813" t="s">
        <v>178</v>
      </c>
      <c r="AI790" s="813" t="s">
        <v>178</v>
      </c>
      <c r="AJ790" s="813" t="s">
        <v>178</v>
      </c>
      <c r="AK790" s="914" t="s">
        <v>457</v>
      </c>
      <c r="AL790" s="813"/>
      <c r="AM790" s="786" t="s">
        <v>691</v>
      </c>
      <c r="AN790" s="910">
        <v>7804660</v>
      </c>
      <c r="AO790" s="910">
        <v>3721767</v>
      </c>
      <c r="AP790" s="910">
        <v>4082893</v>
      </c>
      <c r="AQ790" s="915" t="s">
        <v>459</v>
      </c>
      <c r="AR790" s="915" t="s">
        <v>459</v>
      </c>
      <c r="AS790" s="915" t="s">
        <v>459</v>
      </c>
      <c r="AT790" s="915" t="s">
        <v>459</v>
      </c>
      <c r="AU790" s="915" t="s">
        <v>459</v>
      </c>
      <c r="AV790" s="915" t="s">
        <v>459</v>
      </c>
      <c r="AW790" s="915" t="s">
        <v>459</v>
      </c>
      <c r="AX790" s="910">
        <v>7804660</v>
      </c>
      <c r="AY790" s="427"/>
    </row>
    <row r="791" spans="1:55" ht="15.75" customHeight="1" x14ac:dyDescent="0.25">
      <c r="A791" s="829"/>
      <c r="B791" s="710"/>
      <c r="C791" s="710"/>
      <c r="D791" s="404" t="s">
        <v>343</v>
      </c>
      <c r="E791" s="179">
        <f t="shared" si="121"/>
        <v>801561000</v>
      </c>
      <c r="F791" s="180">
        <f t="shared" si="121"/>
        <v>801561000</v>
      </c>
      <c r="G791" s="174">
        <f t="shared" si="121"/>
        <v>801561000</v>
      </c>
      <c r="H791" s="174">
        <f t="shared" si="121"/>
        <v>801561000</v>
      </c>
      <c r="I791" s="174">
        <v>81973233</v>
      </c>
      <c r="J791" s="410">
        <v>81973233</v>
      </c>
      <c r="K791" s="409"/>
      <c r="L791" s="410"/>
      <c r="M791" s="410">
        <f t="shared" ref="M791:R791" si="124">+M785</f>
        <v>801561000</v>
      </c>
      <c r="N791" s="410">
        <f t="shared" si="124"/>
        <v>381900000</v>
      </c>
      <c r="O791" s="410">
        <f t="shared" si="124"/>
        <v>303900000</v>
      </c>
      <c r="P791" s="410">
        <f t="shared" si="124"/>
        <v>225075000</v>
      </c>
      <c r="Q791" s="410">
        <f t="shared" si="124"/>
        <v>225075000</v>
      </c>
      <c r="R791" s="410">
        <f t="shared" si="124"/>
        <v>225075000</v>
      </c>
      <c r="S791" s="409"/>
      <c r="T791" s="166">
        <f>+T785</f>
        <v>0</v>
      </c>
      <c r="U791" s="166">
        <f>+U785</f>
        <v>101350694</v>
      </c>
      <c r="V791" s="166">
        <v>426196694</v>
      </c>
      <c r="W791" s="432">
        <v>619322694</v>
      </c>
      <c r="X791" s="411"/>
      <c r="Y791" s="411"/>
      <c r="Z791" s="411"/>
      <c r="AA791" s="420">
        <f t="shared" si="123"/>
        <v>102981143</v>
      </c>
      <c r="AB791" s="420">
        <f t="shared" si="123"/>
        <v>119147442</v>
      </c>
      <c r="AC791" s="420">
        <f t="shared" si="123"/>
        <v>121576922</v>
      </c>
      <c r="AD791" s="420">
        <f t="shared" si="123"/>
        <v>168075108</v>
      </c>
      <c r="AE791" s="169" t="str">
        <f t="shared" si="123"/>
        <v>#REF!</v>
      </c>
      <c r="AF791" s="521"/>
      <c r="AG791" s="829"/>
      <c r="AH791" s="710"/>
      <c r="AI791" s="710"/>
      <c r="AJ791" s="710"/>
      <c r="AK791" s="710"/>
      <c r="AL791" s="710"/>
      <c r="AM791" s="710"/>
      <c r="AN791" s="710"/>
      <c r="AO791" s="710"/>
      <c r="AP791" s="710"/>
      <c r="AQ791" s="710"/>
      <c r="AR791" s="710"/>
      <c r="AS791" s="710"/>
      <c r="AT791" s="710"/>
      <c r="AU791" s="710"/>
      <c r="AV791" s="710"/>
      <c r="AW791" s="710"/>
      <c r="AX791" s="710"/>
      <c r="AY791" s="427"/>
    </row>
    <row r="792" spans="1:55" ht="15.75" customHeight="1" x14ac:dyDescent="0.25">
      <c r="A792" s="829"/>
      <c r="B792" s="710"/>
      <c r="C792" s="710"/>
      <c r="D792" s="408" t="s">
        <v>345</v>
      </c>
      <c r="E792" s="179" t="str">
        <f t="shared" si="121"/>
        <v>#REF!</v>
      </c>
      <c r="F792" s="180" t="str">
        <f t="shared" si="121"/>
        <v>#REF!</v>
      </c>
      <c r="G792" s="174">
        <f t="shared" si="121"/>
        <v>0</v>
      </c>
      <c r="H792" s="174">
        <f t="shared" si="121"/>
        <v>0</v>
      </c>
      <c r="I792" s="174">
        <v>15</v>
      </c>
      <c r="J792" s="410">
        <v>15</v>
      </c>
      <c r="K792" s="409"/>
      <c r="L792" s="410"/>
      <c r="M792" s="410" t="str">
        <f t="shared" ref="M792:R792" si="125">+M786</f>
        <v>#REF!</v>
      </c>
      <c r="N792" s="410">
        <f t="shared" si="125"/>
        <v>0</v>
      </c>
      <c r="O792" s="410">
        <f t="shared" si="125"/>
        <v>0</v>
      </c>
      <c r="P792" s="410" t="str">
        <f t="shared" si="125"/>
        <v>#REF!</v>
      </c>
      <c r="Q792" s="410" t="str">
        <f t="shared" si="125"/>
        <v>#REF!</v>
      </c>
      <c r="R792" s="410" t="str">
        <f t="shared" si="125"/>
        <v>#REF!</v>
      </c>
      <c r="S792" s="409"/>
      <c r="T792" s="166">
        <v>0</v>
      </c>
      <c r="U792" s="166">
        <v>0</v>
      </c>
      <c r="V792" s="166">
        <v>0</v>
      </c>
      <c r="W792" s="432">
        <v>0</v>
      </c>
      <c r="X792" s="411"/>
      <c r="Y792" s="411"/>
      <c r="Z792" s="411"/>
      <c r="AA792" s="420">
        <f t="shared" si="123"/>
        <v>0</v>
      </c>
      <c r="AB792" s="420">
        <f t="shared" si="123"/>
        <v>0</v>
      </c>
      <c r="AC792" s="420" t="str">
        <f t="shared" si="123"/>
        <v>#REF!</v>
      </c>
      <c r="AD792" s="420" t="str">
        <f t="shared" si="123"/>
        <v>#REF!</v>
      </c>
      <c r="AE792" s="169" t="str">
        <f t="shared" si="123"/>
        <v>#REF!</v>
      </c>
      <c r="AF792" s="521"/>
      <c r="AG792" s="829"/>
      <c r="AH792" s="710"/>
      <c r="AI792" s="710"/>
      <c r="AJ792" s="710"/>
      <c r="AK792" s="710"/>
      <c r="AL792" s="710"/>
      <c r="AM792" s="710"/>
      <c r="AN792" s="710"/>
      <c r="AO792" s="710"/>
      <c r="AP792" s="710"/>
      <c r="AQ792" s="710"/>
      <c r="AR792" s="710"/>
      <c r="AS792" s="710"/>
      <c r="AT792" s="710"/>
      <c r="AU792" s="710"/>
      <c r="AV792" s="710"/>
      <c r="AW792" s="710"/>
      <c r="AX792" s="710"/>
      <c r="AY792" s="427"/>
    </row>
    <row r="793" spans="1:55" ht="15.75" customHeight="1" x14ac:dyDescent="0.25">
      <c r="A793" s="829"/>
      <c r="B793" s="710"/>
      <c r="C793" s="710"/>
      <c r="D793" s="404" t="s">
        <v>346</v>
      </c>
      <c r="E793" s="179">
        <f t="shared" si="121"/>
        <v>81973233</v>
      </c>
      <c r="F793" s="180">
        <f t="shared" si="121"/>
        <v>81973233</v>
      </c>
      <c r="G793" s="174">
        <f t="shared" si="121"/>
        <v>81973233</v>
      </c>
      <c r="H793" s="174">
        <f t="shared" si="121"/>
        <v>81973233</v>
      </c>
      <c r="I793" s="174">
        <v>883534233</v>
      </c>
      <c r="J793" s="410">
        <v>836614860</v>
      </c>
      <c r="K793" s="409"/>
      <c r="L793" s="410"/>
      <c r="M793" s="410">
        <f t="shared" ref="M793:R793" si="126">+M787</f>
        <v>81973233</v>
      </c>
      <c r="N793" s="410">
        <f t="shared" si="126"/>
        <v>0</v>
      </c>
      <c r="O793" s="410">
        <f t="shared" si="126"/>
        <v>0</v>
      </c>
      <c r="P793" s="410" t="str">
        <f t="shared" si="126"/>
        <v>#REF!</v>
      </c>
      <c r="Q793" s="410" t="str">
        <f t="shared" si="126"/>
        <v>#REF!</v>
      </c>
      <c r="R793" s="410" t="str">
        <f t="shared" si="126"/>
        <v>#REF!</v>
      </c>
      <c r="S793" s="409"/>
      <c r="T793" s="166">
        <f t="shared" ref="T793:U795" si="127">+T787</f>
        <v>11357200</v>
      </c>
      <c r="U793" s="166">
        <f t="shared" si="127"/>
        <v>38726571</v>
      </c>
      <c r="V793" s="166">
        <v>78539901</v>
      </c>
      <c r="W793" s="432">
        <v>80858628</v>
      </c>
      <c r="X793" s="411"/>
      <c r="Y793" s="411"/>
      <c r="Z793" s="411"/>
      <c r="AA793" s="420">
        <f t="shared" si="123"/>
        <v>0</v>
      </c>
      <c r="AB793" s="420">
        <f t="shared" si="123"/>
        <v>0</v>
      </c>
      <c r="AC793" s="420" t="str">
        <f t="shared" si="123"/>
        <v>#REF!</v>
      </c>
      <c r="AD793" s="420" t="str">
        <f t="shared" si="123"/>
        <v>#REF!</v>
      </c>
      <c r="AE793" s="169" t="str">
        <f t="shared" si="123"/>
        <v>#REF!</v>
      </c>
      <c r="AF793" s="521"/>
      <c r="AG793" s="829"/>
      <c r="AH793" s="710"/>
      <c r="AI793" s="710"/>
      <c r="AJ793" s="710"/>
      <c r="AK793" s="710"/>
      <c r="AL793" s="710"/>
      <c r="AM793" s="710"/>
      <c r="AN793" s="710"/>
      <c r="AO793" s="710"/>
      <c r="AP793" s="710"/>
      <c r="AQ793" s="710"/>
      <c r="AR793" s="710"/>
      <c r="AS793" s="710"/>
      <c r="AT793" s="710"/>
      <c r="AU793" s="710"/>
      <c r="AV793" s="710"/>
      <c r="AW793" s="710"/>
      <c r="AX793" s="710"/>
      <c r="AY793" s="427"/>
    </row>
    <row r="794" spans="1:55" ht="15.75" customHeight="1" x14ac:dyDescent="0.25">
      <c r="A794" s="829"/>
      <c r="B794" s="710"/>
      <c r="C794" s="710"/>
      <c r="D794" s="408" t="s">
        <v>347</v>
      </c>
      <c r="E794" s="179">
        <f t="shared" si="121"/>
        <v>15</v>
      </c>
      <c r="F794" s="180">
        <f t="shared" si="121"/>
        <v>15</v>
      </c>
      <c r="G794" s="174">
        <f t="shared" si="121"/>
        <v>15</v>
      </c>
      <c r="H794" s="174">
        <f t="shared" si="121"/>
        <v>15</v>
      </c>
      <c r="I794" s="174">
        <v>0</v>
      </c>
      <c r="J794" s="410">
        <v>0</v>
      </c>
      <c r="K794" s="409"/>
      <c r="L794" s="410"/>
      <c r="M794" s="410">
        <f t="shared" ref="M794:R794" si="128">+M788</f>
        <v>15</v>
      </c>
      <c r="N794" s="410">
        <f t="shared" si="128"/>
        <v>12.5</v>
      </c>
      <c r="O794" s="410">
        <f t="shared" si="128"/>
        <v>12.5</v>
      </c>
      <c r="P794" s="410">
        <f t="shared" si="128"/>
        <v>12.5</v>
      </c>
      <c r="Q794" s="410">
        <f t="shared" si="128"/>
        <v>12.5</v>
      </c>
      <c r="R794" s="410">
        <f t="shared" si="128"/>
        <v>12.5</v>
      </c>
      <c r="S794" s="409"/>
      <c r="T794" s="166">
        <f t="shared" si="127"/>
        <v>1.25</v>
      </c>
      <c r="U794" s="166">
        <f t="shared" si="127"/>
        <v>2.5</v>
      </c>
      <c r="V794" s="166">
        <v>3.75</v>
      </c>
      <c r="W794" s="432">
        <v>5</v>
      </c>
      <c r="X794" s="411"/>
      <c r="Y794" s="411"/>
      <c r="Z794" s="411"/>
      <c r="AA794" s="420">
        <f t="shared" si="123"/>
        <v>4.0999999999999996</v>
      </c>
      <c r="AB794" s="420">
        <f t="shared" si="123"/>
        <v>6.2</v>
      </c>
      <c r="AC794" s="420">
        <f t="shared" si="123"/>
        <v>8.3000000000000007</v>
      </c>
      <c r="AD794" s="420">
        <f t="shared" si="123"/>
        <v>10.4</v>
      </c>
      <c r="AE794" s="169" t="str">
        <f t="shared" si="123"/>
        <v>#REF!</v>
      </c>
      <c r="AF794" s="521"/>
      <c r="AG794" s="829"/>
      <c r="AH794" s="710"/>
      <c r="AI794" s="710"/>
      <c r="AJ794" s="710"/>
      <c r="AK794" s="710"/>
      <c r="AL794" s="710"/>
      <c r="AM794" s="710"/>
      <c r="AN794" s="710"/>
      <c r="AO794" s="710"/>
      <c r="AP794" s="710"/>
      <c r="AQ794" s="710"/>
      <c r="AR794" s="710"/>
      <c r="AS794" s="710"/>
      <c r="AT794" s="710"/>
      <c r="AU794" s="710"/>
      <c r="AV794" s="710"/>
      <c r="AW794" s="710"/>
      <c r="AX794" s="710"/>
      <c r="AY794" s="427"/>
    </row>
    <row r="795" spans="1:55" ht="15.75" customHeight="1" x14ac:dyDescent="0.25">
      <c r="A795" s="823"/>
      <c r="B795" s="731"/>
      <c r="C795" s="731"/>
      <c r="D795" s="412" t="s">
        <v>348</v>
      </c>
      <c r="E795" s="179">
        <f t="shared" si="121"/>
        <v>883534233</v>
      </c>
      <c r="F795" s="180">
        <f t="shared" si="121"/>
        <v>883534233</v>
      </c>
      <c r="G795" s="174">
        <f t="shared" si="121"/>
        <v>883534233</v>
      </c>
      <c r="H795" s="174">
        <f t="shared" si="121"/>
        <v>883534233</v>
      </c>
      <c r="I795" s="174">
        <v>81973233</v>
      </c>
      <c r="J795" s="410">
        <v>81973233</v>
      </c>
      <c r="K795" s="409"/>
      <c r="L795" s="410"/>
      <c r="M795" s="410">
        <f t="shared" ref="M795:R795" si="129">+M789</f>
        <v>883534233</v>
      </c>
      <c r="N795" s="410">
        <f t="shared" si="129"/>
        <v>381900000</v>
      </c>
      <c r="O795" s="410">
        <f t="shared" si="129"/>
        <v>381900000</v>
      </c>
      <c r="P795" s="410">
        <f t="shared" si="129"/>
        <v>225075000</v>
      </c>
      <c r="Q795" s="410">
        <f t="shared" si="129"/>
        <v>225075000</v>
      </c>
      <c r="R795" s="410">
        <f t="shared" si="129"/>
        <v>225075000</v>
      </c>
      <c r="S795" s="409"/>
      <c r="T795" s="166">
        <f t="shared" si="127"/>
        <v>11357200</v>
      </c>
      <c r="U795" s="166">
        <f t="shared" si="127"/>
        <v>140077265</v>
      </c>
      <c r="V795" s="166">
        <v>427498595</v>
      </c>
      <c r="W795" s="432">
        <v>700181322</v>
      </c>
      <c r="X795" s="411"/>
      <c r="Y795" s="411"/>
      <c r="Z795" s="411"/>
      <c r="AA795" s="420">
        <f t="shared" si="123"/>
        <v>102981143</v>
      </c>
      <c r="AB795" s="420">
        <f t="shared" si="123"/>
        <v>119147442</v>
      </c>
      <c r="AC795" s="420">
        <f t="shared" si="123"/>
        <v>121576922</v>
      </c>
      <c r="AD795" s="420">
        <f t="shared" si="123"/>
        <v>168075108</v>
      </c>
      <c r="AE795" s="169" t="str">
        <f t="shared" si="123"/>
        <v>#REF!</v>
      </c>
      <c r="AF795" s="521"/>
      <c r="AG795" s="823"/>
      <c r="AH795" s="731"/>
      <c r="AI795" s="731"/>
      <c r="AJ795" s="731"/>
      <c r="AK795" s="731"/>
      <c r="AL795" s="731"/>
      <c r="AM795" s="731"/>
      <c r="AN795" s="731"/>
      <c r="AO795" s="731"/>
      <c r="AP795" s="731"/>
      <c r="AQ795" s="731"/>
      <c r="AR795" s="731"/>
      <c r="AS795" s="731"/>
      <c r="AT795" s="731"/>
      <c r="AU795" s="731"/>
      <c r="AV795" s="731"/>
      <c r="AW795" s="731"/>
      <c r="AX795" s="731"/>
      <c r="AY795" s="427"/>
    </row>
    <row r="796" spans="1:55" ht="15.75" customHeight="1" x14ac:dyDescent="0.25">
      <c r="A796" s="967" t="s">
        <v>693</v>
      </c>
      <c r="B796" s="968"/>
      <c r="C796" s="949"/>
      <c r="D796" s="539" t="s">
        <v>694</v>
      </c>
      <c r="E796" s="540">
        <v>2520913490</v>
      </c>
      <c r="F796" s="540">
        <v>2520913490</v>
      </c>
      <c r="G796" s="540">
        <f>+G11+G155+G299+G491+G503+G635+G689+G701+G773+G785</f>
        <v>3459505000</v>
      </c>
      <c r="H796" s="540">
        <f>+H11+H155+H299+H491+H503+H635+H689+H701+H773+H785</f>
        <v>3459505000</v>
      </c>
      <c r="I796" s="540">
        <v>15</v>
      </c>
      <c r="J796" s="540">
        <v>15</v>
      </c>
      <c r="K796" s="540">
        <v>162068000</v>
      </c>
      <c r="L796" s="540">
        <v>0</v>
      </c>
      <c r="M796" s="540">
        <v>2520913490</v>
      </c>
      <c r="N796" s="540">
        <v>2520913490</v>
      </c>
      <c r="O796" s="540">
        <v>2520913490</v>
      </c>
      <c r="P796" s="540">
        <v>2520913490</v>
      </c>
      <c r="Q796" s="540">
        <v>2520913490</v>
      </c>
      <c r="R796" s="540">
        <v>2520913490</v>
      </c>
      <c r="S796" s="540"/>
      <c r="T796" s="541">
        <f>+T11+T155+T299+T491+T503+T635+T689+T701+T773+T785</f>
        <v>0</v>
      </c>
      <c r="U796" s="540">
        <f>+U11+U155+U299+U491+U503+U635+U689+U701+U773+U785</f>
        <v>1382696694</v>
      </c>
      <c r="V796" s="540">
        <v>427498595</v>
      </c>
      <c r="W796" s="540">
        <v>700181322</v>
      </c>
      <c r="X796" s="540">
        <f t="shared" ref="X796:AE796" si="130">+X11+X155+X299+X491+X503+X635+X689+X701+X773+X785</f>
        <v>802427000</v>
      </c>
      <c r="Y796" s="540">
        <f t="shared" si="130"/>
        <v>0</v>
      </c>
      <c r="Z796" s="540">
        <f t="shared" si="130"/>
        <v>536091143</v>
      </c>
      <c r="AA796" s="540">
        <f t="shared" si="130"/>
        <v>1709433143</v>
      </c>
      <c r="AB796" s="540">
        <f t="shared" si="130"/>
        <v>1752848442</v>
      </c>
      <c r="AC796" s="540" t="e">
        <f t="shared" si="130"/>
        <v>#VALUE!</v>
      </c>
      <c r="AD796" s="540" t="e">
        <f t="shared" si="130"/>
        <v>#VALUE!</v>
      </c>
      <c r="AE796" s="540" t="e">
        <f t="shared" si="130"/>
        <v>#VALUE!</v>
      </c>
      <c r="AF796" s="540"/>
      <c r="AG796" s="542"/>
      <c r="AH796" s="542"/>
      <c r="AI796" s="542"/>
      <c r="AJ796" s="542"/>
      <c r="AK796" s="542"/>
      <c r="AL796" s="542"/>
      <c r="AM796" s="542"/>
      <c r="AN796" s="542"/>
      <c r="AO796" s="542"/>
      <c r="AP796" s="542"/>
      <c r="AQ796" s="542"/>
      <c r="AR796" s="542"/>
      <c r="AS796" s="542"/>
      <c r="AT796" s="542"/>
      <c r="AU796" s="542"/>
      <c r="AV796" s="542"/>
      <c r="AW796" s="542"/>
      <c r="AX796" s="542"/>
      <c r="AY796" s="542"/>
      <c r="AZ796" s="543"/>
      <c r="BA796" s="543"/>
      <c r="BB796" s="543"/>
      <c r="BC796" s="543"/>
    </row>
    <row r="797" spans="1:55" ht="15.75" customHeight="1" x14ac:dyDescent="0.25">
      <c r="A797" s="950"/>
      <c r="B797" s="689"/>
      <c r="C797" s="822"/>
      <c r="D797" s="544" t="s">
        <v>695</v>
      </c>
      <c r="E797" s="545">
        <v>0</v>
      </c>
      <c r="F797" s="541">
        <v>0</v>
      </c>
      <c r="G797" s="541">
        <f>+G13+G157+G301+G493+G505+G637+G691+G703+G775+G787</f>
        <v>793552573</v>
      </c>
      <c r="H797" s="541">
        <f>+H13+H157+H301+H493+H505+H637+H691+H703+H775+H787</f>
        <v>793552573</v>
      </c>
      <c r="I797" s="541">
        <v>883534233</v>
      </c>
      <c r="J797" s="545">
        <v>836614860</v>
      </c>
      <c r="K797" s="545">
        <f t="shared" ref="K797:R797" si="131">+K13+K157+K301+K493+K505+K637+K691+K703+K775+K787</f>
        <v>0</v>
      </c>
      <c r="L797" s="545">
        <f t="shared" si="131"/>
        <v>0</v>
      </c>
      <c r="M797" s="545" t="e">
        <f t="shared" si="131"/>
        <v>#VALUE!</v>
      </c>
      <c r="N797" s="545">
        <f t="shared" si="131"/>
        <v>0</v>
      </c>
      <c r="O797" s="545">
        <f t="shared" si="131"/>
        <v>0</v>
      </c>
      <c r="P797" s="545" t="e">
        <f t="shared" si="131"/>
        <v>#VALUE!</v>
      </c>
      <c r="Q797" s="545" t="e">
        <f t="shared" si="131"/>
        <v>#VALUE!</v>
      </c>
      <c r="R797" s="545" t="e">
        <f t="shared" si="131"/>
        <v>#VALUE!</v>
      </c>
      <c r="S797" s="545"/>
      <c r="T797" s="541">
        <f>+T13+T157+T301+T493+T505+T637+T691+T703+T775+T787</f>
        <v>135468608</v>
      </c>
      <c r="U797" s="541">
        <f>+U13+U157+U301+U493+U505+U637+U691+U703+U775+U787</f>
        <v>433854516</v>
      </c>
      <c r="V797" s="541" t="e">
        <f>+V13+V157+V301+V493+V505+V637+V691+V703+V775+V787</f>
        <v>#REF!</v>
      </c>
      <c r="W797" s="545" t="e">
        <f>+W13+W157+W301+W493+W505+W637+W691+W703+W775+W787</f>
        <v>#REF!</v>
      </c>
      <c r="X797" s="545"/>
      <c r="Y797" s="545"/>
      <c r="Z797" s="545"/>
      <c r="AA797" s="545"/>
      <c r="AB797" s="545"/>
      <c r="AC797" s="545"/>
      <c r="AD797" s="545"/>
      <c r="AE797" s="545"/>
      <c r="AF797" s="545"/>
      <c r="AG797" s="546"/>
      <c r="AH797" s="546"/>
      <c r="AI797" s="546"/>
      <c r="AJ797" s="546"/>
      <c r="AK797" s="546"/>
      <c r="AL797" s="546"/>
      <c r="AM797" s="546"/>
      <c r="AN797" s="546"/>
      <c r="AO797" s="546"/>
      <c r="AP797" s="546"/>
      <c r="AQ797" s="546"/>
      <c r="AR797" s="546"/>
      <c r="AS797" s="546"/>
      <c r="AT797" s="546"/>
      <c r="AU797" s="546"/>
      <c r="AV797" s="546"/>
      <c r="AW797" s="546"/>
      <c r="AX797" s="546"/>
      <c r="AY797" s="546"/>
    </row>
    <row r="798" spans="1:55" ht="15.75" customHeight="1" x14ac:dyDescent="0.25">
      <c r="A798" s="951"/>
      <c r="B798" s="969"/>
      <c r="C798" s="883"/>
      <c r="D798" s="539" t="s">
        <v>696</v>
      </c>
      <c r="E798" s="540">
        <v>2520913490</v>
      </c>
      <c r="F798" s="540">
        <v>2520913490</v>
      </c>
      <c r="G798" s="540">
        <f t="shared" ref="G798:R798" si="132">+G796+G797</f>
        <v>4253057573</v>
      </c>
      <c r="H798" s="540">
        <f t="shared" si="132"/>
        <v>4253057573</v>
      </c>
      <c r="I798" s="540">
        <f t="shared" si="132"/>
        <v>883534248</v>
      </c>
      <c r="J798" s="540">
        <f t="shared" si="132"/>
        <v>836614875</v>
      </c>
      <c r="K798" s="540">
        <f t="shared" si="132"/>
        <v>162068000</v>
      </c>
      <c r="L798" s="540">
        <f t="shared" si="132"/>
        <v>0</v>
      </c>
      <c r="M798" s="540" t="e">
        <f t="shared" si="132"/>
        <v>#VALUE!</v>
      </c>
      <c r="N798" s="540">
        <f t="shared" si="132"/>
        <v>2520913490</v>
      </c>
      <c r="O798" s="540">
        <f t="shared" si="132"/>
        <v>2520913490</v>
      </c>
      <c r="P798" s="540" t="e">
        <f t="shared" si="132"/>
        <v>#VALUE!</v>
      </c>
      <c r="Q798" s="540" t="e">
        <f t="shared" si="132"/>
        <v>#VALUE!</v>
      </c>
      <c r="R798" s="540" t="e">
        <f t="shared" si="132"/>
        <v>#VALUE!</v>
      </c>
      <c r="S798" s="540"/>
      <c r="T798" s="541">
        <f>+T796+T797</f>
        <v>135468608</v>
      </c>
      <c r="U798" s="540">
        <f>+U796+U797</f>
        <v>1816551210</v>
      </c>
      <c r="V798" s="540" t="e">
        <f>+V796+V797</f>
        <v>#REF!</v>
      </c>
      <c r="W798" s="540" t="e">
        <f>+W796+W797</f>
        <v>#REF!</v>
      </c>
      <c r="X798" s="540">
        <v>0</v>
      </c>
      <c r="Y798" s="540">
        <v>0</v>
      </c>
      <c r="Z798" s="540">
        <v>536091143</v>
      </c>
      <c r="AA798" s="540">
        <v>1709433143</v>
      </c>
      <c r="AB798" s="540">
        <v>1752848442</v>
      </c>
      <c r="AC798" s="540" t="e">
        <f>+AC796</f>
        <v>#VALUE!</v>
      </c>
      <c r="AD798" s="540" t="e">
        <f>+AD796</f>
        <v>#VALUE!</v>
      </c>
      <c r="AE798" s="540" t="e">
        <f>+AE796+AE797</f>
        <v>#VALUE!</v>
      </c>
      <c r="AF798" s="540"/>
      <c r="AG798" s="542"/>
      <c r="AH798" s="542"/>
      <c r="AI798" s="542"/>
      <c r="AJ798" s="542"/>
      <c r="AK798" s="542"/>
      <c r="AL798" s="542"/>
      <c r="AM798" s="542"/>
      <c r="AN798" s="542"/>
      <c r="AO798" s="542"/>
      <c r="AP798" s="542"/>
      <c r="AQ798" s="542"/>
      <c r="AR798" s="542"/>
      <c r="AS798" s="542"/>
      <c r="AT798" s="542"/>
      <c r="AU798" s="542"/>
      <c r="AV798" s="542"/>
      <c r="AW798" s="542"/>
      <c r="AX798" s="542"/>
      <c r="AY798" s="542"/>
      <c r="AZ798" s="543"/>
      <c r="BA798" s="543"/>
      <c r="BB798" s="543"/>
      <c r="BC798" s="543"/>
    </row>
    <row r="799" spans="1:55" ht="15.75" customHeight="1" x14ac:dyDescent="0.25">
      <c r="A799" s="303"/>
      <c r="B799" s="303"/>
      <c r="C799" s="1"/>
      <c r="D799" s="303"/>
      <c r="E799" s="176"/>
      <c r="F799" s="176"/>
      <c r="G799" s="171"/>
      <c r="H799" s="171"/>
      <c r="I799" s="171"/>
      <c r="J799" s="547"/>
      <c r="K799" s="548"/>
      <c r="L799" s="547"/>
      <c r="M799" s="547"/>
      <c r="N799" s="547"/>
      <c r="O799" s="547"/>
      <c r="P799" s="547"/>
      <c r="Q799" s="547"/>
      <c r="R799" s="547"/>
      <c r="S799" s="548"/>
      <c r="T799" s="171"/>
      <c r="U799" s="171"/>
      <c r="V799" s="171"/>
      <c r="W799" s="547"/>
      <c r="X799" s="548"/>
      <c r="Y799" s="548"/>
      <c r="Z799" s="548"/>
      <c r="AA799" s="548"/>
      <c r="AB799" s="548"/>
      <c r="AC799" s="548"/>
      <c r="AD799" s="549"/>
      <c r="AE799" s="549"/>
      <c r="AF799" s="549"/>
      <c r="AG799" s="1"/>
      <c r="AH799" s="1"/>
      <c r="AI799" s="1"/>
      <c r="AJ799" s="1"/>
      <c r="AK799" s="1"/>
      <c r="AL799" s="1"/>
      <c r="AM799" s="1"/>
      <c r="AN799" s="1"/>
      <c r="AO799" s="1"/>
      <c r="AP799" s="2"/>
      <c r="AQ799" s="2"/>
      <c r="AR799" s="1"/>
      <c r="AS799" s="1"/>
      <c r="AT799" s="1"/>
      <c r="AU799" s="1"/>
      <c r="AV799" s="1"/>
      <c r="AW799" s="1"/>
      <c r="AX799" s="2"/>
      <c r="AY799" s="549"/>
    </row>
    <row r="800" spans="1:55" ht="15.75" customHeight="1" x14ac:dyDescent="0.25">
      <c r="A800" s="550" t="s">
        <v>195</v>
      </c>
      <c r="B800" s="303"/>
      <c r="C800" s="303"/>
      <c r="D800" s="303"/>
      <c r="E800" s="176"/>
      <c r="F800" s="551"/>
      <c r="G800" s="176"/>
      <c r="H800" s="176"/>
      <c r="I800" s="176"/>
      <c r="J800" s="176"/>
      <c r="K800" s="176"/>
      <c r="L800" s="176"/>
      <c r="M800" s="176"/>
      <c r="N800" s="176"/>
      <c r="O800" s="176"/>
      <c r="P800" s="176"/>
      <c r="Q800" s="176"/>
      <c r="R800" s="176"/>
      <c r="S800" s="176"/>
      <c r="T800" s="176"/>
      <c r="U800" s="176"/>
      <c r="V800" s="176"/>
      <c r="W800" s="176"/>
      <c r="X800" s="176"/>
      <c r="Y800" s="176"/>
      <c r="Z800" s="176"/>
      <c r="AA800" s="176"/>
      <c r="AB800" s="176"/>
      <c r="AC800" s="176"/>
      <c r="AD800" s="351"/>
      <c r="AE800" s="303"/>
      <c r="AF800" s="303"/>
      <c r="AG800" s="303"/>
      <c r="AH800" s="303"/>
      <c r="AI800" s="303"/>
      <c r="AJ800" s="552"/>
      <c r="AK800" s="552"/>
      <c r="AL800" s="552"/>
      <c r="AM800" s="552"/>
      <c r="AN800" s="552"/>
      <c r="AO800" s="552"/>
      <c r="AP800" s="553"/>
      <c r="AQ800" s="553"/>
      <c r="AR800" s="554"/>
      <c r="AS800" s="554"/>
      <c r="AT800" s="554"/>
      <c r="AU800" s="554"/>
      <c r="AV800" s="554"/>
      <c r="AW800" s="554"/>
      <c r="AX800" s="554"/>
    </row>
    <row r="801" spans="1:51" ht="15.75" customHeight="1" x14ac:dyDescent="0.25">
      <c r="A801" s="555" t="s">
        <v>196</v>
      </c>
      <c r="B801" s="965" t="s">
        <v>197</v>
      </c>
      <c r="C801" s="727"/>
      <c r="D801" s="728"/>
      <c r="E801" s="987" t="s">
        <v>198</v>
      </c>
      <c r="F801" s="727"/>
      <c r="G801" s="727"/>
      <c r="H801" s="727"/>
      <c r="I801" s="727"/>
      <c r="J801" s="727"/>
      <c r="K801" s="727"/>
      <c r="L801" s="727"/>
      <c r="M801" s="727"/>
      <c r="N801" s="727"/>
      <c r="O801" s="727"/>
      <c r="P801" s="727"/>
      <c r="Q801" s="727"/>
      <c r="R801" s="728"/>
      <c r="S801" s="303"/>
      <c r="T801" s="303"/>
      <c r="U801" s="303"/>
      <c r="V801" s="303"/>
      <c r="W801" s="303"/>
      <c r="X801" s="303"/>
      <c r="Y801" s="303"/>
      <c r="Z801" s="303"/>
      <c r="AA801" s="303"/>
      <c r="AB801" s="303"/>
      <c r="AC801" s="303"/>
      <c r="AD801" s="351"/>
      <c r="AE801" s="303"/>
      <c r="AF801" s="303"/>
      <c r="AG801" s="303"/>
      <c r="AH801" s="303"/>
      <c r="AI801" s="303"/>
      <c r="AJ801" s="552"/>
      <c r="AK801" s="552"/>
      <c r="AL801" s="552"/>
      <c r="AM801" s="552"/>
      <c r="AN801" s="552"/>
      <c r="AO801" s="552"/>
      <c r="AP801" s="553"/>
      <c r="AQ801" s="553"/>
      <c r="AR801" s="552"/>
      <c r="AS801" s="552"/>
      <c r="AT801" s="552"/>
      <c r="AU801" s="552"/>
      <c r="AV801" s="552"/>
      <c r="AW801" s="552"/>
      <c r="AX801" s="553"/>
    </row>
    <row r="802" spans="1:51" ht="37.5" customHeight="1" x14ac:dyDescent="0.25">
      <c r="A802" s="61">
        <v>13</v>
      </c>
      <c r="B802" s="966" t="s">
        <v>1419</v>
      </c>
      <c r="C802" s="727"/>
      <c r="D802" s="728"/>
      <c r="E802" s="988" t="s">
        <v>200</v>
      </c>
      <c r="F802" s="727"/>
      <c r="G802" s="727"/>
      <c r="H802" s="727"/>
      <c r="I802" s="727"/>
      <c r="J802" s="727"/>
      <c r="K802" s="727"/>
      <c r="L802" s="727"/>
      <c r="M802" s="727"/>
      <c r="N802" s="727"/>
      <c r="O802" s="727"/>
      <c r="P802" s="727"/>
      <c r="Q802" s="727"/>
      <c r="R802" s="728"/>
      <c r="S802" s="303"/>
      <c r="T802" s="303"/>
      <c r="U802" s="303"/>
      <c r="V802" s="303"/>
      <c r="W802" s="303"/>
      <c r="X802" s="303"/>
      <c r="Y802" s="303"/>
      <c r="Z802" s="303"/>
      <c r="AA802" s="303"/>
      <c r="AB802" s="303"/>
      <c r="AC802" s="303"/>
      <c r="AD802" s="351"/>
      <c r="AE802" s="303"/>
      <c r="AF802" s="303"/>
      <c r="AG802" s="303"/>
      <c r="AH802" s="303"/>
      <c r="AI802" s="303"/>
      <c r="AJ802" s="552"/>
      <c r="AK802" s="552"/>
      <c r="AL802" s="552"/>
      <c r="AM802" s="552"/>
      <c r="AN802" s="552"/>
      <c r="AO802" s="552"/>
      <c r="AP802" s="553"/>
      <c r="AQ802" s="553"/>
      <c r="AR802" s="552"/>
      <c r="AS802" s="552"/>
      <c r="AT802" s="552"/>
      <c r="AU802" s="552"/>
      <c r="AV802" s="552"/>
      <c r="AW802" s="552"/>
      <c r="AX802" s="553"/>
    </row>
    <row r="803" spans="1:51" ht="74.25" customHeight="1" x14ac:dyDescent="0.25">
      <c r="A803" s="61">
        <v>14</v>
      </c>
      <c r="B803" s="966" t="s">
        <v>1420</v>
      </c>
      <c r="C803" s="727"/>
      <c r="D803" s="728"/>
      <c r="E803" s="988"/>
      <c r="F803" s="727"/>
      <c r="G803" s="727"/>
      <c r="H803" s="727"/>
      <c r="I803" s="727"/>
      <c r="J803" s="727"/>
      <c r="K803" s="727"/>
      <c r="L803" s="727"/>
      <c r="M803" s="727"/>
      <c r="N803" s="727"/>
      <c r="O803" s="727"/>
      <c r="P803" s="727"/>
      <c r="Q803" s="727"/>
      <c r="R803" s="728"/>
      <c r="S803" s="303"/>
      <c r="T803" s="303"/>
      <c r="U803" s="303"/>
      <c r="V803" s="303"/>
      <c r="W803" s="303"/>
      <c r="X803" s="303"/>
      <c r="Y803" s="303"/>
      <c r="Z803" s="303"/>
      <c r="AA803" s="303"/>
      <c r="AB803" s="303"/>
      <c r="AC803" s="303"/>
      <c r="AD803" s="351"/>
      <c r="AE803" s="303"/>
      <c r="AF803" s="303"/>
      <c r="AG803" s="303"/>
      <c r="AH803" s="303"/>
      <c r="AI803" s="303"/>
      <c r="AJ803" s="303"/>
      <c r="AK803" s="303"/>
      <c r="AL803" s="303"/>
      <c r="AM803" s="303"/>
      <c r="AN803" s="303"/>
      <c r="AO803" s="303"/>
      <c r="AP803" s="556"/>
      <c r="AQ803" s="556"/>
      <c r="AR803" s="303"/>
      <c r="AS803" s="303"/>
      <c r="AT803" s="303"/>
      <c r="AU803" s="303"/>
      <c r="AV803" s="303"/>
      <c r="AW803" s="303"/>
      <c r="AX803" s="556"/>
    </row>
    <row r="804" spans="1:51" ht="15.75" customHeight="1" x14ac:dyDescent="0.25">
      <c r="A804" s="177"/>
      <c r="B804" s="177"/>
      <c r="C804" s="1"/>
      <c r="D804" s="177"/>
      <c r="E804" s="177"/>
      <c r="F804" s="177"/>
      <c r="G804" s="1"/>
      <c r="H804" s="1"/>
      <c r="I804" s="1"/>
      <c r="J804" s="557"/>
      <c r="K804" s="549"/>
      <c r="L804" s="557"/>
      <c r="M804" s="557"/>
      <c r="N804" s="557"/>
      <c r="O804" s="557"/>
      <c r="P804" s="557"/>
      <c r="Q804" s="557"/>
      <c r="R804" s="557"/>
      <c r="S804" s="549"/>
      <c r="T804" s="1"/>
      <c r="U804" s="1"/>
      <c r="V804" s="1"/>
      <c r="W804" s="557"/>
      <c r="X804" s="549"/>
      <c r="Y804" s="549"/>
      <c r="Z804" s="549"/>
      <c r="AA804" s="549"/>
      <c r="AB804" s="549"/>
      <c r="AC804" s="549"/>
      <c r="AD804" s="549"/>
      <c r="AE804" s="549"/>
      <c r="AF804" s="549"/>
      <c r="AG804" s="1"/>
      <c r="AH804" s="1"/>
      <c r="AI804" s="1"/>
      <c r="AJ804" s="1"/>
      <c r="AK804" s="1"/>
      <c r="AL804" s="1"/>
      <c r="AM804" s="1"/>
      <c r="AN804" s="1"/>
      <c r="AO804" s="1"/>
      <c r="AP804" s="2"/>
      <c r="AQ804" s="2"/>
      <c r="AR804" s="1"/>
      <c r="AS804" s="1"/>
      <c r="AT804" s="1"/>
      <c r="AU804" s="1"/>
      <c r="AV804" s="1"/>
      <c r="AW804" s="1"/>
      <c r="AX804" s="2"/>
      <c r="AY804" s="549"/>
    </row>
    <row r="805" spans="1:51" ht="15.75" customHeight="1" x14ac:dyDescent="0.25">
      <c r="A805" s="177"/>
      <c r="B805" s="177"/>
      <c r="C805" s="1"/>
      <c r="D805" s="177"/>
      <c r="E805" s="177"/>
      <c r="F805" s="177"/>
      <c r="G805" s="1"/>
      <c r="H805" s="1"/>
      <c r="I805" s="1"/>
      <c r="J805" s="557"/>
      <c r="K805" s="549"/>
      <c r="L805" s="557"/>
      <c r="M805" s="557"/>
      <c r="N805" s="557"/>
      <c r="O805" s="557"/>
      <c r="P805" s="557"/>
      <c r="Q805" s="557"/>
      <c r="R805" s="557"/>
      <c r="S805" s="549"/>
      <c r="T805" s="1"/>
      <c r="U805" s="1"/>
      <c r="V805" s="1"/>
      <c r="W805" s="557"/>
      <c r="X805" s="549"/>
      <c r="Y805" s="549"/>
      <c r="Z805" s="549"/>
      <c r="AA805" s="549"/>
      <c r="AB805" s="549"/>
      <c r="AC805" s="549"/>
      <c r="AD805" s="549"/>
      <c r="AE805" s="549"/>
      <c r="AF805" s="549"/>
      <c r="AG805" s="1"/>
      <c r="AH805" s="1"/>
      <c r="AI805" s="1"/>
      <c r="AJ805" s="1"/>
      <c r="AK805" s="1"/>
      <c r="AL805" s="1"/>
      <c r="AM805" s="1"/>
      <c r="AN805" s="1"/>
      <c r="AO805" s="1"/>
      <c r="AP805" s="2"/>
      <c r="AQ805" s="2"/>
      <c r="AR805" s="1"/>
      <c r="AS805" s="1"/>
      <c r="AT805" s="1"/>
      <c r="AU805" s="1"/>
      <c r="AV805" s="1"/>
      <c r="AW805" s="1"/>
      <c r="AX805" s="2"/>
      <c r="AY805" s="549"/>
    </row>
    <row r="806" spans="1:51" ht="15.75" customHeight="1" x14ac:dyDescent="0.25">
      <c r="A806" s="177"/>
      <c r="B806" s="177"/>
      <c r="C806" s="1"/>
      <c r="D806" s="177"/>
      <c r="E806" s="107"/>
      <c r="F806" s="107"/>
      <c r="G806" s="171"/>
      <c r="H806" s="171"/>
      <c r="I806" s="171"/>
      <c r="J806" s="547"/>
      <c r="K806" s="548"/>
      <c r="L806" s="547"/>
      <c r="M806" s="547"/>
      <c r="N806" s="547"/>
      <c r="O806" s="547"/>
      <c r="P806" s="547"/>
      <c r="Q806" s="547"/>
      <c r="R806" s="547"/>
      <c r="S806" s="548"/>
      <c r="T806" s="171"/>
      <c r="U806" s="171"/>
      <c r="V806" s="171"/>
      <c r="W806" s="547"/>
      <c r="X806" s="548"/>
      <c r="Y806" s="548"/>
      <c r="Z806" s="548"/>
      <c r="AA806" s="548"/>
      <c r="AB806" s="548"/>
      <c r="AC806" s="548"/>
      <c r="AD806" s="549"/>
      <c r="AE806" s="549"/>
      <c r="AF806" s="549"/>
      <c r="AG806" s="1"/>
      <c r="AH806" s="1"/>
      <c r="AI806" s="1"/>
      <c r="AJ806" s="1"/>
      <c r="AK806" s="1"/>
      <c r="AL806" s="1"/>
      <c r="AM806" s="1"/>
      <c r="AN806" s="1"/>
      <c r="AO806" s="1"/>
      <c r="AP806" s="2"/>
      <c r="AQ806" s="2"/>
      <c r="AR806" s="1"/>
      <c r="AS806" s="1"/>
      <c r="AT806" s="1"/>
      <c r="AU806" s="1"/>
      <c r="AV806" s="1"/>
      <c r="AW806" s="1"/>
      <c r="AX806" s="2"/>
      <c r="AY806" s="549"/>
    </row>
    <row r="807" spans="1:51" ht="15.75" customHeight="1" x14ac:dyDescent="0.25">
      <c r="A807" s="177"/>
      <c r="B807" s="177"/>
      <c r="C807" s="1"/>
      <c r="D807" s="177"/>
      <c r="E807" s="194"/>
      <c r="F807" s="194"/>
      <c r="G807" s="195"/>
      <c r="H807" s="195"/>
      <c r="I807" s="195"/>
      <c r="J807" s="558"/>
      <c r="K807" s="559"/>
      <c r="L807" s="558"/>
      <c r="M807" s="558"/>
      <c r="N807" s="558"/>
      <c r="O807" s="558"/>
      <c r="P807" s="558"/>
      <c r="Q807" s="558"/>
      <c r="R807" s="557"/>
      <c r="S807" s="549"/>
      <c r="T807" s="1"/>
      <c r="U807" s="1"/>
      <c r="V807" s="1"/>
      <c r="W807" s="557"/>
      <c r="X807" s="549"/>
      <c r="Y807" s="549"/>
      <c r="Z807" s="549"/>
      <c r="AA807" s="549"/>
      <c r="AB807" s="549"/>
      <c r="AC807" s="549"/>
      <c r="AD807" s="549"/>
      <c r="AE807" s="549"/>
      <c r="AF807" s="549"/>
      <c r="AG807" s="1"/>
      <c r="AH807" s="1"/>
      <c r="AI807" s="1"/>
      <c r="AJ807" s="1"/>
      <c r="AK807" s="1"/>
      <c r="AL807" s="1"/>
      <c r="AM807" s="1"/>
      <c r="AN807" s="1"/>
      <c r="AO807" s="1"/>
      <c r="AP807" s="2"/>
      <c r="AQ807" s="2"/>
      <c r="AR807" s="1"/>
      <c r="AS807" s="1"/>
      <c r="AT807" s="1"/>
      <c r="AU807" s="1"/>
      <c r="AV807" s="1"/>
      <c r="AW807" s="1"/>
      <c r="AX807" s="2"/>
      <c r="AY807" s="549"/>
    </row>
    <row r="808" spans="1:51" ht="15.75" customHeight="1" x14ac:dyDescent="0.25">
      <c r="A808" s="177"/>
      <c r="B808" s="177"/>
      <c r="C808" s="1"/>
      <c r="D808" s="177"/>
      <c r="E808" s="177"/>
      <c r="F808" s="177"/>
      <c r="G808" s="1"/>
      <c r="H808" s="1"/>
      <c r="I808" s="1"/>
      <c r="J808" s="557"/>
      <c r="K808" s="549"/>
      <c r="L808" s="557"/>
      <c r="M808" s="557"/>
      <c r="N808" s="557"/>
      <c r="O808" s="557"/>
      <c r="P808" s="557"/>
      <c r="Q808" s="557"/>
      <c r="R808" s="557"/>
      <c r="S808" s="549"/>
      <c r="T808" s="1"/>
      <c r="U808" s="1"/>
      <c r="V808" s="1"/>
      <c r="W808" s="557"/>
      <c r="X808" s="549"/>
      <c r="Y808" s="549"/>
      <c r="Z808" s="549"/>
      <c r="AA808" s="549"/>
      <c r="AB808" s="549"/>
      <c r="AC808" s="549"/>
      <c r="AD808" s="560"/>
      <c r="AE808" s="549"/>
      <c r="AF808" s="549"/>
      <c r="AG808" s="1"/>
      <c r="AH808" s="1"/>
      <c r="AI808" s="1"/>
      <c r="AJ808" s="1"/>
      <c r="AK808" s="1"/>
      <c r="AL808" s="1"/>
      <c r="AM808" s="1"/>
      <c r="AN808" s="1"/>
      <c r="AO808" s="1"/>
      <c r="AP808" s="2"/>
      <c r="AQ808" s="2"/>
      <c r="AR808" s="1"/>
      <c r="AS808" s="1"/>
      <c r="AT808" s="1"/>
      <c r="AU808" s="1"/>
      <c r="AV808" s="1"/>
      <c r="AW808" s="1"/>
      <c r="AX808" s="2"/>
      <c r="AY808" s="549"/>
    </row>
    <row r="809" spans="1:51" ht="15.75" customHeight="1" x14ac:dyDescent="0.25">
      <c r="A809" s="177"/>
      <c r="B809" s="177"/>
      <c r="C809" s="1"/>
      <c r="D809" s="177"/>
      <c r="E809" s="107"/>
      <c r="F809" s="107"/>
      <c r="G809" s="171"/>
      <c r="H809" s="171"/>
      <c r="I809" s="171"/>
      <c r="J809" s="547"/>
      <c r="K809" s="548"/>
      <c r="L809" s="547"/>
      <c r="M809" s="547"/>
      <c r="N809" s="547"/>
      <c r="O809" s="547"/>
      <c r="P809" s="547"/>
      <c r="Q809" s="547"/>
      <c r="R809" s="547"/>
      <c r="S809" s="548"/>
      <c r="T809" s="171"/>
      <c r="U809" s="171"/>
      <c r="V809" s="171"/>
      <c r="W809" s="547"/>
      <c r="X809" s="548"/>
      <c r="Y809" s="548"/>
      <c r="Z809" s="548"/>
      <c r="AA809" s="548"/>
      <c r="AB809" s="548"/>
      <c r="AC809" s="548"/>
      <c r="AD809" s="549"/>
      <c r="AE809" s="549"/>
      <c r="AF809" s="549"/>
      <c r="AG809" s="1"/>
      <c r="AH809" s="1"/>
      <c r="AI809" s="1"/>
      <c r="AJ809" s="1"/>
      <c r="AK809" s="1"/>
      <c r="AL809" s="1"/>
      <c r="AM809" s="1"/>
      <c r="AN809" s="1"/>
      <c r="AO809" s="1"/>
      <c r="AP809" s="2"/>
      <c r="AQ809" s="2"/>
      <c r="AR809" s="1"/>
      <c r="AS809" s="1"/>
      <c r="AT809" s="1"/>
      <c r="AU809" s="1"/>
      <c r="AV809" s="1"/>
      <c r="AW809" s="1"/>
      <c r="AX809" s="2"/>
      <c r="AY809" s="549"/>
    </row>
    <row r="810" spans="1:51" ht="15.75" customHeight="1" x14ac:dyDescent="0.25">
      <c r="A810" s="177"/>
      <c r="B810" s="177"/>
      <c r="C810" s="1"/>
      <c r="D810" s="177"/>
      <c r="E810" s="177"/>
      <c r="F810" s="177"/>
      <c r="G810" s="1"/>
      <c r="H810" s="1"/>
      <c r="I810" s="1"/>
      <c r="J810" s="557"/>
      <c r="K810" s="549"/>
      <c r="L810" s="557"/>
      <c r="M810" s="557"/>
      <c r="N810" s="557"/>
      <c r="O810" s="557"/>
      <c r="P810" s="557"/>
      <c r="Q810" s="557"/>
      <c r="R810" s="557"/>
      <c r="S810" s="549"/>
      <c r="T810" s="1"/>
      <c r="U810" s="1"/>
      <c r="V810" s="1"/>
      <c r="W810" s="557"/>
      <c r="X810" s="549"/>
      <c r="Y810" s="549"/>
      <c r="Z810" s="549"/>
      <c r="AA810" s="549"/>
      <c r="AB810" s="549"/>
      <c r="AC810" s="549"/>
      <c r="AD810" s="549"/>
      <c r="AE810" s="549"/>
      <c r="AF810" s="549"/>
      <c r="AG810" s="1"/>
      <c r="AH810" s="1"/>
      <c r="AI810" s="1"/>
      <c r="AJ810" s="1"/>
      <c r="AK810" s="1"/>
      <c r="AL810" s="1"/>
      <c r="AM810" s="1"/>
      <c r="AN810" s="1"/>
      <c r="AO810" s="1"/>
      <c r="AP810" s="2"/>
      <c r="AQ810" s="2"/>
      <c r="AR810" s="1"/>
      <c r="AS810" s="1"/>
      <c r="AT810" s="1"/>
      <c r="AU810" s="1"/>
      <c r="AV810" s="1"/>
      <c r="AW810" s="1"/>
      <c r="AX810" s="2"/>
      <c r="AY810" s="549"/>
    </row>
    <row r="811" spans="1:51" ht="15.75" customHeight="1" x14ac:dyDescent="0.25">
      <c r="A811" s="177"/>
      <c r="B811" s="177"/>
      <c r="C811" s="1"/>
      <c r="D811" s="177"/>
      <c r="E811" s="177"/>
      <c r="F811" s="177"/>
      <c r="G811" s="1"/>
      <c r="H811" s="1"/>
      <c r="I811" s="1"/>
      <c r="J811" s="557"/>
      <c r="K811" s="549"/>
      <c r="L811" s="557"/>
      <c r="M811" s="557"/>
      <c r="N811" s="557"/>
      <c r="O811" s="557"/>
      <c r="P811" s="557"/>
      <c r="Q811" s="557"/>
      <c r="R811" s="557"/>
      <c r="S811" s="549"/>
      <c r="T811" s="1"/>
      <c r="U811" s="1"/>
      <c r="V811" s="1"/>
      <c r="W811" s="557"/>
      <c r="X811" s="549"/>
      <c r="Y811" s="549"/>
      <c r="Z811" s="549"/>
      <c r="AA811" s="549"/>
      <c r="AB811" s="549"/>
      <c r="AC811" s="549"/>
      <c r="AD811" s="549"/>
      <c r="AE811" s="549"/>
      <c r="AF811" s="549"/>
      <c r="AG811" s="1"/>
      <c r="AH811" s="1"/>
      <c r="AI811" s="1"/>
      <c r="AJ811" s="1"/>
      <c r="AK811" s="1"/>
      <c r="AL811" s="1"/>
      <c r="AM811" s="1"/>
      <c r="AN811" s="1"/>
      <c r="AO811" s="1"/>
      <c r="AP811" s="2"/>
      <c r="AQ811" s="2"/>
      <c r="AR811" s="1"/>
      <c r="AS811" s="1"/>
      <c r="AT811" s="1"/>
      <c r="AU811" s="1"/>
      <c r="AV811" s="1"/>
      <c r="AW811" s="1"/>
      <c r="AX811" s="2"/>
      <c r="AY811" s="549"/>
    </row>
    <row r="812" spans="1:51" ht="15.75" customHeight="1" x14ac:dyDescent="0.25">
      <c r="A812" s="177"/>
      <c r="B812" s="177"/>
      <c r="C812" s="1"/>
      <c r="D812" s="177"/>
      <c r="E812" s="177"/>
      <c r="F812" s="177"/>
      <c r="G812" s="1"/>
      <c r="H812" s="1"/>
      <c r="I812" s="1"/>
      <c r="J812" s="557"/>
      <c r="K812" s="549"/>
      <c r="L812" s="557"/>
      <c r="M812" s="557"/>
      <c r="N812" s="557"/>
      <c r="O812" s="557"/>
      <c r="P812" s="557"/>
      <c r="Q812" s="557"/>
      <c r="R812" s="557"/>
      <c r="S812" s="549"/>
      <c r="T812" s="1"/>
      <c r="U812" s="1"/>
      <c r="V812" s="1"/>
      <c r="W812" s="557"/>
      <c r="X812" s="549"/>
      <c r="Y812" s="549"/>
      <c r="Z812" s="549"/>
      <c r="AA812" s="549"/>
      <c r="AB812" s="549"/>
      <c r="AC812" s="549"/>
      <c r="AD812" s="549"/>
      <c r="AE812" s="549"/>
      <c r="AF812" s="549"/>
      <c r="AG812" s="1"/>
      <c r="AH812" s="1"/>
      <c r="AI812" s="1"/>
      <c r="AJ812" s="1"/>
      <c r="AK812" s="1"/>
      <c r="AL812" s="1"/>
      <c r="AM812" s="1"/>
      <c r="AN812" s="1"/>
      <c r="AO812" s="1"/>
      <c r="AP812" s="2"/>
      <c r="AQ812" s="2"/>
      <c r="AR812" s="1"/>
      <c r="AS812" s="1"/>
      <c r="AT812" s="1"/>
      <c r="AU812" s="1"/>
      <c r="AV812" s="1"/>
      <c r="AW812" s="1"/>
      <c r="AX812" s="2"/>
      <c r="AY812" s="549"/>
    </row>
    <row r="813" spans="1:51" ht="15.75" customHeight="1" x14ac:dyDescent="0.25">
      <c r="A813" s="177"/>
      <c r="B813" s="177"/>
      <c r="C813" s="1"/>
      <c r="D813" s="177"/>
      <c r="E813" s="177"/>
      <c r="F813" s="177"/>
      <c r="G813" s="1"/>
      <c r="H813" s="1"/>
      <c r="I813" s="1"/>
      <c r="J813" s="557"/>
      <c r="K813" s="549"/>
      <c r="L813" s="557"/>
      <c r="M813" s="557"/>
      <c r="N813" s="557"/>
      <c r="O813" s="557"/>
      <c r="P813" s="557"/>
      <c r="Q813" s="557"/>
      <c r="R813" s="557"/>
      <c r="S813" s="549"/>
      <c r="T813" s="1"/>
      <c r="U813" s="1"/>
      <c r="V813" s="1"/>
      <c r="W813" s="557"/>
      <c r="X813" s="549"/>
      <c r="Y813" s="549"/>
      <c r="Z813" s="549"/>
      <c r="AA813" s="549"/>
      <c r="AB813" s="549"/>
      <c r="AC813" s="549"/>
      <c r="AD813" s="549"/>
      <c r="AE813" s="549"/>
      <c r="AF813" s="549"/>
      <c r="AG813" s="1"/>
      <c r="AH813" s="1"/>
      <c r="AI813" s="1"/>
      <c r="AJ813" s="1"/>
      <c r="AK813" s="1"/>
      <c r="AL813" s="1"/>
      <c r="AM813" s="1"/>
      <c r="AN813" s="1"/>
      <c r="AO813" s="1"/>
      <c r="AP813" s="2"/>
      <c r="AQ813" s="2"/>
      <c r="AR813" s="1"/>
      <c r="AS813" s="1"/>
      <c r="AT813" s="1"/>
      <c r="AU813" s="1"/>
      <c r="AV813" s="1"/>
      <c r="AW813" s="1"/>
      <c r="AX813" s="2"/>
      <c r="AY813" s="549"/>
    </row>
    <row r="814" spans="1:51" ht="15.75" customHeight="1" x14ac:dyDescent="0.25">
      <c r="A814" s="177"/>
      <c r="B814" s="177"/>
      <c r="C814" s="1"/>
      <c r="D814" s="177"/>
      <c r="E814" s="177"/>
      <c r="F814" s="177"/>
      <c r="G814" s="1"/>
      <c r="H814" s="1"/>
      <c r="I814" s="1"/>
      <c r="J814" s="557"/>
      <c r="K814" s="549"/>
      <c r="L814" s="557"/>
      <c r="M814" s="557"/>
      <c r="N814" s="557"/>
      <c r="O814" s="557"/>
      <c r="P814" s="557"/>
      <c r="Q814" s="557"/>
      <c r="R814" s="557"/>
      <c r="S814" s="549"/>
      <c r="T814" s="1"/>
      <c r="U814" s="1"/>
      <c r="V814" s="1"/>
      <c r="W814" s="557"/>
      <c r="X814" s="549"/>
      <c r="Y814" s="549"/>
      <c r="Z814" s="549"/>
      <c r="AA814" s="549"/>
      <c r="AB814" s="549"/>
      <c r="AC814" s="549"/>
      <c r="AD814" s="549"/>
      <c r="AE814" s="549"/>
      <c r="AF814" s="549"/>
      <c r="AG814" s="1"/>
      <c r="AH814" s="1"/>
      <c r="AI814" s="1"/>
      <c r="AJ814" s="1"/>
      <c r="AK814" s="1"/>
      <c r="AL814" s="1"/>
      <c r="AM814" s="1"/>
      <c r="AN814" s="1"/>
      <c r="AO814" s="1"/>
      <c r="AP814" s="2"/>
      <c r="AQ814" s="2"/>
      <c r="AR814" s="1"/>
      <c r="AS814" s="1"/>
      <c r="AT814" s="1"/>
      <c r="AU814" s="1"/>
      <c r="AV814" s="1"/>
      <c r="AW814" s="1"/>
      <c r="AX814" s="2"/>
      <c r="AY814" s="549"/>
    </row>
    <row r="815" spans="1:51" ht="15.75" customHeight="1" x14ac:dyDescent="0.25">
      <c r="A815" s="177"/>
      <c r="B815" s="177"/>
      <c r="C815" s="1"/>
      <c r="D815" s="177"/>
      <c r="E815" s="177"/>
      <c r="F815" s="177"/>
      <c r="G815" s="1"/>
      <c r="H815" s="1"/>
      <c r="I815" s="1"/>
      <c r="J815" s="557"/>
      <c r="K815" s="549"/>
      <c r="L815" s="557"/>
      <c r="M815" s="557"/>
      <c r="N815" s="557"/>
      <c r="O815" s="557"/>
      <c r="P815" s="557"/>
      <c r="Q815" s="557"/>
      <c r="R815" s="557"/>
      <c r="S815" s="549"/>
      <c r="T815" s="1"/>
      <c r="U815" s="1"/>
      <c r="V815" s="1"/>
      <c r="W815" s="557"/>
      <c r="X815" s="549"/>
      <c r="Y815" s="549"/>
      <c r="Z815" s="549"/>
      <c r="AA815" s="549"/>
      <c r="AB815" s="549"/>
      <c r="AC815" s="549"/>
      <c r="AD815" s="549"/>
      <c r="AE815" s="549"/>
      <c r="AF815" s="549"/>
      <c r="AG815" s="1"/>
      <c r="AH815" s="1"/>
      <c r="AI815" s="1"/>
      <c r="AJ815" s="1"/>
      <c r="AK815" s="1"/>
      <c r="AL815" s="1"/>
      <c r="AM815" s="1"/>
      <c r="AN815" s="1"/>
      <c r="AO815" s="1"/>
      <c r="AP815" s="2"/>
      <c r="AQ815" s="2"/>
      <c r="AR815" s="1"/>
      <c r="AS815" s="1"/>
      <c r="AT815" s="1"/>
      <c r="AU815" s="1"/>
      <c r="AV815" s="1"/>
      <c r="AW815" s="1"/>
      <c r="AX815" s="2"/>
      <c r="AY815" s="549"/>
    </row>
    <row r="816" spans="1:51" ht="15.75" customHeight="1" x14ac:dyDescent="0.25">
      <c r="A816" s="177"/>
      <c r="B816" s="177"/>
      <c r="C816" s="1"/>
      <c r="D816" s="177"/>
      <c r="E816" s="177"/>
      <c r="F816" s="177"/>
      <c r="G816" s="1"/>
      <c r="H816" s="1"/>
      <c r="I816" s="1"/>
      <c r="J816" s="557"/>
      <c r="K816" s="549"/>
      <c r="L816" s="557"/>
      <c r="M816" s="557"/>
      <c r="N816" s="557"/>
      <c r="O816" s="557"/>
      <c r="P816" s="557"/>
      <c r="Q816" s="557"/>
      <c r="R816" s="557"/>
      <c r="S816" s="549"/>
      <c r="T816" s="1"/>
      <c r="U816" s="1"/>
      <c r="V816" s="1"/>
      <c r="W816" s="557"/>
      <c r="X816" s="549"/>
      <c r="Y816" s="549"/>
      <c r="Z816" s="549"/>
      <c r="AA816" s="549"/>
      <c r="AB816" s="549"/>
      <c r="AC816" s="549"/>
      <c r="AD816" s="549"/>
      <c r="AE816" s="549"/>
      <c r="AF816" s="549"/>
      <c r="AG816" s="1"/>
      <c r="AH816" s="1"/>
      <c r="AI816" s="1"/>
      <c r="AJ816" s="1"/>
      <c r="AK816" s="1"/>
      <c r="AL816" s="1"/>
      <c r="AM816" s="1"/>
      <c r="AN816" s="1"/>
      <c r="AO816" s="1"/>
      <c r="AP816" s="2"/>
      <c r="AQ816" s="2"/>
      <c r="AR816" s="1"/>
      <c r="AS816" s="1"/>
      <c r="AT816" s="1"/>
      <c r="AU816" s="1"/>
      <c r="AV816" s="1"/>
      <c r="AW816" s="1"/>
      <c r="AX816" s="2"/>
      <c r="AY816" s="549"/>
    </row>
    <row r="817" spans="3:51" ht="15.75" customHeight="1" x14ac:dyDescent="0.25">
      <c r="C817" s="1"/>
      <c r="G817" s="1"/>
      <c r="H817" s="1"/>
      <c r="I817" s="1"/>
      <c r="J817" s="557"/>
      <c r="K817" s="549"/>
      <c r="L817" s="557"/>
      <c r="M817" s="557"/>
      <c r="N817" s="557"/>
      <c r="O817" s="557"/>
      <c r="P817" s="557"/>
      <c r="Q817" s="557"/>
      <c r="R817" s="557"/>
      <c r="S817" s="549"/>
      <c r="T817" s="1"/>
      <c r="U817" s="1"/>
      <c r="V817" s="1"/>
      <c r="W817" s="557"/>
      <c r="X817" s="549"/>
      <c r="Y817" s="549"/>
      <c r="Z817" s="549"/>
      <c r="AA817" s="549"/>
      <c r="AB817" s="549"/>
      <c r="AC817" s="549"/>
      <c r="AD817" s="549"/>
      <c r="AE817" s="549"/>
      <c r="AF817" s="549"/>
      <c r="AG817" s="1"/>
      <c r="AH817" s="1"/>
      <c r="AI817" s="1"/>
      <c r="AJ817" s="1"/>
      <c r="AK817" s="1"/>
      <c r="AL817" s="1"/>
      <c r="AM817" s="1"/>
      <c r="AN817" s="1"/>
      <c r="AO817" s="1"/>
      <c r="AP817" s="2"/>
      <c r="AQ817" s="2"/>
      <c r="AR817" s="1"/>
      <c r="AS817" s="1"/>
      <c r="AT817" s="1"/>
      <c r="AU817" s="1"/>
      <c r="AV817" s="1"/>
      <c r="AW817" s="1"/>
      <c r="AX817" s="2"/>
      <c r="AY817" s="549"/>
    </row>
    <row r="818" spans="3:51" ht="15.75" customHeight="1" x14ac:dyDescent="0.25">
      <c r="C818" s="1"/>
      <c r="G818" s="1"/>
      <c r="H818" s="1"/>
      <c r="I818" s="1"/>
      <c r="J818" s="557"/>
      <c r="K818" s="549"/>
      <c r="L818" s="557"/>
      <c r="M818" s="557"/>
      <c r="N818" s="557"/>
      <c r="O818" s="557"/>
      <c r="P818" s="557"/>
      <c r="Q818" s="557"/>
      <c r="R818" s="557"/>
      <c r="S818" s="549"/>
      <c r="T818" s="1"/>
      <c r="U818" s="1"/>
      <c r="V818" s="1"/>
      <c r="W818" s="557"/>
      <c r="X818" s="549"/>
      <c r="Y818" s="549"/>
      <c r="Z818" s="549"/>
      <c r="AA818" s="549"/>
      <c r="AB818" s="549"/>
      <c r="AC818" s="549"/>
      <c r="AD818" s="549"/>
      <c r="AE818" s="549"/>
      <c r="AF818" s="549"/>
      <c r="AG818" s="1"/>
      <c r="AH818" s="1"/>
      <c r="AI818" s="1"/>
      <c r="AJ818" s="1"/>
      <c r="AK818" s="1"/>
      <c r="AL818" s="1"/>
      <c r="AM818" s="1"/>
      <c r="AN818" s="1"/>
      <c r="AO818" s="1"/>
      <c r="AP818" s="2"/>
      <c r="AQ818" s="2"/>
      <c r="AR818" s="1"/>
      <c r="AS818" s="1"/>
      <c r="AT818" s="1"/>
      <c r="AU818" s="1"/>
      <c r="AV818" s="1"/>
      <c r="AW818" s="1"/>
      <c r="AX818" s="2"/>
      <c r="AY818" s="549"/>
    </row>
    <row r="819" spans="3:51" ht="15.75" customHeight="1" x14ac:dyDescent="0.25">
      <c r="C819" s="1"/>
      <c r="G819" s="1"/>
      <c r="H819" s="1"/>
      <c r="I819" s="1"/>
      <c r="J819" s="557"/>
      <c r="K819" s="549"/>
      <c r="L819" s="557"/>
      <c r="M819" s="557"/>
      <c r="N819" s="557"/>
      <c r="O819" s="557"/>
      <c r="P819" s="557"/>
      <c r="Q819" s="557"/>
      <c r="R819" s="557"/>
      <c r="S819" s="549"/>
      <c r="T819" s="1"/>
      <c r="U819" s="1"/>
      <c r="V819" s="1"/>
      <c r="W819" s="557"/>
      <c r="X819" s="549"/>
      <c r="Y819" s="549"/>
      <c r="Z819" s="549"/>
      <c r="AA819" s="549"/>
      <c r="AB819" s="549"/>
      <c r="AC819" s="549"/>
      <c r="AD819" s="549"/>
      <c r="AE819" s="549"/>
      <c r="AF819" s="549"/>
      <c r="AG819" s="1"/>
      <c r="AH819" s="1"/>
      <c r="AI819" s="1"/>
      <c r="AJ819" s="1"/>
      <c r="AK819" s="1"/>
      <c r="AL819" s="1"/>
      <c r="AM819" s="1"/>
      <c r="AN819" s="1"/>
      <c r="AO819" s="1"/>
      <c r="AP819" s="2"/>
      <c r="AQ819" s="2"/>
      <c r="AR819" s="1"/>
      <c r="AS819" s="1"/>
      <c r="AT819" s="1"/>
      <c r="AU819" s="1"/>
      <c r="AV819" s="1"/>
      <c r="AW819" s="1"/>
      <c r="AX819" s="2"/>
      <c r="AY819" s="549"/>
    </row>
    <row r="820" spans="3:51" ht="15.75" customHeight="1" x14ac:dyDescent="0.25">
      <c r="C820" s="1"/>
      <c r="G820" s="1"/>
      <c r="H820" s="1"/>
      <c r="I820" s="1"/>
      <c r="J820" s="557"/>
      <c r="K820" s="549"/>
      <c r="L820" s="557"/>
      <c r="M820" s="557"/>
      <c r="N820" s="557"/>
      <c r="O820" s="557"/>
      <c r="P820" s="557"/>
      <c r="Q820" s="557"/>
      <c r="R820" s="557"/>
      <c r="S820" s="549"/>
      <c r="T820" s="1"/>
      <c r="U820" s="1"/>
      <c r="V820" s="1"/>
      <c r="W820" s="557"/>
      <c r="X820" s="549"/>
      <c r="Y820" s="549"/>
      <c r="Z820" s="549"/>
      <c r="AA820" s="549"/>
      <c r="AB820" s="549"/>
      <c r="AC820" s="549"/>
      <c r="AD820" s="549"/>
      <c r="AE820" s="549"/>
      <c r="AF820" s="549"/>
      <c r="AG820" s="1"/>
      <c r="AH820" s="1"/>
      <c r="AI820" s="1"/>
      <c r="AJ820" s="1"/>
      <c r="AK820" s="1"/>
      <c r="AL820" s="1"/>
      <c r="AM820" s="1"/>
      <c r="AN820" s="1"/>
      <c r="AO820" s="1"/>
      <c r="AP820" s="2"/>
      <c r="AQ820" s="2"/>
      <c r="AR820" s="1"/>
      <c r="AS820" s="1"/>
      <c r="AT820" s="1"/>
      <c r="AU820" s="1"/>
      <c r="AV820" s="1"/>
      <c r="AW820" s="1"/>
      <c r="AX820" s="2"/>
      <c r="AY820" s="549"/>
    </row>
    <row r="821" spans="3:51" ht="15.75" customHeight="1" x14ac:dyDescent="0.25">
      <c r="C821" s="1"/>
      <c r="G821" s="1"/>
      <c r="H821" s="1"/>
      <c r="I821" s="1"/>
      <c r="J821" s="557"/>
      <c r="K821" s="549"/>
      <c r="L821" s="557"/>
      <c r="M821" s="557"/>
      <c r="N821" s="557"/>
      <c r="O821" s="557"/>
      <c r="P821" s="557"/>
      <c r="Q821" s="557"/>
      <c r="R821" s="557"/>
      <c r="S821" s="549"/>
      <c r="T821" s="1"/>
      <c r="U821" s="1"/>
      <c r="V821" s="1"/>
      <c r="W821" s="557"/>
      <c r="X821" s="549"/>
      <c r="Y821" s="549"/>
      <c r="Z821" s="549"/>
      <c r="AA821" s="549"/>
      <c r="AB821" s="549"/>
      <c r="AC821" s="549"/>
      <c r="AD821" s="549"/>
      <c r="AE821" s="549"/>
      <c r="AF821" s="549"/>
      <c r="AG821" s="1"/>
      <c r="AH821" s="1"/>
      <c r="AI821" s="1"/>
      <c r="AJ821" s="1"/>
      <c r="AK821" s="1"/>
      <c r="AL821" s="1"/>
      <c r="AM821" s="1"/>
      <c r="AN821" s="1"/>
      <c r="AO821" s="1"/>
      <c r="AP821" s="2"/>
      <c r="AQ821" s="2"/>
      <c r="AR821" s="1"/>
      <c r="AS821" s="1"/>
      <c r="AT821" s="1"/>
      <c r="AU821" s="1"/>
      <c r="AV821" s="1"/>
      <c r="AW821" s="1"/>
      <c r="AX821" s="2"/>
      <c r="AY821" s="549"/>
    </row>
    <row r="822" spans="3:51" ht="15.75" customHeight="1" x14ac:dyDescent="0.25">
      <c r="C822" s="1"/>
      <c r="G822" s="1"/>
      <c r="H822" s="1"/>
      <c r="I822" s="1"/>
      <c r="J822" s="557"/>
      <c r="K822" s="549"/>
      <c r="L822" s="557"/>
      <c r="M822" s="557"/>
      <c r="N822" s="557"/>
      <c r="O822" s="557"/>
      <c r="P822" s="557"/>
      <c r="Q822" s="557"/>
      <c r="R822" s="557"/>
      <c r="S822" s="549"/>
      <c r="T822" s="1"/>
      <c r="U822" s="1"/>
      <c r="V822" s="1"/>
      <c r="W822" s="557"/>
      <c r="X822" s="549"/>
      <c r="Y822" s="549"/>
      <c r="Z822" s="549"/>
      <c r="AA822" s="549"/>
      <c r="AB822" s="549"/>
      <c r="AC822" s="549"/>
      <c r="AD822" s="549"/>
      <c r="AE822" s="549"/>
      <c r="AF822" s="549"/>
      <c r="AG822" s="1"/>
      <c r="AH822" s="1"/>
      <c r="AI822" s="1"/>
      <c r="AJ822" s="1"/>
      <c r="AK822" s="1"/>
      <c r="AL822" s="1"/>
      <c r="AM822" s="1"/>
      <c r="AN822" s="1"/>
      <c r="AO822" s="1"/>
      <c r="AP822" s="2"/>
      <c r="AQ822" s="2"/>
      <c r="AR822" s="1"/>
      <c r="AS822" s="1"/>
      <c r="AT822" s="1"/>
      <c r="AU822" s="1"/>
      <c r="AV822" s="1"/>
      <c r="AW822" s="1"/>
      <c r="AX822" s="2"/>
      <c r="AY822" s="549"/>
    </row>
    <row r="823" spans="3:51" ht="15.75" customHeight="1" x14ac:dyDescent="0.25">
      <c r="C823" s="1"/>
      <c r="G823" s="1"/>
      <c r="H823" s="1"/>
      <c r="I823" s="1"/>
      <c r="J823" s="557"/>
      <c r="K823" s="549"/>
      <c r="L823" s="557"/>
      <c r="M823" s="557"/>
      <c r="N823" s="557"/>
      <c r="O823" s="557"/>
      <c r="P823" s="557"/>
      <c r="Q823" s="557"/>
      <c r="R823" s="557"/>
      <c r="S823" s="549"/>
      <c r="T823" s="1"/>
      <c r="U823" s="1"/>
      <c r="V823" s="1"/>
      <c r="W823" s="557"/>
      <c r="X823" s="549"/>
      <c r="Y823" s="549"/>
      <c r="Z823" s="549"/>
      <c r="AA823" s="549"/>
      <c r="AB823" s="549"/>
      <c r="AC823" s="549"/>
      <c r="AD823" s="549"/>
      <c r="AE823" s="549"/>
      <c r="AF823" s="549"/>
      <c r="AG823" s="1"/>
      <c r="AH823" s="1"/>
      <c r="AI823" s="1"/>
      <c r="AJ823" s="1"/>
      <c r="AK823" s="1"/>
      <c r="AL823" s="1"/>
      <c r="AM823" s="1"/>
      <c r="AN823" s="1"/>
      <c r="AO823" s="1"/>
      <c r="AP823" s="2"/>
      <c r="AQ823" s="2"/>
      <c r="AR823" s="1"/>
      <c r="AS823" s="1"/>
      <c r="AT823" s="1"/>
      <c r="AU823" s="1"/>
      <c r="AV823" s="1"/>
      <c r="AW823" s="1"/>
      <c r="AX823" s="2"/>
      <c r="AY823" s="549"/>
    </row>
    <row r="824" spans="3:51" ht="15.75" customHeight="1" x14ac:dyDescent="0.25">
      <c r="C824" s="1"/>
      <c r="G824" s="1"/>
      <c r="H824" s="1"/>
      <c r="I824" s="1"/>
      <c r="J824" s="557"/>
      <c r="K824" s="549"/>
      <c r="L824" s="557"/>
      <c r="M824" s="557"/>
      <c r="N824" s="557"/>
      <c r="O824" s="557"/>
      <c r="P824" s="557"/>
      <c r="Q824" s="557"/>
      <c r="R824" s="557"/>
      <c r="S824" s="549"/>
      <c r="T824" s="1"/>
      <c r="U824" s="1"/>
      <c r="V824" s="1"/>
      <c r="W824" s="557"/>
      <c r="X824" s="549"/>
      <c r="Y824" s="549"/>
      <c r="Z824" s="549"/>
      <c r="AA824" s="549"/>
      <c r="AB824" s="549"/>
      <c r="AC824" s="549"/>
      <c r="AD824" s="549"/>
      <c r="AE824" s="549"/>
      <c r="AF824" s="549"/>
      <c r="AG824" s="1"/>
      <c r="AH824" s="1"/>
      <c r="AI824" s="1"/>
      <c r="AJ824" s="1"/>
      <c r="AK824" s="1"/>
      <c r="AL824" s="1"/>
      <c r="AM824" s="1"/>
      <c r="AN824" s="1"/>
      <c r="AO824" s="1"/>
      <c r="AP824" s="2"/>
      <c r="AQ824" s="2"/>
      <c r="AR824" s="1"/>
      <c r="AS824" s="1"/>
      <c r="AT824" s="1"/>
      <c r="AU824" s="1"/>
      <c r="AV824" s="1"/>
      <c r="AW824" s="1"/>
      <c r="AX824" s="2"/>
      <c r="AY824" s="549"/>
    </row>
    <row r="825" spans="3:51" ht="15.75" customHeight="1" x14ac:dyDescent="0.25">
      <c r="C825" s="1"/>
      <c r="G825" s="1"/>
      <c r="H825" s="1"/>
      <c r="I825" s="1"/>
      <c r="J825" s="557"/>
      <c r="K825" s="549"/>
      <c r="L825" s="557"/>
      <c r="M825" s="557"/>
      <c r="N825" s="557"/>
      <c r="O825" s="557"/>
      <c r="P825" s="557"/>
      <c r="Q825" s="557"/>
      <c r="R825" s="557"/>
      <c r="S825" s="549"/>
      <c r="T825" s="1"/>
      <c r="U825" s="1"/>
      <c r="V825" s="1"/>
      <c r="W825" s="557"/>
      <c r="X825" s="549"/>
      <c r="Y825" s="549"/>
      <c r="Z825" s="549"/>
      <c r="AA825" s="549"/>
      <c r="AB825" s="549"/>
      <c r="AC825" s="549"/>
      <c r="AD825" s="549"/>
      <c r="AE825" s="549"/>
      <c r="AF825" s="549"/>
      <c r="AG825" s="1"/>
      <c r="AH825" s="1"/>
      <c r="AI825" s="1"/>
      <c r="AJ825" s="1"/>
      <c r="AK825" s="1"/>
      <c r="AL825" s="1"/>
      <c r="AM825" s="1"/>
      <c r="AN825" s="1"/>
      <c r="AO825" s="1"/>
      <c r="AP825" s="2"/>
      <c r="AQ825" s="2"/>
      <c r="AR825" s="1"/>
      <c r="AS825" s="1"/>
      <c r="AT825" s="1"/>
      <c r="AU825" s="1"/>
      <c r="AV825" s="1"/>
      <c r="AW825" s="1"/>
      <c r="AX825" s="2"/>
      <c r="AY825" s="549"/>
    </row>
    <row r="826" spans="3:51" ht="15.75" customHeight="1" x14ac:dyDescent="0.25">
      <c r="C826" s="1"/>
      <c r="G826" s="1"/>
      <c r="H826" s="1"/>
      <c r="I826" s="1"/>
      <c r="J826" s="557"/>
      <c r="K826" s="549"/>
      <c r="L826" s="557"/>
      <c r="M826" s="557"/>
      <c r="N826" s="557"/>
      <c r="O826" s="557"/>
      <c r="P826" s="557"/>
      <c r="Q826" s="557"/>
      <c r="R826" s="557"/>
      <c r="S826" s="549"/>
      <c r="T826" s="1"/>
      <c r="U826" s="1"/>
      <c r="V826" s="1"/>
      <c r="W826" s="557"/>
      <c r="X826" s="549"/>
      <c r="Y826" s="549"/>
      <c r="Z826" s="549"/>
      <c r="AA826" s="549"/>
      <c r="AB826" s="549"/>
      <c r="AC826" s="549"/>
      <c r="AD826" s="549"/>
      <c r="AE826" s="549"/>
      <c r="AF826" s="549"/>
      <c r="AG826" s="1"/>
      <c r="AH826" s="1"/>
      <c r="AI826" s="1"/>
      <c r="AJ826" s="1"/>
      <c r="AK826" s="1"/>
      <c r="AL826" s="1"/>
      <c r="AM826" s="1"/>
      <c r="AN826" s="1"/>
      <c r="AO826" s="1"/>
      <c r="AP826" s="2"/>
      <c r="AQ826" s="2"/>
      <c r="AR826" s="1"/>
      <c r="AS826" s="1"/>
      <c r="AT826" s="1"/>
      <c r="AU826" s="1"/>
      <c r="AV826" s="1"/>
      <c r="AW826" s="1"/>
      <c r="AX826" s="2"/>
      <c r="AY826" s="549"/>
    </row>
    <row r="827" spans="3:51" ht="15.75" customHeight="1" x14ac:dyDescent="0.25">
      <c r="C827" s="1"/>
      <c r="G827" s="1"/>
      <c r="H827" s="1"/>
      <c r="I827" s="1"/>
      <c r="J827" s="557"/>
      <c r="K827" s="549"/>
      <c r="L827" s="557"/>
      <c r="M827" s="557"/>
      <c r="N827" s="557"/>
      <c r="O827" s="557"/>
      <c r="P827" s="557"/>
      <c r="Q827" s="557"/>
      <c r="R827" s="557"/>
      <c r="S827" s="549"/>
      <c r="T827" s="1"/>
      <c r="U827" s="1"/>
      <c r="V827" s="1"/>
      <c r="W827" s="557"/>
      <c r="X827" s="549"/>
      <c r="Y827" s="549"/>
      <c r="Z827" s="549"/>
      <c r="AA827" s="549"/>
      <c r="AB827" s="549"/>
      <c r="AC827" s="549"/>
      <c r="AD827" s="549"/>
      <c r="AE827" s="549"/>
      <c r="AF827" s="549"/>
      <c r="AG827" s="1"/>
      <c r="AH827" s="1"/>
      <c r="AI827" s="1"/>
      <c r="AJ827" s="1"/>
      <c r="AK827" s="1"/>
      <c r="AL827" s="1"/>
      <c r="AM827" s="1"/>
      <c r="AN827" s="1"/>
      <c r="AO827" s="1"/>
      <c r="AP827" s="2"/>
      <c r="AQ827" s="2"/>
      <c r="AR827" s="1"/>
      <c r="AS827" s="1"/>
      <c r="AT827" s="1"/>
      <c r="AU827" s="1"/>
      <c r="AV827" s="1"/>
      <c r="AW827" s="1"/>
      <c r="AX827" s="2"/>
      <c r="AY827" s="549"/>
    </row>
    <row r="828" spans="3:51" ht="15.75" customHeight="1" x14ac:dyDescent="0.25">
      <c r="C828" s="1"/>
      <c r="G828" s="1"/>
      <c r="H828" s="1"/>
      <c r="I828" s="1"/>
      <c r="J828" s="557"/>
      <c r="K828" s="549"/>
      <c r="L828" s="557"/>
      <c r="M828" s="557"/>
      <c r="N828" s="557"/>
      <c r="O828" s="557"/>
      <c r="P828" s="557"/>
      <c r="Q828" s="557"/>
      <c r="R828" s="557"/>
      <c r="S828" s="549"/>
      <c r="T828" s="1"/>
      <c r="U828" s="1"/>
      <c r="V828" s="1"/>
      <c r="W828" s="557"/>
      <c r="X828" s="549"/>
      <c r="Y828" s="549"/>
      <c r="Z828" s="549"/>
      <c r="AA828" s="549"/>
      <c r="AB828" s="549"/>
      <c r="AC828" s="549"/>
      <c r="AD828" s="549"/>
      <c r="AE828" s="549"/>
      <c r="AF828" s="549"/>
      <c r="AG828" s="1"/>
      <c r="AH828" s="1"/>
      <c r="AI828" s="1"/>
      <c r="AJ828" s="1"/>
      <c r="AK828" s="1"/>
      <c r="AL828" s="1"/>
      <c r="AM828" s="1"/>
      <c r="AN828" s="1"/>
      <c r="AO828" s="1"/>
      <c r="AP828" s="2"/>
      <c r="AQ828" s="2"/>
      <c r="AR828" s="1"/>
      <c r="AS828" s="1"/>
      <c r="AT828" s="1"/>
      <c r="AU828" s="1"/>
      <c r="AV828" s="1"/>
      <c r="AW828" s="1"/>
      <c r="AX828" s="2"/>
      <c r="AY828" s="549"/>
    </row>
    <row r="829" spans="3:51" ht="15.75" customHeight="1" x14ac:dyDescent="0.25">
      <c r="C829" s="1"/>
      <c r="G829" s="1"/>
      <c r="H829" s="1"/>
      <c r="I829" s="1"/>
      <c r="J829" s="557"/>
      <c r="K829" s="549"/>
      <c r="L829" s="557"/>
      <c r="M829" s="557"/>
      <c r="N829" s="557"/>
      <c r="O829" s="557"/>
      <c r="P829" s="557"/>
      <c r="Q829" s="557"/>
      <c r="R829" s="557"/>
      <c r="S829" s="549"/>
      <c r="T829" s="1"/>
      <c r="U829" s="1"/>
      <c r="V829" s="1"/>
      <c r="W829" s="557"/>
      <c r="X829" s="549"/>
      <c r="Y829" s="549"/>
      <c r="Z829" s="549"/>
      <c r="AA829" s="549"/>
      <c r="AB829" s="549"/>
      <c r="AC829" s="549"/>
      <c r="AD829" s="549"/>
      <c r="AE829" s="549"/>
      <c r="AF829" s="549"/>
      <c r="AG829" s="1"/>
      <c r="AH829" s="1"/>
      <c r="AI829" s="1"/>
      <c r="AJ829" s="1"/>
      <c r="AK829" s="1"/>
      <c r="AL829" s="1"/>
      <c r="AM829" s="1"/>
      <c r="AN829" s="1"/>
      <c r="AO829" s="1"/>
      <c r="AP829" s="2"/>
      <c r="AQ829" s="2"/>
      <c r="AR829" s="1"/>
      <c r="AS829" s="1"/>
      <c r="AT829" s="1"/>
      <c r="AU829" s="1"/>
      <c r="AV829" s="1"/>
      <c r="AW829" s="1"/>
      <c r="AX829" s="2"/>
      <c r="AY829" s="549"/>
    </row>
    <row r="830" spans="3:51" ht="15.75" customHeight="1" x14ac:dyDescent="0.25">
      <c r="C830" s="1"/>
      <c r="G830" s="1"/>
      <c r="H830" s="1"/>
      <c r="I830" s="1"/>
      <c r="J830" s="557"/>
      <c r="K830" s="549"/>
      <c r="L830" s="557"/>
      <c r="M830" s="557"/>
      <c r="N830" s="557"/>
      <c r="O830" s="557"/>
      <c r="P830" s="557"/>
      <c r="Q830" s="557"/>
      <c r="R830" s="557"/>
      <c r="S830" s="549"/>
      <c r="T830" s="1"/>
      <c r="U830" s="1"/>
      <c r="V830" s="1"/>
      <c r="W830" s="557"/>
      <c r="X830" s="549"/>
      <c r="Y830" s="549"/>
      <c r="Z830" s="549"/>
      <c r="AA830" s="549"/>
      <c r="AB830" s="549"/>
      <c r="AC830" s="549"/>
      <c r="AD830" s="549"/>
      <c r="AE830" s="549"/>
      <c r="AF830" s="549"/>
      <c r="AG830" s="1"/>
      <c r="AH830" s="1"/>
      <c r="AI830" s="1"/>
      <c r="AJ830" s="1"/>
      <c r="AK830" s="1"/>
      <c r="AL830" s="1"/>
      <c r="AM830" s="1"/>
      <c r="AN830" s="1"/>
      <c r="AO830" s="1"/>
      <c r="AP830" s="2"/>
      <c r="AQ830" s="2"/>
      <c r="AR830" s="1"/>
      <c r="AS830" s="1"/>
      <c r="AT830" s="1"/>
      <c r="AU830" s="1"/>
      <c r="AV830" s="1"/>
      <c r="AW830" s="1"/>
      <c r="AX830" s="2"/>
      <c r="AY830" s="549"/>
    </row>
    <row r="831" spans="3:51" ht="15.75" customHeight="1" x14ac:dyDescent="0.25">
      <c r="C831" s="1"/>
      <c r="G831" s="1"/>
      <c r="H831" s="1"/>
      <c r="I831" s="1"/>
      <c r="J831" s="557"/>
      <c r="K831" s="549"/>
      <c r="L831" s="557"/>
      <c r="M831" s="557"/>
      <c r="N831" s="557"/>
      <c r="O831" s="557"/>
      <c r="P831" s="557"/>
      <c r="Q831" s="557"/>
      <c r="R831" s="557"/>
      <c r="S831" s="549"/>
      <c r="T831" s="1"/>
      <c r="U831" s="1"/>
      <c r="V831" s="1"/>
      <c r="W831" s="557"/>
      <c r="X831" s="549"/>
      <c r="Y831" s="549"/>
      <c r="Z831" s="549"/>
      <c r="AA831" s="549"/>
      <c r="AB831" s="549"/>
      <c r="AC831" s="549"/>
      <c r="AD831" s="549"/>
      <c r="AE831" s="549"/>
      <c r="AF831" s="549"/>
      <c r="AG831" s="1"/>
      <c r="AH831" s="1"/>
      <c r="AI831" s="1"/>
      <c r="AJ831" s="1"/>
      <c r="AK831" s="1"/>
      <c r="AL831" s="1"/>
      <c r="AM831" s="1"/>
      <c r="AN831" s="1"/>
      <c r="AO831" s="1"/>
      <c r="AP831" s="2"/>
      <c r="AQ831" s="2"/>
      <c r="AR831" s="1"/>
      <c r="AS831" s="1"/>
      <c r="AT831" s="1"/>
      <c r="AU831" s="1"/>
      <c r="AV831" s="1"/>
      <c r="AW831" s="1"/>
      <c r="AX831" s="2"/>
      <c r="AY831" s="549"/>
    </row>
    <row r="832" spans="3:51" ht="15.75" customHeight="1" x14ac:dyDescent="0.25">
      <c r="C832" s="1"/>
      <c r="G832" s="1"/>
      <c r="H832" s="1"/>
      <c r="I832" s="1"/>
      <c r="J832" s="557"/>
      <c r="K832" s="549"/>
      <c r="L832" s="557"/>
      <c r="M832" s="557"/>
      <c r="N832" s="557"/>
      <c r="O832" s="557"/>
      <c r="P832" s="557"/>
      <c r="Q832" s="557"/>
      <c r="R832" s="557"/>
      <c r="S832" s="549"/>
      <c r="T832" s="1"/>
      <c r="U832" s="1"/>
      <c r="V832" s="1"/>
      <c r="W832" s="557"/>
      <c r="X832" s="549"/>
      <c r="Y832" s="549"/>
      <c r="Z832" s="549"/>
      <c r="AA832" s="549"/>
      <c r="AB832" s="549"/>
      <c r="AC832" s="549"/>
      <c r="AD832" s="549"/>
      <c r="AE832" s="549"/>
      <c r="AF832" s="549"/>
      <c r="AG832" s="1"/>
      <c r="AH832" s="1"/>
      <c r="AI832" s="1"/>
      <c r="AJ832" s="1"/>
      <c r="AK832" s="1"/>
      <c r="AL832" s="1"/>
      <c r="AM832" s="1"/>
      <c r="AN832" s="1"/>
      <c r="AO832" s="1"/>
      <c r="AP832" s="2"/>
      <c r="AQ832" s="2"/>
      <c r="AR832" s="1"/>
      <c r="AS832" s="1"/>
      <c r="AT832" s="1"/>
      <c r="AU832" s="1"/>
      <c r="AV832" s="1"/>
      <c r="AW832" s="1"/>
      <c r="AX832" s="2"/>
      <c r="AY832" s="549"/>
    </row>
    <row r="833" spans="3:51" ht="15.75" customHeight="1" x14ac:dyDescent="0.25">
      <c r="C833" s="1"/>
      <c r="G833" s="1"/>
      <c r="H833" s="1"/>
      <c r="I833" s="1"/>
      <c r="J833" s="557"/>
      <c r="K833" s="549"/>
      <c r="L833" s="557"/>
      <c r="M833" s="557"/>
      <c r="N833" s="557"/>
      <c r="O833" s="557"/>
      <c r="P833" s="557"/>
      <c r="Q833" s="557"/>
      <c r="R833" s="557"/>
      <c r="S833" s="549"/>
      <c r="T833" s="1"/>
      <c r="U833" s="1"/>
      <c r="V833" s="1"/>
      <c r="W833" s="557"/>
      <c r="X833" s="549"/>
      <c r="Y833" s="549"/>
      <c r="Z833" s="549"/>
      <c r="AA833" s="549"/>
      <c r="AB833" s="549"/>
      <c r="AC833" s="549"/>
      <c r="AD833" s="549"/>
      <c r="AE833" s="549"/>
      <c r="AF833" s="549"/>
      <c r="AG833" s="1"/>
      <c r="AH833" s="1"/>
      <c r="AI833" s="1"/>
      <c r="AJ833" s="1"/>
      <c r="AK833" s="1"/>
      <c r="AL833" s="1"/>
      <c r="AM833" s="1"/>
      <c r="AN833" s="1"/>
      <c r="AO833" s="1"/>
      <c r="AP833" s="2"/>
      <c r="AQ833" s="2"/>
      <c r="AR833" s="1"/>
      <c r="AS833" s="1"/>
      <c r="AT833" s="1"/>
      <c r="AU833" s="1"/>
      <c r="AV833" s="1"/>
      <c r="AW833" s="1"/>
      <c r="AX833" s="2"/>
      <c r="AY833" s="549"/>
    </row>
    <row r="834" spans="3:51" ht="15.75" customHeight="1" x14ac:dyDescent="0.25">
      <c r="C834" s="1"/>
      <c r="G834" s="1"/>
      <c r="H834" s="1"/>
      <c r="I834" s="1"/>
      <c r="J834" s="557"/>
      <c r="K834" s="549"/>
      <c r="L834" s="557"/>
      <c r="M834" s="557"/>
      <c r="N834" s="557"/>
      <c r="O834" s="557"/>
      <c r="P834" s="557"/>
      <c r="Q834" s="557"/>
      <c r="R834" s="557"/>
      <c r="S834" s="549"/>
      <c r="T834" s="1"/>
      <c r="U834" s="1"/>
      <c r="V834" s="1"/>
      <c r="W834" s="557"/>
      <c r="X834" s="549"/>
      <c r="Y834" s="549"/>
      <c r="Z834" s="549"/>
      <c r="AA834" s="549"/>
      <c r="AB834" s="549"/>
      <c r="AC834" s="549"/>
      <c r="AD834" s="549"/>
      <c r="AE834" s="549"/>
      <c r="AF834" s="549"/>
      <c r="AG834" s="1"/>
      <c r="AH834" s="1"/>
      <c r="AI834" s="1"/>
      <c r="AJ834" s="1"/>
      <c r="AK834" s="1"/>
      <c r="AL834" s="1"/>
      <c r="AM834" s="1"/>
      <c r="AN834" s="1"/>
      <c r="AO834" s="1"/>
      <c r="AP834" s="2"/>
      <c r="AQ834" s="2"/>
      <c r="AR834" s="1"/>
      <c r="AS834" s="1"/>
      <c r="AT834" s="1"/>
      <c r="AU834" s="1"/>
      <c r="AV834" s="1"/>
      <c r="AW834" s="1"/>
      <c r="AX834" s="2"/>
      <c r="AY834" s="549"/>
    </row>
    <row r="835" spans="3:51" ht="15.75" customHeight="1" x14ac:dyDescent="0.25">
      <c r="C835" s="1"/>
      <c r="G835" s="1"/>
      <c r="H835" s="1"/>
      <c r="I835" s="1"/>
      <c r="J835" s="557"/>
      <c r="K835" s="549"/>
      <c r="L835" s="557"/>
      <c r="M835" s="557"/>
      <c r="N835" s="557"/>
      <c r="O835" s="557"/>
      <c r="P835" s="557"/>
      <c r="Q835" s="557"/>
      <c r="R835" s="557"/>
      <c r="S835" s="549"/>
      <c r="T835" s="1"/>
      <c r="U835" s="1"/>
      <c r="V835" s="1"/>
      <c r="W835" s="557"/>
      <c r="X835" s="549"/>
      <c r="Y835" s="549"/>
      <c r="Z835" s="549"/>
      <c r="AA835" s="549"/>
      <c r="AB835" s="549"/>
      <c r="AC835" s="549"/>
      <c r="AD835" s="549"/>
      <c r="AE835" s="549"/>
      <c r="AF835" s="549"/>
      <c r="AG835" s="1"/>
      <c r="AH835" s="1"/>
      <c r="AI835" s="1"/>
      <c r="AJ835" s="1"/>
      <c r="AK835" s="1"/>
      <c r="AL835" s="1"/>
      <c r="AM835" s="1"/>
      <c r="AN835" s="1"/>
      <c r="AO835" s="1"/>
      <c r="AP835" s="2"/>
      <c r="AQ835" s="2"/>
      <c r="AR835" s="1"/>
      <c r="AS835" s="1"/>
      <c r="AT835" s="1"/>
      <c r="AU835" s="1"/>
      <c r="AV835" s="1"/>
      <c r="AW835" s="1"/>
      <c r="AX835" s="2"/>
      <c r="AY835" s="549"/>
    </row>
    <row r="836" spans="3:51" ht="15.75" customHeight="1" x14ac:dyDescent="0.25">
      <c r="C836" s="1"/>
      <c r="G836" s="1"/>
      <c r="H836" s="1"/>
      <c r="I836" s="1"/>
      <c r="J836" s="557"/>
      <c r="K836" s="549"/>
      <c r="L836" s="557"/>
      <c r="M836" s="557"/>
      <c r="N836" s="557"/>
      <c r="O836" s="557"/>
      <c r="P836" s="557"/>
      <c r="Q836" s="557"/>
      <c r="R836" s="557"/>
      <c r="S836" s="549"/>
      <c r="T836" s="1"/>
      <c r="U836" s="1"/>
      <c r="V836" s="1"/>
      <c r="W836" s="557"/>
      <c r="X836" s="549"/>
      <c r="Y836" s="549"/>
      <c r="Z836" s="549"/>
      <c r="AA836" s="549"/>
      <c r="AB836" s="549"/>
      <c r="AC836" s="549"/>
      <c r="AD836" s="549"/>
      <c r="AE836" s="549"/>
      <c r="AF836" s="549"/>
      <c r="AG836" s="1"/>
      <c r="AH836" s="1"/>
      <c r="AI836" s="1"/>
      <c r="AJ836" s="1"/>
      <c r="AK836" s="1"/>
      <c r="AL836" s="1"/>
      <c r="AM836" s="1"/>
      <c r="AN836" s="1"/>
      <c r="AO836" s="1"/>
      <c r="AP836" s="2"/>
      <c r="AQ836" s="2"/>
      <c r="AR836" s="1"/>
      <c r="AS836" s="1"/>
      <c r="AT836" s="1"/>
      <c r="AU836" s="1"/>
      <c r="AV836" s="1"/>
      <c r="AW836" s="1"/>
      <c r="AX836" s="2"/>
      <c r="AY836" s="549"/>
    </row>
    <row r="837" spans="3:51" ht="15.75" customHeight="1" x14ac:dyDescent="0.25">
      <c r="C837" s="1"/>
      <c r="G837" s="1"/>
      <c r="H837" s="1"/>
      <c r="I837" s="1"/>
      <c r="J837" s="557"/>
      <c r="K837" s="549"/>
      <c r="L837" s="557"/>
      <c r="M837" s="557"/>
      <c r="N837" s="557"/>
      <c r="O837" s="557"/>
      <c r="P837" s="557"/>
      <c r="Q837" s="557"/>
      <c r="R837" s="557"/>
      <c r="S837" s="549"/>
      <c r="T837" s="1"/>
      <c r="U837" s="1"/>
      <c r="V837" s="1"/>
      <c r="W837" s="557"/>
      <c r="X837" s="549"/>
      <c r="Y837" s="549"/>
      <c r="Z837" s="549"/>
      <c r="AA837" s="549"/>
      <c r="AB837" s="549"/>
      <c r="AC837" s="549"/>
      <c r="AD837" s="549"/>
      <c r="AE837" s="549"/>
      <c r="AF837" s="549"/>
      <c r="AG837" s="1"/>
      <c r="AH837" s="1"/>
      <c r="AI837" s="1"/>
      <c r="AJ837" s="1"/>
      <c r="AK837" s="1"/>
      <c r="AL837" s="1"/>
      <c r="AM837" s="1"/>
      <c r="AN837" s="1"/>
      <c r="AO837" s="1"/>
      <c r="AP837" s="2"/>
      <c r="AQ837" s="2"/>
      <c r="AR837" s="1"/>
      <c r="AS837" s="1"/>
      <c r="AT837" s="1"/>
      <c r="AU837" s="1"/>
      <c r="AV837" s="1"/>
      <c r="AW837" s="1"/>
      <c r="AX837" s="2"/>
      <c r="AY837" s="549"/>
    </row>
    <row r="838" spans="3:51" ht="15.75" customHeight="1" x14ac:dyDescent="0.25">
      <c r="C838" s="1"/>
      <c r="G838" s="1"/>
      <c r="H838" s="1"/>
      <c r="I838" s="1"/>
      <c r="J838" s="557"/>
      <c r="K838" s="549"/>
      <c r="L838" s="557"/>
      <c r="M838" s="557"/>
      <c r="N838" s="557"/>
      <c r="O838" s="557"/>
      <c r="P838" s="557"/>
      <c r="Q838" s="557"/>
      <c r="R838" s="557"/>
      <c r="S838" s="549"/>
      <c r="T838" s="1"/>
      <c r="U838" s="1"/>
      <c r="V838" s="1"/>
      <c r="W838" s="557"/>
      <c r="X838" s="549"/>
      <c r="Y838" s="549"/>
      <c r="Z838" s="549"/>
      <c r="AA838" s="549"/>
      <c r="AB838" s="549"/>
      <c r="AC838" s="549"/>
      <c r="AD838" s="549"/>
      <c r="AE838" s="549"/>
      <c r="AF838" s="549"/>
      <c r="AG838" s="1"/>
      <c r="AH838" s="1"/>
      <c r="AI838" s="1"/>
      <c r="AJ838" s="1"/>
      <c r="AK838" s="1"/>
      <c r="AL838" s="1"/>
      <c r="AM838" s="1"/>
      <c r="AN838" s="1"/>
      <c r="AO838" s="1"/>
      <c r="AP838" s="2"/>
      <c r="AQ838" s="2"/>
      <c r="AR838" s="1"/>
      <c r="AS838" s="1"/>
      <c r="AT838" s="1"/>
      <c r="AU838" s="1"/>
      <c r="AV838" s="1"/>
      <c r="AW838" s="1"/>
      <c r="AX838" s="2"/>
      <c r="AY838" s="549"/>
    </row>
    <row r="839" spans="3:51" ht="15.75" customHeight="1" x14ac:dyDescent="0.25">
      <c r="C839" s="1"/>
      <c r="G839" s="1"/>
      <c r="H839" s="1"/>
      <c r="I839" s="1"/>
      <c r="J839" s="557"/>
      <c r="K839" s="549"/>
      <c r="L839" s="557"/>
      <c r="M839" s="557"/>
      <c r="N839" s="557"/>
      <c r="O839" s="557"/>
      <c r="P839" s="557"/>
      <c r="Q839" s="557"/>
      <c r="R839" s="557"/>
      <c r="S839" s="549"/>
      <c r="T839" s="1"/>
      <c r="U839" s="1"/>
      <c r="V839" s="1"/>
      <c r="W839" s="557"/>
      <c r="X839" s="549"/>
      <c r="Y839" s="549"/>
      <c r="Z839" s="549"/>
      <c r="AA839" s="549"/>
      <c r="AB839" s="549"/>
      <c r="AC839" s="549"/>
      <c r="AD839" s="549"/>
      <c r="AE839" s="549"/>
      <c r="AF839" s="549"/>
      <c r="AG839" s="1"/>
      <c r="AH839" s="1"/>
      <c r="AI839" s="1"/>
      <c r="AJ839" s="1"/>
      <c r="AK839" s="1"/>
      <c r="AL839" s="1"/>
      <c r="AM839" s="1"/>
      <c r="AN839" s="1"/>
      <c r="AO839" s="1"/>
      <c r="AP839" s="2"/>
      <c r="AQ839" s="2"/>
      <c r="AR839" s="1"/>
      <c r="AS839" s="1"/>
      <c r="AT839" s="1"/>
      <c r="AU839" s="1"/>
      <c r="AV839" s="1"/>
      <c r="AW839" s="1"/>
      <c r="AX839" s="2"/>
      <c r="AY839" s="549"/>
    </row>
    <row r="840" spans="3:51" ht="15.75" customHeight="1" x14ac:dyDescent="0.25">
      <c r="C840" s="1"/>
      <c r="G840" s="1"/>
      <c r="H840" s="1"/>
      <c r="I840" s="1"/>
      <c r="J840" s="557"/>
      <c r="K840" s="549"/>
      <c r="L840" s="557"/>
      <c r="M840" s="557"/>
      <c r="N840" s="557"/>
      <c r="O840" s="557"/>
      <c r="P840" s="557"/>
      <c r="Q840" s="557"/>
      <c r="R840" s="557"/>
      <c r="S840" s="549"/>
      <c r="T840" s="1"/>
      <c r="U840" s="1"/>
      <c r="V840" s="1"/>
      <c r="W840" s="557"/>
      <c r="X840" s="549"/>
      <c r="Y840" s="549"/>
      <c r="Z840" s="549"/>
      <c r="AA840" s="549"/>
      <c r="AB840" s="549"/>
      <c r="AC840" s="549"/>
      <c r="AD840" s="549"/>
      <c r="AE840" s="549"/>
      <c r="AF840" s="549"/>
      <c r="AG840" s="1"/>
      <c r="AH840" s="1"/>
      <c r="AI840" s="1"/>
      <c r="AJ840" s="1"/>
      <c r="AK840" s="1"/>
      <c r="AL840" s="1"/>
      <c r="AM840" s="1"/>
      <c r="AN840" s="1"/>
      <c r="AO840" s="1"/>
      <c r="AP840" s="2"/>
      <c r="AQ840" s="2"/>
      <c r="AR840" s="1"/>
      <c r="AS840" s="1"/>
      <c r="AT840" s="1"/>
      <c r="AU840" s="1"/>
      <c r="AV840" s="1"/>
      <c r="AW840" s="1"/>
      <c r="AX840" s="2"/>
      <c r="AY840" s="549"/>
    </row>
    <row r="841" spans="3:51" ht="15.75" customHeight="1" x14ac:dyDescent="0.25">
      <c r="C841" s="1"/>
      <c r="G841" s="1"/>
      <c r="H841" s="1"/>
      <c r="I841" s="1"/>
      <c r="J841" s="557"/>
      <c r="K841" s="549"/>
      <c r="L841" s="557"/>
      <c r="M841" s="557"/>
      <c r="N841" s="557"/>
      <c r="O841" s="557"/>
      <c r="P841" s="557"/>
      <c r="Q841" s="557"/>
      <c r="R841" s="557"/>
      <c r="S841" s="549"/>
      <c r="T841" s="1"/>
      <c r="U841" s="1"/>
      <c r="V841" s="1"/>
      <c r="W841" s="557"/>
      <c r="X841" s="549"/>
      <c r="Y841" s="549"/>
      <c r="Z841" s="549"/>
      <c r="AA841" s="549"/>
      <c r="AB841" s="549"/>
      <c r="AC841" s="549"/>
      <c r="AD841" s="549"/>
      <c r="AE841" s="549"/>
      <c r="AF841" s="549"/>
      <c r="AG841" s="1"/>
      <c r="AH841" s="1"/>
      <c r="AI841" s="1"/>
      <c r="AJ841" s="1"/>
      <c r="AK841" s="1"/>
      <c r="AL841" s="1"/>
      <c r="AM841" s="1"/>
      <c r="AN841" s="1"/>
      <c r="AO841" s="1"/>
      <c r="AP841" s="2"/>
      <c r="AQ841" s="2"/>
      <c r="AR841" s="1"/>
      <c r="AS841" s="1"/>
      <c r="AT841" s="1"/>
      <c r="AU841" s="1"/>
      <c r="AV841" s="1"/>
      <c r="AW841" s="1"/>
      <c r="AX841" s="2"/>
      <c r="AY841" s="549"/>
    </row>
    <row r="842" spans="3:51" ht="15.75" customHeight="1" x14ac:dyDescent="0.25">
      <c r="C842" s="1"/>
      <c r="G842" s="1"/>
      <c r="H842" s="1"/>
      <c r="I842" s="1"/>
      <c r="J842" s="557"/>
      <c r="K842" s="549"/>
      <c r="L842" s="557"/>
      <c r="M842" s="557"/>
      <c r="N842" s="557"/>
      <c r="O842" s="557"/>
      <c r="P842" s="557"/>
      <c r="Q842" s="557"/>
      <c r="R842" s="557"/>
      <c r="S842" s="549"/>
      <c r="T842" s="1"/>
      <c r="U842" s="1"/>
      <c r="V842" s="1"/>
      <c r="W842" s="557"/>
      <c r="X842" s="549"/>
      <c r="Y842" s="549"/>
      <c r="Z842" s="549"/>
      <c r="AA842" s="549"/>
      <c r="AB842" s="549"/>
      <c r="AC842" s="549"/>
      <c r="AD842" s="549"/>
      <c r="AE842" s="549"/>
      <c r="AF842" s="549"/>
      <c r="AG842" s="1"/>
      <c r="AH842" s="1"/>
      <c r="AI842" s="1"/>
      <c r="AJ842" s="1"/>
      <c r="AK842" s="1"/>
      <c r="AL842" s="1"/>
      <c r="AM842" s="1"/>
      <c r="AN842" s="1"/>
      <c r="AO842" s="1"/>
      <c r="AP842" s="2"/>
      <c r="AQ842" s="2"/>
      <c r="AR842" s="1"/>
      <c r="AS842" s="1"/>
      <c r="AT842" s="1"/>
      <c r="AU842" s="1"/>
      <c r="AV842" s="1"/>
      <c r="AW842" s="1"/>
      <c r="AX842" s="2"/>
      <c r="AY842" s="549"/>
    </row>
    <row r="843" spans="3:51" ht="15.75" customHeight="1" x14ac:dyDescent="0.25">
      <c r="C843" s="1"/>
      <c r="G843" s="1"/>
      <c r="H843" s="1"/>
      <c r="I843" s="1"/>
      <c r="J843" s="557"/>
      <c r="K843" s="549"/>
      <c r="L843" s="557"/>
      <c r="M843" s="557"/>
      <c r="N843" s="557"/>
      <c r="O843" s="557"/>
      <c r="P843" s="557"/>
      <c r="Q843" s="557"/>
      <c r="R843" s="557"/>
      <c r="S843" s="549"/>
      <c r="T843" s="1"/>
      <c r="U843" s="1"/>
      <c r="V843" s="1"/>
      <c r="W843" s="557"/>
      <c r="X843" s="549"/>
      <c r="Y843" s="549"/>
      <c r="Z843" s="549"/>
      <c r="AA843" s="549"/>
      <c r="AB843" s="549"/>
      <c r="AC843" s="549"/>
      <c r="AD843" s="549"/>
      <c r="AE843" s="549"/>
      <c r="AF843" s="549"/>
      <c r="AG843" s="1"/>
      <c r="AH843" s="1"/>
      <c r="AI843" s="1"/>
      <c r="AJ843" s="1"/>
      <c r="AK843" s="1"/>
      <c r="AL843" s="1"/>
      <c r="AM843" s="1"/>
      <c r="AN843" s="1"/>
      <c r="AO843" s="1"/>
      <c r="AP843" s="2"/>
      <c r="AQ843" s="2"/>
      <c r="AR843" s="1"/>
      <c r="AS843" s="1"/>
      <c r="AT843" s="1"/>
      <c r="AU843" s="1"/>
      <c r="AV843" s="1"/>
      <c r="AW843" s="1"/>
      <c r="AX843" s="2"/>
      <c r="AY843" s="549"/>
    </row>
    <row r="844" spans="3:51" ht="15.75" customHeight="1" x14ac:dyDescent="0.25">
      <c r="C844" s="1"/>
      <c r="G844" s="1"/>
      <c r="H844" s="1"/>
      <c r="I844" s="1"/>
      <c r="J844" s="557"/>
      <c r="K844" s="549"/>
      <c r="L844" s="557"/>
      <c r="M844" s="557"/>
      <c r="N844" s="557"/>
      <c r="O844" s="557"/>
      <c r="P844" s="557"/>
      <c r="Q844" s="557"/>
      <c r="R844" s="557"/>
      <c r="S844" s="549"/>
      <c r="T844" s="1"/>
      <c r="U844" s="1"/>
      <c r="V844" s="1"/>
      <c r="W844" s="557"/>
      <c r="X844" s="549"/>
      <c r="Y844" s="549"/>
      <c r="Z844" s="549"/>
      <c r="AA844" s="549"/>
      <c r="AB844" s="549"/>
      <c r="AC844" s="549"/>
      <c r="AD844" s="549"/>
      <c r="AE844" s="549"/>
      <c r="AF844" s="549"/>
      <c r="AG844" s="1"/>
      <c r="AH844" s="1"/>
      <c r="AI844" s="1"/>
      <c r="AJ844" s="1"/>
      <c r="AK844" s="1"/>
      <c r="AL844" s="1"/>
      <c r="AM844" s="1"/>
      <c r="AN844" s="1"/>
      <c r="AO844" s="1"/>
      <c r="AP844" s="2"/>
      <c r="AQ844" s="2"/>
      <c r="AR844" s="1"/>
      <c r="AS844" s="1"/>
      <c r="AT844" s="1"/>
      <c r="AU844" s="1"/>
      <c r="AV844" s="1"/>
      <c r="AW844" s="1"/>
      <c r="AX844" s="2"/>
      <c r="AY844" s="549"/>
    </row>
    <row r="845" spans="3:51" ht="15.75" customHeight="1" x14ac:dyDescent="0.25">
      <c r="C845" s="1"/>
      <c r="G845" s="1"/>
      <c r="H845" s="1"/>
      <c r="I845" s="1"/>
      <c r="J845" s="557"/>
      <c r="K845" s="549"/>
      <c r="L845" s="557"/>
      <c r="M845" s="557"/>
      <c r="N845" s="557"/>
      <c r="O845" s="557"/>
      <c r="P845" s="557"/>
      <c r="Q845" s="557"/>
      <c r="R845" s="557"/>
      <c r="S845" s="549"/>
      <c r="T845" s="1"/>
      <c r="U845" s="1"/>
      <c r="V845" s="1"/>
      <c r="W845" s="557"/>
      <c r="X845" s="549"/>
      <c r="Y845" s="549"/>
      <c r="Z845" s="549"/>
      <c r="AA845" s="549"/>
      <c r="AB845" s="549"/>
      <c r="AC845" s="549"/>
      <c r="AD845" s="549"/>
      <c r="AE845" s="549"/>
      <c r="AF845" s="549"/>
      <c r="AG845" s="1"/>
      <c r="AH845" s="1"/>
      <c r="AI845" s="1"/>
      <c r="AJ845" s="1"/>
      <c r="AK845" s="1"/>
      <c r="AL845" s="1"/>
      <c r="AM845" s="1"/>
      <c r="AN845" s="1"/>
      <c r="AO845" s="1"/>
      <c r="AP845" s="2"/>
      <c r="AQ845" s="2"/>
      <c r="AR845" s="1"/>
      <c r="AS845" s="1"/>
      <c r="AT845" s="1"/>
      <c r="AU845" s="1"/>
      <c r="AV845" s="1"/>
      <c r="AW845" s="1"/>
      <c r="AX845" s="2"/>
      <c r="AY845" s="549"/>
    </row>
    <row r="846" spans="3:51" ht="15.75" customHeight="1" x14ac:dyDescent="0.25">
      <c r="C846" s="1"/>
      <c r="G846" s="1"/>
      <c r="H846" s="1"/>
      <c r="I846" s="1"/>
      <c r="J846" s="557"/>
      <c r="K846" s="549"/>
      <c r="L846" s="557"/>
      <c r="M846" s="557"/>
      <c r="N846" s="557"/>
      <c r="O846" s="557"/>
      <c r="P846" s="557"/>
      <c r="Q846" s="557"/>
      <c r="R846" s="557"/>
      <c r="S846" s="549"/>
      <c r="T846" s="1"/>
      <c r="U846" s="1"/>
      <c r="V846" s="1"/>
      <c r="W846" s="557"/>
      <c r="X846" s="549"/>
      <c r="Y846" s="549"/>
      <c r="Z846" s="549"/>
      <c r="AA846" s="549"/>
      <c r="AB846" s="549"/>
      <c r="AC846" s="549"/>
      <c r="AD846" s="549"/>
      <c r="AE846" s="549"/>
      <c r="AF846" s="549"/>
      <c r="AG846" s="1"/>
      <c r="AH846" s="1"/>
      <c r="AI846" s="1"/>
      <c r="AJ846" s="1"/>
      <c r="AK846" s="1"/>
      <c r="AL846" s="1"/>
      <c r="AM846" s="1"/>
      <c r="AN846" s="1"/>
      <c r="AO846" s="1"/>
      <c r="AP846" s="2"/>
      <c r="AQ846" s="2"/>
      <c r="AR846" s="1"/>
      <c r="AS846" s="1"/>
      <c r="AT846" s="1"/>
      <c r="AU846" s="1"/>
      <c r="AV846" s="1"/>
      <c r="AW846" s="1"/>
      <c r="AX846" s="2"/>
      <c r="AY846" s="549"/>
    </row>
    <row r="847" spans="3:51" ht="15.75" customHeight="1" x14ac:dyDescent="0.25">
      <c r="C847" s="1"/>
      <c r="G847" s="1"/>
      <c r="H847" s="1"/>
      <c r="I847" s="1"/>
      <c r="J847" s="557"/>
      <c r="K847" s="549"/>
      <c r="L847" s="557"/>
      <c r="M847" s="557"/>
      <c r="N847" s="557"/>
      <c r="O847" s="557"/>
      <c r="P847" s="557"/>
      <c r="Q847" s="557"/>
      <c r="R847" s="557"/>
      <c r="S847" s="549"/>
      <c r="T847" s="1"/>
      <c r="U847" s="1"/>
      <c r="V847" s="1"/>
      <c r="W847" s="557"/>
      <c r="X847" s="549"/>
      <c r="Y847" s="549"/>
      <c r="Z847" s="549"/>
      <c r="AA847" s="549"/>
      <c r="AB847" s="549"/>
      <c r="AC847" s="549"/>
      <c r="AD847" s="549"/>
      <c r="AE847" s="549"/>
      <c r="AF847" s="549"/>
      <c r="AG847" s="1"/>
      <c r="AH847" s="1"/>
      <c r="AI847" s="1"/>
      <c r="AJ847" s="1"/>
      <c r="AK847" s="1"/>
      <c r="AL847" s="1"/>
      <c r="AM847" s="1"/>
      <c r="AN847" s="1"/>
      <c r="AO847" s="1"/>
      <c r="AP847" s="2"/>
      <c r="AQ847" s="2"/>
      <c r="AR847" s="1"/>
      <c r="AS847" s="1"/>
      <c r="AT847" s="1"/>
      <c r="AU847" s="1"/>
      <c r="AV847" s="1"/>
      <c r="AW847" s="1"/>
      <c r="AX847" s="2"/>
      <c r="AY847" s="549"/>
    </row>
    <row r="848" spans="3:51" ht="15.75" customHeight="1" x14ac:dyDescent="0.25">
      <c r="C848" s="1"/>
      <c r="G848" s="1"/>
      <c r="H848" s="1"/>
      <c r="I848" s="1"/>
      <c r="J848" s="557"/>
      <c r="K848" s="549"/>
      <c r="L848" s="557"/>
      <c r="M848" s="557"/>
      <c r="N848" s="557"/>
      <c r="O848" s="557"/>
      <c r="P848" s="557"/>
      <c r="Q848" s="557"/>
      <c r="R848" s="557"/>
      <c r="S848" s="549"/>
      <c r="T848" s="1"/>
      <c r="U848" s="1"/>
      <c r="V848" s="1"/>
      <c r="W848" s="557"/>
      <c r="X848" s="549"/>
      <c r="Y848" s="549"/>
      <c r="Z848" s="549"/>
      <c r="AA848" s="549"/>
      <c r="AB848" s="549"/>
      <c r="AC848" s="549"/>
      <c r="AD848" s="549"/>
      <c r="AE848" s="549"/>
      <c r="AF848" s="549"/>
      <c r="AG848" s="1"/>
      <c r="AH848" s="1"/>
      <c r="AI848" s="1"/>
      <c r="AJ848" s="1"/>
      <c r="AK848" s="1"/>
      <c r="AL848" s="1"/>
      <c r="AM848" s="1"/>
      <c r="AN848" s="1"/>
      <c r="AO848" s="1"/>
      <c r="AP848" s="2"/>
      <c r="AQ848" s="2"/>
      <c r="AR848" s="1"/>
      <c r="AS848" s="1"/>
      <c r="AT848" s="1"/>
      <c r="AU848" s="1"/>
      <c r="AV848" s="1"/>
      <c r="AW848" s="1"/>
      <c r="AX848" s="2"/>
      <c r="AY848" s="549"/>
    </row>
    <row r="849" spans="3:51" ht="15.75" customHeight="1" x14ac:dyDescent="0.25">
      <c r="C849" s="1"/>
      <c r="G849" s="1"/>
      <c r="H849" s="1"/>
      <c r="I849" s="1"/>
      <c r="J849" s="557"/>
      <c r="K849" s="549"/>
      <c r="L849" s="557"/>
      <c r="M849" s="557"/>
      <c r="N849" s="557"/>
      <c r="O849" s="557"/>
      <c r="P849" s="557"/>
      <c r="Q849" s="557"/>
      <c r="R849" s="557"/>
      <c r="S849" s="549"/>
      <c r="T849" s="1"/>
      <c r="U849" s="1"/>
      <c r="V849" s="1"/>
      <c r="W849" s="557"/>
      <c r="X849" s="549"/>
      <c r="Y849" s="549"/>
      <c r="Z849" s="549"/>
      <c r="AA849" s="549"/>
      <c r="AB849" s="549"/>
      <c r="AC849" s="549"/>
      <c r="AD849" s="549"/>
      <c r="AE849" s="549"/>
      <c r="AF849" s="549"/>
      <c r="AG849" s="1"/>
      <c r="AH849" s="1"/>
      <c r="AI849" s="1"/>
      <c r="AJ849" s="1"/>
      <c r="AK849" s="1"/>
      <c r="AL849" s="1"/>
      <c r="AM849" s="1"/>
      <c r="AN849" s="1"/>
      <c r="AO849" s="1"/>
      <c r="AP849" s="2"/>
      <c r="AQ849" s="2"/>
      <c r="AR849" s="1"/>
      <c r="AS849" s="1"/>
      <c r="AT849" s="1"/>
      <c r="AU849" s="1"/>
      <c r="AV849" s="1"/>
      <c r="AW849" s="1"/>
      <c r="AX849" s="2"/>
      <c r="AY849" s="549"/>
    </row>
    <row r="850" spans="3:51" ht="15.75" customHeight="1" x14ac:dyDescent="0.25">
      <c r="C850" s="1"/>
      <c r="G850" s="1"/>
      <c r="H850" s="1"/>
      <c r="I850" s="1"/>
      <c r="J850" s="557"/>
      <c r="K850" s="549"/>
      <c r="L850" s="557"/>
      <c r="M850" s="557"/>
      <c r="N850" s="557"/>
      <c r="O850" s="557"/>
      <c r="P850" s="557"/>
      <c r="Q850" s="557"/>
      <c r="R850" s="557"/>
      <c r="S850" s="549"/>
      <c r="T850" s="1"/>
      <c r="U850" s="1"/>
      <c r="V850" s="1"/>
      <c r="W850" s="557"/>
      <c r="X850" s="549"/>
      <c r="Y850" s="549"/>
      <c r="Z850" s="549"/>
      <c r="AA850" s="549"/>
      <c r="AB850" s="549"/>
      <c r="AC850" s="549"/>
      <c r="AD850" s="549"/>
      <c r="AE850" s="549"/>
      <c r="AF850" s="549"/>
      <c r="AG850" s="1"/>
      <c r="AH850" s="1"/>
      <c r="AI850" s="1"/>
      <c r="AJ850" s="1"/>
      <c r="AK850" s="1"/>
      <c r="AL850" s="1"/>
      <c r="AM850" s="1"/>
      <c r="AN850" s="1"/>
      <c r="AO850" s="1"/>
      <c r="AP850" s="2"/>
      <c r="AQ850" s="2"/>
      <c r="AR850" s="1"/>
      <c r="AS850" s="1"/>
      <c r="AT850" s="1"/>
      <c r="AU850" s="1"/>
      <c r="AV850" s="1"/>
      <c r="AW850" s="1"/>
      <c r="AX850" s="2"/>
      <c r="AY850" s="549"/>
    </row>
    <row r="851" spans="3:51" ht="15.75" customHeight="1" x14ac:dyDescent="0.25">
      <c r="C851" s="1"/>
      <c r="G851" s="1"/>
      <c r="H851" s="1"/>
      <c r="I851" s="1"/>
      <c r="J851" s="557"/>
      <c r="K851" s="549"/>
      <c r="L851" s="557"/>
      <c r="M851" s="557"/>
      <c r="N851" s="557"/>
      <c r="O851" s="557"/>
      <c r="P851" s="557"/>
      <c r="Q851" s="557"/>
      <c r="R851" s="557"/>
      <c r="S851" s="549"/>
      <c r="T851" s="1"/>
      <c r="U851" s="1"/>
      <c r="V851" s="1"/>
      <c r="W851" s="557"/>
      <c r="X851" s="549"/>
      <c r="Y851" s="549"/>
      <c r="Z851" s="549"/>
      <c r="AA851" s="549"/>
      <c r="AB851" s="549"/>
      <c r="AC851" s="549"/>
      <c r="AD851" s="549"/>
      <c r="AE851" s="549"/>
      <c r="AF851" s="549"/>
      <c r="AG851" s="1"/>
      <c r="AH851" s="1"/>
      <c r="AI851" s="1"/>
      <c r="AJ851" s="1"/>
      <c r="AK851" s="1"/>
      <c r="AL851" s="1"/>
      <c r="AM851" s="1"/>
      <c r="AN851" s="1"/>
      <c r="AO851" s="1"/>
      <c r="AP851" s="2"/>
      <c r="AQ851" s="2"/>
      <c r="AR851" s="1"/>
      <c r="AS851" s="1"/>
      <c r="AT851" s="1"/>
      <c r="AU851" s="1"/>
      <c r="AV851" s="1"/>
      <c r="AW851" s="1"/>
      <c r="AX851" s="2"/>
      <c r="AY851" s="549"/>
    </row>
    <row r="852" spans="3:51" ht="15.75" customHeight="1" x14ac:dyDescent="0.25">
      <c r="C852" s="1"/>
      <c r="G852" s="1"/>
      <c r="H852" s="1"/>
      <c r="I852" s="1"/>
      <c r="J852" s="557"/>
      <c r="K852" s="549"/>
      <c r="L852" s="557"/>
      <c r="M852" s="557"/>
      <c r="N852" s="557"/>
      <c r="O852" s="557"/>
      <c r="P852" s="557"/>
      <c r="Q852" s="557"/>
      <c r="R852" s="557"/>
      <c r="S852" s="549"/>
      <c r="T852" s="1"/>
      <c r="U852" s="1"/>
      <c r="V852" s="1"/>
      <c r="W852" s="557"/>
      <c r="X852" s="549"/>
      <c r="Y852" s="549"/>
      <c r="Z852" s="549"/>
      <c r="AA852" s="549"/>
      <c r="AB852" s="549"/>
      <c r="AC852" s="549"/>
      <c r="AD852" s="549"/>
      <c r="AE852" s="549"/>
      <c r="AF852" s="549"/>
      <c r="AG852" s="1"/>
      <c r="AH852" s="1"/>
      <c r="AI852" s="1"/>
      <c r="AJ852" s="1"/>
      <c r="AK852" s="1"/>
      <c r="AL852" s="1"/>
      <c r="AM852" s="1"/>
      <c r="AN852" s="1"/>
      <c r="AO852" s="1"/>
      <c r="AP852" s="2"/>
      <c r="AQ852" s="2"/>
      <c r="AR852" s="1"/>
      <c r="AS852" s="1"/>
      <c r="AT852" s="1"/>
      <c r="AU852" s="1"/>
      <c r="AV852" s="1"/>
      <c r="AW852" s="1"/>
      <c r="AX852" s="2"/>
      <c r="AY852" s="549"/>
    </row>
    <row r="853" spans="3:51" ht="15.75" customHeight="1" x14ac:dyDescent="0.25">
      <c r="C853" s="1"/>
      <c r="G853" s="1"/>
      <c r="H853" s="1"/>
      <c r="I853" s="1"/>
      <c r="J853" s="557"/>
      <c r="K853" s="549"/>
      <c r="L853" s="557"/>
      <c r="M853" s="557"/>
      <c r="N853" s="557"/>
      <c r="O853" s="557"/>
      <c r="P853" s="557"/>
      <c r="Q853" s="557"/>
      <c r="R853" s="557"/>
      <c r="S853" s="549"/>
      <c r="T853" s="1"/>
      <c r="U853" s="1"/>
      <c r="V853" s="1"/>
      <c r="W853" s="557"/>
      <c r="X853" s="549"/>
      <c r="Y853" s="549"/>
      <c r="Z853" s="549"/>
      <c r="AA853" s="549"/>
      <c r="AB853" s="549"/>
      <c r="AC853" s="549"/>
      <c r="AD853" s="549"/>
      <c r="AE853" s="549"/>
      <c r="AF853" s="549"/>
      <c r="AG853" s="1"/>
      <c r="AH853" s="1"/>
      <c r="AI853" s="1"/>
      <c r="AJ853" s="1"/>
      <c r="AK853" s="1"/>
      <c r="AL853" s="1"/>
      <c r="AM853" s="1"/>
      <c r="AN853" s="1"/>
      <c r="AO853" s="1"/>
      <c r="AP853" s="2"/>
      <c r="AQ853" s="2"/>
      <c r="AR853" s="1"/>
      <c r="AS853" s="1"/>
      <c r="AT853" s="1"/>
      <c r="AU853" s="1"/>
      <c r="AV853" s="1"/>
      <c r="AW853" s="1"/>
      <c r="AX853" s="2"/>
      <c r="AY853" s="549"/>
    </row>
    <row r="854" spans="3:51" ht="15.75" customHeight="1" x14ac:dyDescent="0.25">
      <c r="C854" s="1"/>
      <c r="G854" s="1"/>
      <c r="H854" s="1"/>
      <c r="I854" s="1"/>
      <c r="J854" s="557"/>
      <c r="K854" s="549"/>
      <c r="L854" s="557"/>
      <c r="M854" s="557"/>
      <c r="N854" s="557"/>
      <c r="O854" s="557"/>
      <c r="P854" s="557"/>
      <c r="Q854" s="557"/>
      <c r="R854" s="557"/>
      <c r="S854" s="549"/>
      <c r="T854" s="1"/>
      <c r="U854" s="1"/>
      <c r="V854" s="1"/>
      <c r="W854" s="557"/>
      <c r="X854" s="549"/>
      <c r="Y854" s="549"/>
      <c r="Z854" s="549"/>
      <c r="AA854" s="549"/>
      <c r="AB854" s="549"/>
      <c r="AC854" s="549"/>
      <c r="AD854" s="549"/>
      <c r="AE854" s="549"/>
      <c r="AF854" s="549"/>
      <c r="AG854" s="1"/>
      <c r="AH854" s="1"/>
      <c r="AI854" s="1"/>
      <c r="AJ854" s="1"/>
      <c r="AK854" s="1"/>
      <c r="AL854" s="1"/>
      <c r="AM854" s="1"/>
      <c r="AN854" s="1"/>
      <c r="AO854" s="1"/>
      <c r="AP854" s="2"/>
      <c r="AQ854" s="2"/>
      <c r="AR854" s="1"/>
      <c r="AS854" s="1"/>
      <c r="AT854" s="1"/>
      <c r="AU854" s="1"/>
      <c r="AV854" s="1"/>
      <c r="AW854" s="1"/>
      <c r="AX854" s="2"/>
      <c r="AY854" s="549"/>
    </row>
    <row r="855" spans="3:51" ht="15.75" customHeight="1" x14ac:dyDescent="0.25">
      <c r="C855" s="1"/>
      <c r="G855" s="1"/>
      <c r="H855" s="1"/>
      <c r="I855" s="1"/>
      <c r="J855" s="557"/>
      <c r="K855" s="549"/>
      <c r="L855" s="557"/>
      <c r="M855" s="557"/>
      <c r="N855" s="557"/>
      <c r="O855" s="557"/>
      <c r="P855" s="557"/>
      <c r="Q855" s="557"/>
      <c r="R855" s="557"/>
      <c r="S855" s="549"/>
      <c r="T855" s="1"/>
      <c r="U855" s="1"/>
      <c r="V855" s="1"/>
      <c r="W855" s="557"/>
      <c r="X855" s="549"/>
      <c r="Y855" s="549"/>
      <c r="Z855" s="549"/>
      <c r="AA855" s="549"/>
      <c r="AB855" s="549"/>
      <c r="AC855" s="549"/>
      <c r="AD855" s="549"/>
      <c r="AE855" s="549"/>
      <c r="AF855" s="549"/>
      <c r="AG855" s="1"/>
      <c r="AH855" s="1"/>
      <c r="AI855" s="1"/>
      <c r="AJ855" s="1"/>
      <c r="AK855" s="1"/>
      <c r="AL855" s="1"/>
      <c r="AM855" s="1"/>
      <c r="AN855" s="1"/>
      <c r="AO855" s="1"/>
      <c r="AP855" s="2"/>
      <c r="AQ855" s="2"/>
      <c r="AR855" s="1"/>
      <c r="AS855" s="1"/>
      <c r="AT855" s="1"/>
      <c r="AU855" s="1"/>
      <c r="AV855" s="1"/>
      <c r="AW855" s="1"/>
      <c r="AX855" s="2"/>
      <c r="AY855" s="549"/>
    </row>
    <row r="856" spans="3:51" ht="15.75" customHeight="1" x14ac:dyDescent="0.25">
      <c r="C856" s="1"/>
      <c r="G856" s="1"/>
      <c r="H856" s="1"/>
      <c r="I856" s="1"/>
      <c r="J856" s="557"/>
      <c r="K856" s="549"/>
      <c r="L856" s="557"/>
      <c r="M856" s="557"/>
      <c r="N856" s="557"/>
      <c r="O856" s="557"/>
      <c r="P856" s="557"/>
      <c r="Q856" s="557"/>
      <c r="R856" s="557"/>
      <c r="S856" s="549"/>
      <c r="T856" s="1"/>
      <c r="U856" s="1"/>
      <c r="V856" s="1"/>
      <c r="W856" s="557"/>
      <c r="X856" s="549"/>
      <c r="Y856" s="549"/>
      <c r="Z856" s="549"/>
      <c r="AA856" s="549"/>
      <c r="AB856" s="549"/>
      <c r="AC856" s="549"/>
      <c r="AD856" s="549"/>
      <c r="AE856" s="549"/>
      <c r="AF856" s="549"/>
      <c r="AG856" s="1"/>
      <c r="AH856" s="1"/>
      <c r="AI856" s="1"/>
      <c r="AJ856" s="1"/>
      <c r="AK856" s="1"/>
      <c r="AL856" s="1"/>
      <c r="AM856" s="1"/>
      <c r="AN856" s="1"/>
      <c r="AO856" s="1"/>
      <c r="AP856" s="2"/>
      <c r="AQ856" s="2"/>
      <c r="AR856" s="1"/>
      <c r="AS856" s="1"/>
      <c r="AT856" s="1"/>
      <c r="AU856" s="1"/>
      <c r="AV856" s="1"/>
      <c r="AW856" s="1"/>
      <c r="AX856" s="2"/>
      <c r="AY856" s="549"/>
    </row>
    <row r="857" spans="3:51" ht="15.75" customHeight="1" x14ac:dyDescent="0.25">
      <c r="C857" s="1"/>
      <c r="G857" s="1"/>
      <c r="H857" s="1"/>
      <c r="I857" s="1"/>
      <c r="J857" s="557"/>
      <c r="K857" s="549"/>
      <c r="L857" s="557"/>
      <c r="M857" s="557"/>
      <c r="N857" s="557"/>
      <c r="O857" s="557"/>
      <c r="P857" s="557"/>
      <c r="Q857" s="557"/>
      <c r="R857" s="557"/>
      <c r="S857" s="549"/>
      <c r="T857" s="1"/>
      <c r="U857" s="1"/>
      <c r="V857" s="1"/>
      <c r="W857" s="557"/>
      <c r="X857" s="549"/>
      <c r="Y857" s="549"/>
      <c r="Z857" s="549"/>
      <c r="AA857" s="549"/>
      <c r="AB857" s="549"/>
      <c r="AC857" s="549"/>
      <c r="AD857" s="549"/>
      <c r="AE857" s="549"/>
      <c r="AF857" s="549"/>
      <c r="AG857" s="1"/>
      <c r="AH857" s="1"/>
      <c r="AI857" s="1"/>
      <c r="AJ857" s="1"/>
      <c r="AK857" s="1"/>
      <c r="AL857" s="1"/>
      <c r="AM857" s="1"/>
      <c r="AN857" s="1"/>
      <c r="AO857" s="1"/>
      <c r="AP857" s="2"/>
      <c r="AQ857" s="2"/>
      <c r="AR857" s="1"/>
      <c r="AS857" s="1"/>
      <c r="AT857" s="1"/>
      <c r="AU857" s="1"/>
      <c r="AV857" s="1"/>
      <c r="AW857" s="1"/>
      <c r="AX857" s="2"/>
      <c r="AY857" s="549"/>
    </row>
    <row r="858" spans="3:51" ht="15.75" customHeight="1" x14ac:dyDescent="0.25">
      <c r="C858" s="1"/>
      <c r="G858" s="1"/>
      <c r="H858" s="1"/>
      <c r="I858" s="1"/>
      <c r="J858" s="557"/>
      <c r="K858" s="549"/>
      <c r="L858" s="557"/>
      <c r="M858" s="557"/>
      <c r="N858" s="557"/>
      <c r="O858" s="557"/>
      <c r="P858" s="557"/>
      <c r="Q858" s="557"/>
      <c r="R858" s="557"/>
      <c r="S858" s="549"/>
      <c r="T858" s="1"/>
      <c r="U858" s="1"/>
      <c r="V858" s="1"/>
      <c r="W858" s="557"/>
      <c r="X858" s="549"/>
      <c r="Y858" s="549"/>
      <c r="Z858" s="549"/>
      <c r="AA858" s="549"/>
      <c r="AB858" s="549"/>
      <c r="AC858" s="549"/>
      <c r="AD858" s="549"/>
      <c r="AE858" s="549"/>
      <c r="AF858" s="549"/>
      <c r="AG858" s="1"/>
      <c r="AH858" s="1"/>
      <c r="AI858" s="1"/>
      <c r="AJ858" s="1"/>
      <c r="AK858" s="1"/>
      <c r="AL858" s="1"/>
      <c r="AM858" s="1"/>
      <c r="AN858" s="1"/>
      <c r="AO858" s="1"/>
      <c r="AP858" s="2"/>
      <c r="AQ858" s="2"/>
      <c r="AR858" s="1"/>
      <c r="AS858" s="1"/>
      <c r="AT858" s="1"/>
      <c r="AU858" s="1"/>
      <c r="AV858" s="1"/>
      <c r="AW858" s="1"/>
      <c r="AX858" s="2"/>
      <c r="AY858" s="549"/>
    </row>
    <row r="859" spans="3:51" ht="15.75" customHeight="1" x14ac:dyDescent="0.25">
      <c r="C859" s="1"/>
      <c r="G859" s="1"/>
      <c r="H859" s="1"/>
      <c r="I859" s="1"/>
      <c r="J859" s="557"/>
      <c r="K859" s="549"/>
      <c r="L859" s="557"/>
      <c r="M859" s="557"/>
      <c r="N859" s="557"/>
      <c r="O859" s="557"/>
      <c r="P859" s="557"/>
      <c r="Q859" s="557"/>
      <c r="R859" s="557"/>
      <c r="S859" s="549"/>
      <c r="T859" s="1"/>
      <c r="U859" s="1"/>
      <c r="V859" s="1"/>
      <c r="W859" s="557"/>
      <c r="X859" s="549"/>
      <c r="Y859" s="549"/>
      <c r="Z859" s="549"/>
      <c r="AA859" s="549"/>
      <c r="AB859" s="549"/>
      <c r="AC859" s="549"/>
      <c r="AD859" s="549"/>
      <c r="AE859" s="549"/>
      <c r="AF859" s="549"/>
      <c r="AG859" s="1"/>
      <c r="AH859" s="1"/>
      <c r="AI859" s="1"/>
      <c r="AJ859" s="1"/>
      <c r="AK859" s="1"/>
      <c r="AL859" s="1"/>
      <c r="AM859" s="1"/>
      <c r="AN859" s="1"/>
      <c r="AO859" s="1"/>
      <c r="AP859" s="2"/>
      <c r="AQ859" s="2"/>
      <c r="AR859" s="1"/>
      <c r="AS859" s="1"/>
      <c r="AT859" s="1"/>
      <c r="AU859" s="1"/>
      <c r="AV859" s="1"/>
      <c r="AW859" s="1"/>
      <c r="AX859" s="2"/>
      <c r="AY859" s="549"/>
    </row>
    <row r="860" spans="3:51" ht="15.75" customHeight="1" x14ac:dyDescent="0.25">
      <c r="C860" s="1"/>
      <c r="G860" s="1"/>
      <c r="H860" s="1"/>
      <c r="I860" s="1"/>
      <c r="J860" s="557"/>
      <c r="K860" s="549"/>
      <c r="L860" s="557"/>
      <c r="M860" s="557"/>
      <c r="N860" s="557"/>
      <c r="O860" s="557"/>
      <c r="P860" s="557"/>
      <c r="Q860" s="557"/>
      <c r="R860" s="557"/>
      <c r="S860" s="549"/>
      <c r="T860" s="1"/>
      <c r="U860" s="1"/>
      <c r="V860" s="1"/>
      <c r="W860" s="557"/>
      <c r="X860" s="549"/>
      <c r="Y860" s="549"/>
      <c r="Z860" s="549"/>
      <c r="AA860" s="549"/>
      <c r="AB860" s="549"/>
      <c r="AC860" s="549"/>
      <c r="AD860" s="549"/>
      <c r="AE860" s="549"/>
      <c r="AF860" s="549"/>
      <c r="AG860" s="1"/>
      <c r="AH860" s="1"/>
      <c r="AI860" s="1"/>
      <c r="AJ860" s="1"/>
      <c r="AK860" s="1"/>
      <c r="AL860" s="1"/>
      <c r="AM860" s="1"/>
      <c r="AN860" s="1"/>
      <c r="AO860" s="1"/>
      <c r="AP860" s="2"/>
      <c r="AQ860" s="2"/>
      <c r="AR860" s="1"/>
      <c r="AS860" s="1"/>
      <c r="AT860" s="1"/>
      <c r="AU860" s="1"/>
      <c r="AV860" s="1"/>
      <c r="AW860" s="1"/>
      <c r="AX860" s="2"/>
      <c r="AY860" s="549"/>
    </row>
    <row r="861" spans="3:51" ht="15.75" customHeight="1" x14ac:dyDescent="0.25">
      <c r="C861" s="1"/>
      <c r="G861" s="1"/>
      <c r="H861" s="1"/>
      <c r="I861" s="1"/>
      <c r="J861" s="557"/>
      <c r="K861" s="549"/>
      <c r="L861" s="557"/>
      <c r="M861" s="557"/>
      <c r="N861" s="557"/>
      <c r="O861" s="557"/>
      <c r="P861" s="557"/>
      <c r="Q861" s="557"/>
      <c r="R861" s="557"/>
      <c r="S861" s="549"/>
      <c r="T861" s="1"/>
      <c r="U861" s="1"/>
      <c r="V861" s="1"/>
      <c r="W861" s="557"/>
      <c r="X861" s="549"/>
      <c r="Y861" s="549"/>
      <c r="Z861" s="549"/>
      <c r="AA861" s="549"/>
      <c r="AB861" s="549"/>
      <c r="AC861" s="549"/>
      <c r="AD861" s="549"/>
      <c r="AE861" s="549"/>
      <c r="AF861" s="549"/>
      <c r="AG861" s="1"/>
      <c r="AH861" s="1"/>
      <c r="AI861" s="1"/>
      <c r="AJ861" s="1"/>
      <c r="AK861" s="1"/>
      <c r="AL861" s="1"/>
      <c r="AM861" s="1"/>
      <c r="AN861" s="1"/>
      <c r="AO861" s="1"/>
      <c r="AP861" s="2"/>
      <c r="AQ861" s="2"/>
      <c r="AR861" s="1"/>
      <c r="AS861" s="1"/>
      <c r="AT861" s="1"/>
      <c r="AU861" s="1"/>
      <c r="AV861" s="1"/>
      <c r="AW861" s="1"/>
      <c r="AX861" s="2"/>
      <c r="AY861" s="549"/>
    </row>
    <row r="862" spans="3:51" ht="15.75" customHeight="1" x14ac:dyDescent="0.25">
      <c r="C862" s="1"/>
      <c r="G862" s="1"/>
      <c r="H862" s="1"/>
      <c r="I862" s="1"/>
      <c r="J862" s="557"/>
      <c r="K862" s="549"/>
      <c r="L862" s="557"/>
      <c r="M862" s="557"/>
      <c r="N862" s="557"/>
      <c r="O862" s="557"/>
      <c r="P862" s="557"/>
      <c r="Q862" s="557"/>
      <c r="R862" s="557"/>
      <c r="S862" s="549"/>
      <c r="T862" s="1"/>
      <c r="U862" s="1"/>
      <c r="V862" s="1"/>
      <c r="W862" s="557"/>
      <c r="X862" s="549"/>
      <c r="Y862" s="549"/>
      <c r="Z862" s="549"/>
      <c r="AA862" s="549"/>
      <c r="AB862" s="549"/>
      <c r="AC862" s="549"/>
      <c r="AD862" s="549"/>
      <c r="AE862" s="549"/>
      <c r="AF862" s="549"/>
      <c r="AG862" s="1"/>
      <c r="AH862" s="1"/>
      <c r="AI862" s="1"/>
      <c r="AJ862" s="1"/>
      <c r="AK862" s="1"/>
      <c r="AL862" s="1"/>
      <c r="AM862" s="1"/>
      <c r="AN862" s="1"/>
      <c r="AO862" s="1"/>
      <c r="AP862" s="2"/>
      <c r="AQ862" s="2"/>
      <c r="AR862" s="1"/>
      <c r="AS862" s="1"/>
      <c r="AT862" s="1"/>
      <c r="AU862" s="1"/>
      <c r="AV862" s="1"/>
      <c r="AW862" s="1"/>
      <c r="AX862" s="2"/>
      <c r="AY862" s="549"/>
    </row>
    <row r="863" spans="3:51" ht="15.75" customHeight="1" x14ac:dyDescent="0.25">
      <c r="C863" s="1"/>
      <c r="G863" s="1"/>
      <c r="H863" s="1"/>
      <c r="I863" s="1"/>
      <c r="J863" s="557"/>
      <c r="K863" s="549"/>
      <c r="L863" s="557"/>
      <c r="M863" s="557"/>
      <c r="N863" s="557"/>
      <c r="O863" s="557"/>
      <c r="P863" s="557"/>
      <c r="Q863" s="557"/>
      <c r="R863" s="557"/>
      <c r="S863" s="549"/>
      <c r="T863" s="1"/>
      <c r="U863" s="1"/>
      <c r="V863" s="1"/>
      <c r="W863" s="557"/>
      <c r="X863" s="549"/>
      <c r="Y863" s="549"/>
      <c r="Z863" s="549"/>
      <c r="AA863" s="549"/>
      <c r="AB863" s="549"/>
      <c r="AC863" s="549"/>
      <c r="AD863" s="549"/>
      <c r="AE863" s="549"/>
      <c r="AF863" s="549"/>
      <c r="AG863" s="1"/>
      <c r="AH863" s="1"/>
      <c r="AI863" s="1"/>
      <c r="AJ863" s="1"/>
      <c r="AK863" s="1"/>
      <c r="AL863" s="1"/>
      <c r="AM863" s="1"/>
      <c r="AN863" s="1"/>
      <c r="AO863" s="1"/>
      <c r="AP863" s="2"/>
      <c r="AQ863" s="2"/>
      <c r="AR863" s="1"/>
      <c r="AS863" s="1"/>
      <c r="AT863" s="1"/>
      <c r="AU863" s="1"/>
      <c r="AV863" s="1"/>
      <c r="AW863" s="1"/>
      <c r="AX863" s="2"/>
      <c r="AY863" s="549"/>
    </row>
    <row r="864" spans="3:51" ht="15.75" customHeight="1" x14ac:dyDescent="0.25">
      <c r="C864" s="1"/>
      <c r="G864" s="1"/>
      <c r="H864" s="1"/>
      <c r="I864" s="1"/>
      <c r="J864" s="557"/>
      <c r="K864" s="549"/>
      <c r="L864" s="557"/>
      <c r="M864" s="557"/>
      <c r="N864" s="557"/>
      <c r="O864" s="557"/>
      <c r="P864" s="557"/>
      <c r="Q864" s="557"/>
      <c r="R864" s="557"/>
      <c r="S864" s="549"/>
      <c r="T864" s="1"/>
      <c r="U864" s="1"/>
      <c r="V864" s="1"/>
      <c r="W864" s="557"/>
      <c r="X864" s="549"/>
      <c r="Y864" s="549"/>
      <c r="Z864" s="549"/>
      <c r="AA864" s="549"/>
      <c r="AB864" s="549"/>
      <c r="AC864" s="549"/>
      <c r="AD864" s="549"/>
      <c r="AE864" s="549"/>
      <c r="AF864" s="549"/>
      <c r="AG864" s="1"/>
      <c r="AH864" s="1"/>
      <c r="AI864" s="1"/>
      <c r="AJ864" s="1"/>
      <c r="AK864" s="1"/>
      <c r="AL864" s="1"/>
      <c r="AM864" s="1"/>
      <c r="AN864" s="1"/>
      <c r="AO864" s="1"/>
      <c r="AP864" s="2"/>
      <c r="AQ864" s="2"/>
      <c r="AR864" s="1"/>
      <c r="AS864" s="1"/>
      <c r="AT864" s="1"/>
      <c r="AU864" s="1"/>
      <c r="AV864" s="1"/>
      <c r="AW864" s="1"/>
      <c r="AX864" s="2"/>
      <c r="AY864" s="549"/>
    </row>
    <row r="865" spans="3:51" ht="15.75" customHeight="1" x14ac:dyDescent="0.25">
      <c r="C865" s="1"/>
      <c r="G865" s="1"/>
      <c r="H865" s="1"/>
      <c r="I865" s="1"/>
      <c r="J865" s="557"/>
      <c r="K865" s="549"/>
      <c r="L865" s="557"/>
      <c r="M865" s="557"/>
      <c r="N865" s="557"/>
      <c r="O865" s="557"/>
      <c r="P865" s="557"/>
      <c r="Q865" s="557"/>
      <c r="R865" s="557"/>
      <c r="S865" s="549"/>
      <c r="T865" s="1"/>
      <c r="U865" s="1"/>
      <c r="V865" s="1"/>
      <c r="W865" s="557"/>
      <c r="X865" s="549"/>
      <c r="Y865" s="549"/>
      <c r="Z865" s="549"/>
      <c r="AA865" s="549"/>
      <c r="AB865" s="549"/>
      <c r="AC865" s="549"/>
      <c r="AD865" s="549"/>
      <c r="AE865" s="549"/>
      <c r="AF865" s="549"/>
      <c r="AG865" s="1"/>
      <c r="AH865" s="1"/>
      <c r="AI865" s="1"/>
      <c r="AJ865" s="1"/>
      <c r="AK865" s="1"/>
      <c r="AL865" s="1"/>
      <c r="AM865" s="1"/>
      <c r="AN865" s="1"/>
      <c r="AO865" s="1"/>
      <c r="AP865" s="2"/>
      <c r="AQ865" s="2"/>
      <c r="AR865" s="1"/>
      <c r="AS865" s="1"/>
      <c r="AT865" s="1"/>
      <c r="AU865" s="1"/>
      <c r="AV865" s="1"/>
      <c r="AW865" s="1"/>
      <c r="AX865" s="2"/>
      <c r="AY865" s="549"/>
    </row>
    <row r="866" spans="3:51" ht="15.75" customHeight="1" x14ac:dyDescent="0.25">
      <c r="C866" s="1"/>
      <c r="G866" s="1"/>
      <c r="H866" s="1"/>
      <c r="I866" s="1"/>
      <c r="J866" s="557"/>
      <c r="K866" s="549"/>
      <c r="L866" s="557"/>
      <c r="M866" s="557"/>
      <c r="N866" s="557"/>
      <c r="O866" s="557"/>
      <c r="P866" s="557"/>
      <c r="Q866" s="557"/>
      <c r="R866" s="557"/>
      <c r="S866" s="549"/>
      <c r="T866" s="1"/>
      <c r="U866" s="1"/>
      <c r="V866" s="1"/>
      <c r="W866" s="557"/>
      <c r="X866" s="549"/>
      <c r="Y866" s="549"/>
      <c r="Z866" s="549"/>
      <c r="AA866" s="549"/>
      <c r="AB866" s="549"/>
      <c r="AC866" s="549"/>
      <c r="AD866" s="549"/>
      <c r="AE866" s="549"/>
      <c r="AF866" s="549"/>
      <c r="AG866" s="1"/>
      <c r="AH866" s="1"/>
      <c r="AI866" s="1"/>
      <c r="AJ866" s="1"/>
      <c r="AK866" s="1"/>
      <c r="AL866" s="1"/>
      <c r="AM866" s="1"/>
      <c r="AN866" s="1"/>
      <c r="AO866" s="1"/>
      <c r="AP866" s="2"/>
      <c r="AQ866" s="2"/>
      <c r="AR866" s="1"/>
      <c r="AS866" s="1"/>
      <c r="AT866" s="1"/>
      <c r="AU866" s="1"/>
      <c r="AV866" s="1"/>
      <c r="AW866" s="1"/>
      <c r="AX866" s="2"/>
      <c r="AY866" s="549"/>
    </row>
    <row r="867" spans="3:51" ht="15.75" customHeight="1" x14ac:dyDescent="0.25">
      <c r="C867" s="1"/>
      <c r="G867" s="1"/>
      <c r="H867" s="1"/>
      <c r="I867" s="1"/>
      <c r="J867" s="557"/>
      <c r="K867" s="549"/>
      <c r="L867" s="557"/>
      <c r="M867" s="557"/>
      <c r="N867" s="557"/>
      <c r="O867" s="557"/>
      <c r="P867" s="557"/>
      <c r="Q867" s="557"/>
      <c r="R867" s="557"/>
      <c r="S867" s="549"/>
      <c r="T867" s="1"/>
      <c r="U867" s="1"/>
      <c r="V867" s="1"/>
      <c r="W867" s="557"/>
      <c r="X867" s="549"/>
      <c r="Y867" s="549"/>
      <c r="Z867" s="549"/>
      <c r="AA867" s="549"/>
      <c r="AB867" s="549"/>
      <c r="AC867" s="549"/>
      <c r="AD867" s="549"/>
      <c r="AE867" s="549"/>
      <c r="AF867" s="549"/>
      <c r="AG867" s="1"/>
      <c r="AH867" s="1"/>
      <c r="AI867" s="1"/>
      <c r="AJ867" s="1"/>
      <c r="AK867" s="1"/>
      <c r="AL867" s="1"/>
      <c r="AM867" s="1"/>
      <c r="AN867" s="1"/>
      <c r="AO867" s="1"/>
      <c r="AP867" s="2"/>
      <c r="AQ867" s="2"/>
      <c r="AR867" s="1"/>
      <c r="AS867" s="1"/>
      <c r="AT867" s="1"/>
      <c r="AU867" s="1"/>
      <c r="AV867" s="1"/>
      <c r="AW867" s="1"/>
      <c r="AX867" s="2"/>
      <c r="AY867" s="549"/>
    </row>
    <row r="868" spans="3:51" ht="15.75" customHeight="1" x14ac:dyDescent="0.25">
      <c r="C868" s="1"/>
      <c r="G868" s="1"/>
      <c r="H868" s="1"/>
      <c r="I868" s="1"/>
      <c r="J868" s="557"/>
      <c r="K868" s="549"/>
      <c r="L868" s="557"/>
      <c r="M868" s="557"/>
      <c r="N868" s="557"/>
      <c r="O868" s="557"/>
      <c r="P868" s="557"/>
      <c r="Q868" s="557"/>
      <c r="R868" s="557"/>
      <c r="S868" s="549"/>
      <c r="T868" s="1"/>
      <c r="U868" s="1"/>
      <c r="V868" s="1"/>
      <c r="W868" s="557"/>
      <c r="X868" s="549"/>
      <c r="Y868" s="549"/>
      <c r="Z868" s="549"/>
      <c r="AA868" s="549"/>
      <c r="AB868" s="549"/>
      <c r="AC868" s="549"/>
      <c r="AD868" s="549"/>
      <c r="AE868" s="549"/>
      <c r="AF868" s="549"/>
      <c r="AG868" s="1"/>
      <c r="AH868" s="1"/>
      <c r="AI868" s="1"/>
      <c r="AJ868" s="1"/>
      <c r="AK868" s="1"/>
      <c r="AL868" s="1"/>
      <c r="AM868" s="1"/>
      <c r="AN868" s="1"/>
      <c r="AO868" s="1"/>
      <c r="AP868" s="2"/>
      <c r="AQ868" s="2"/>
      <c r="AR868" s="1"/>
      <c r="AS868" s="1"/>
      <c r="AT868" s="1"/>
      <c r="AU868" s="1"/>
      <c r="AV868" s="1"/>
      <c r="AW868" s="1"/>
      <c r="AX868" s="2"/>
      <c r="AY868" s="549"/>
    </row>
    <row r="869" spans="3:51" ht="15.75" customHeight="1" x14ac:dyDescent="0.25">
      <c r="C869" s="1"/>
      <c r="G869" s="1"/>
      <c r="H869" s="1"/>
      <c r="I869" s="1"/>
      <c r="J869" s="557"/>
      <c r="K869" s="549"/>
      <c r="L869" s="557"/>
      <c r="M869" s="557"/>
      <c r="N869" s="557"/>
      <c r="O869" s="557"/>
      <c r="P869" s="557"/>
      <c r="Q869" s="557"/>
      <c r="R869" s="557"/>
      <c r="S869" s="549"/>
      <c r="T869" s="1"/>
      <c r="U869" s="1"/>
      <c r="V869" s="1"/>
      <c r="W869" s="557"/>
      <c r="X869" s="549"/>
      <c r="Y869" s="549"/>
      <c r="Z869" s="549"/>
      <c r="AA869" s="549"/>
      <c r="AB869" s="549"/>
      <c r="AC869" s="549"/>
      <c r="AD869" s="549"/>
      <c r="AE869" s="549"/>
      <c r="AF869" s="549"/>
      <c r="AG869" s="1"/>
      <c r="AH869" s="1"/>
      <c r="AI869" s="1"/>
      <c r="AJ869" s="1"/>
      <c r="AK869" s="1"/>
      <c r="AL869" s="1"/>
      <c r="AM869" s="1"/>
      <c r="AN869" s="1"/>
      <c r="AO869" s="1"/>
      <c r="AP869" s="2"/>
      <c r="AQ869" s="2"/>
      <c r="AR869" s="1"/>
      <c r="AS869" s="1"/>
      <c r="AT869" s="1"/>
      <c r="AU869" s="1"/>
      <c r="AV869" s="1"/>
      <c r="AW869" s="1"/>
      <c r="AX869" s="2"/>
      <c r="AY869" s="549"/>
    </row>
    <row r="870" spans="3:51" ht="15.75" customHeight="1" x14ac:dyDescent="0.25">
      <c r="C870" s="1"/>
      <c r="G870" s="1"/>
      <c r="H870" s="1"/>
      <c r="I870" s="1"/>
      <c r="J870" s="557"/>
      <c r="K870" s="549"/>
      <c r="L870" s="557"/>
      <c r="M870" s="557"/>
      <c r="N870" s="557"/>
      <c r="O870" s="557"/>
      <c r="P870" s="557"/>
      <c r="Q870" s="557"/>
      <c r="R870" s="557"/>
      <c r="S870" s="549"/>
      <c r="T870" s="1"/>
      <c r="U870" s="1"/>
      <c r="V870" s="1"/>
      <c r="W870" s="557"/>
      <c r="X870" s="549"/>
      <c r="Y870" s="549"/>
      <c r="Z870" s="549"/>
      <c r="AA870" s="549"/>
      <c r="AB870" s="549"/>
      <c r="AC870" s="549"/>
      <c r="AD870" s="549"/>
      <c r="AE870" s="549"/>
      <c r="AF870" s="549"/>
      <c r="AG870" s="1"/>
      <c r="AH870" s="1"/>
      <c r="AI870" s="1"/>
      <c r="AJ870" s="1"/>
      <c r="AK870" s="1"/>
      <c r="AL870" s="1"/>
      <c r="AM870" s="1"/>
      <c r="AN870" s="1"/>
      <c r="AO870" s="1"/>
      <c r="AP870" s="2"/>
      <c r="AQ870" s="2"/>
      <c r="AR870" s="1"/>
      <c r="AS870" s="1"/>
      <c r="AT870" s="1"/>
      <c r="AU870" s="1"/>
      <c r="AV870" s="1"/>
      <c r="AW870" s="1"/>
      <c r="AX870" s="2"/>
      <c r="AY870" s="549"/>
    </row>
    <row r="871" spans="3:51" ht="15.75" customHeight="1" x14ac:dyDescent="0.25">
      <c r="C871" s="1"/>
      <c r="G871" s="1"/>
      <c r="H871" s="1"/>
      <c r="I871" s="1"/>
      <c r="J871" s="557"/>
      <c r="K871" s="549"/>
      <c r="L871" s="557"/>
      <c r="M871" s="557"/>
      <c r="N871" s="557"/>
      <c r="O871" s="557"/>
      <c r="P871" s="557"/>
      <c r="Q871" s="557"/>
      <c r="R871" s="557"/>
      <c r="S871" s="549"/>
      <c r="T871" s="1"/>
      <c r="U871" s="1"/>
      <c r="V871" s="1"/>
      <c r="W871" s="557"/>
      <c r="X871" s="549"/>
      <c r="Y871" s="549"/>
      <c r="Z871" s="549"/>
      <c r="AA871" s="549"/>
      <c r="AB871" s="549"/>
      <c r="AC871" s="549"/>
      <c r="AD871" s="549"/>
      <c r="AE871" s="549"/>
      <c r="AF871" s="549"/>
      <c r="AG871" s="1"/>
      <c r="AH871" s="1"/>
      <c r="AI871" s="1"/>
      <c r="AJ871" s="1"/>
      <c r="AK871" s="1"/>
      <c r="AL871" s="1"/>
      <c r="AM871" s="1"/>
      <c r="AN871" s="1"/>
      <c r="AO871" s="1"/>
      <c r="AP871" s="2"/>
      <c r="AQ871" s="2"/>
      <c r="AR871" s="1"/>
      <c r="AS871" s="1"/>
      <c r="AT871" s="1"/>
      <c r="AU871" s="1"/>
      <c r="AV871" s="1"/>
      <c r="AW871" s="1"/>
      <c r="AX871" s="2"/>
      <c r="AY871" s="549"/>
    </row>
    <row r="872" spans="3:51" ht="15.75" customHeight="1" x14ac:dyDescent="0.25">
      <c r="C872" s="1"/>
      <c r="G872" s="1"/>
      <c r="H872" s="1"/>
      <c r="I872" s="1"/>
      <c r="J872" s="557"/>
      <c r="K872" s="549"/>
      <c r="L872" s="557"/>
      <c r="M872" s="557"/>
      <c r="N872" s="557"/>
      <c r="O872" s="557"/>
      <c r="P872" s="557"/>
      <c r="Q872" s="557"/>
      <c r="R872" s="557"/>
      <c r="S872" s="549"/>
      <c r="T872" s="1"/>
      <c r="U872" s="1"/>
      <c r="V872" s="1"/>
      <c r="W872" s="557"/>
      <c r="X872" s="549"/>
      <c r="Y872" s="549"/>
      <c r="Z872" s="549"/>
      <c r="AA872" s="549"/>
      <c r="AB872" s="549"/>
      <c r="AC872" s="549"/>
      <c r="AD872" s="549"/>
      <c r="AE872" s="549"/>
      <c r="AF872" s="549"/>
      <c r="AG872" s="1"/>
      <c r="AH872" s="1"/>
      <c r="AI872" s="1"/>
      <c r="AJ872" s="1"/>
      <c r="AK872" s="1"/>
      <c r="AL872" s="1"/>
      <c r="AM872" s="1"/>
      <c r="AN872" s="1"/>
      <c r="AO872" s="1"/>
      <c r="AP872" s="2"/>
      <c r="AQ872" s="2"/>
      <c r="AR872" s="1"/>
      <c r="AS872" s="1"/>
      <c r="AT872" s="1"/>
      <c r="AU872" s="1"/>
      <c r="AV872" s="1"/>
      <c r="AW872" s="1"/>
      <c r="AX872" s="2"/>
      <c r="AY872" s="549"/>
    </row>
    <row r="873" spans="3:51" ht="15.75" customHeight="1" x14ac:dyDescent="0.25">
      <c r="C873" s="1"/>
      <c r="G873" s="1"/>
      <c r="H873" s="1"/>
      <c r="I873" s="1"/>
      <c r="J873" s="557"/>
      <c r="K873" s="549"/>
      <c r="L873" s="557"/>
      <c r="M873" s="557"/>
      <c r="N873" s="557"/>
      <c r="O873" s="557"/>
      <c r="P873" s="557"/>
      <c r="Q873" s="557"/>
      <c r="R873" s="557"/>
      <c r="S873" s="549"/>
      <c r="T873" s="1"/>
      <c r="U873" s="1"/>
      <c r="V873" s="1"/>
      <c r="W873" s="557"/>
      <c r="X873" s="549"/>
      <c r="Y873" s="549"/>
      <c r="Z873" s="549"/>
      <c r="AA873" s="549"/>
      <c r="AB873" s="549"/>
      <c r="AC873" s="549"/>
      <c r="AD873" s="549"/>
      <c r="AE873" s="549"/>
      <c r="AF873" s="549"/>
      <c r="AG873" s="1"/>
      <c r="AH873" s="1"/>
      <c r="AI873" s="1"/>
      <c r="AJ873" s="1"/>
      <c r="AK873" s="1"/>
      <c r="AL873" s="1"/>
      <c r="AM873" s="1"/>
      <c r="AN873" s="1"/>
      <c r="AO873" s="1"/>
      <c r="AP873" s="2"/>
      <c r="AQ873" s="2"/>
      <c r="AR873" s="1"/>
      <c r="AS873" s="1"/>
      <c r="AT873" s="1"/>
      <c r="AU873" s="1"/>
      <c r="AV873" s="1"/>
      <c r="AW873" s="1"/>
      <c r="AX873" s="2"/>
      <c r="AY873" s="549"/>
    </row>
    <row r="874" spans="3:51" ht="15.75" customHeight="1" x14ac:dyDescent="0.25">
      <c r="C874" s="1"/>
      <c r="G874" s="1"/>
      <c r="H874" s="1"/>
      <c r="I874" s="1"/>
      <c r="J874" s="557"/>
      <c r="K874" s="549"/>
      <c r="L874" s="557"/>
      <c r="M874" s="557"/>
      <c r="N874" s="557"/>
      <c r="O874" s="557"/>
      <c r="P874" s="557"/>
      <c r="Q874" s="557"/>
      <c r="R874" s="557"/>
      <c r="S874" s="549"/>
      <c r="T874" s="1"/>
      <c r="U874" s="1"/>
      <c r="V874" s="1"/>
      <c r="W874" s="557"/>
      <c r="X874" s="549"/>
      <c r="Y874" s="549"/>
      <c r="Z874" s="549"/>
      <c r="AA874" s="549"/>
      <c r="AB874" s="549"/>
      <c r="AC874" s="549"/>
      <c r="AD874" s="549"/>
      <c r="AE874" s="549"/>
      <c r="AF874" s="549"/>
      <c r="AG874" s="1"/>
      <c r="AH874" s="1"/>
      <c r="AI874" s="1"/>
      <c r="AJ874" s="1"/>
      <c r="AK874" s="1"/>
      <c r="AL874" s="1"/>
      <c r="AM874" s="1"/>
      <c r="AN874" s="1"/>
      <c r="AO874" s="1"/>
      <c r="AP874" s="2"/>
      <c r="AQ874" s="2"/>
      <c r="AR874" s="1"/>
      <c r="AS874" s="1"/>
      <c r="AT874" s="1"/>
      <c r="AU874" s="1"/>
      <c r="AV874" s="1"/>
      <c r="AW874" s="1"/>
      <c r="AX874" s="2"/>
      <c r="AY874" s="549"/>
    </row>
    <row r="875" spans="3:51" ht="15.75" customHeight="1" x14ac:dyDescent="0.25">
      <c r="C875" s="1"/>
      <c r="G875" s="1"/>
      <c r="H875" s="1"/>
      <c r="I875" s="1"/>
      <c r="J875" s="557"/>
      <c r="K875" s="549"/>
      <c r="L875" s="557"/>
      <c r="M875" s="557"/>
      <c r="N875" s="557"/>
      <c r="O875" s="557"/>
      <c r="P875" s="557"/>
      <c r="Q875" s="557"/>
      <c r="R875" s="557"/>
      <c r="S875" s="549"/>
      <c r="T875" s="1"/>
      <c r="U875" s="1"/>
      <c r="V875" s="1"/>
      <c r="W875" s="557"/>
      <c r="X875" s="549"/>
      <c r="Y875" s="549"/>
      <c r="Z875" s="549"/>
      <c r="AA875" s="549"/>
      <c r="AB875" s="549"/>
      <c r="AC875" s="549"/>
      <c r="AD875" s="549"/>
      <c r="AE875" s="549"/>
      <c r="AF875" s="549"/>
      <c r="AG875" s="1"/>
      <c r="AH875" s="1"/>
      <c r="AI875" s="1"/>
      <c r="AJ875" s="1"/>
      <c r="AK875" s="1"/>
      <c r="AL875" s="1"/>
      <c r="AM875" s="1"/>
      <c r="AN875" s="1"/>
      <c r="AO875" s="1"/>
      <c r="AP875" s="2"/>
      <c r="AQ875" s="2"/>
      <c r="AR875" s="1"/>
      <c r="AS875" s="1"/>
      <c r="AT875" s="1"/>
      <c r="AU875" s="1"/>
      <c r="AV875" s="1"/>
      <c r="AW875" s="1"/>
      <c r="AX875" s="2"/>
      <c r="AY875" s="549"/>
    </row>
    <row r="876" spans="3:51" ht="15.75" customHeight="1" x14ac:dyDescent="0.25">
      <c r="C876" s="1"/>
      <c r="G876" s="1"/>
      <c r="H876" s="1"/>
      <c r="I876" s="1"/>
      <c r="J876" s="557"/>
      <c r="K876" s="549"/>
      <c r="L876" s="557"/>
      <c r="M876" s="557"/>
      <c r="N876" s="557"/>
      <c r="O876" s="557"/>
      <c r="P876" s="557"/>
      <c r="Q876" s="557"/>
      <c r="R876" s="557"/>
      <c r="S876" s="549"/>
      <c r="T876" s="1"/>
      <c r="U876" s="1"/>
      <c r="V876" s="1"/>
      <c r="W876" s="557"/>
      <c r="X876" s="549"/>
      <c r="Y876" s="549"/>
      <c r="Z876" s="549"/>
      <c r="AA876" s="549"/>
      <c r="AB876" s="549"/>
      <c r="AC876" s="549"/>
      <c r="AD876" s="549"/>
      <c r="AE876" s="549"/>
      <c r="AF876" s="549"/>
      <c r="AG876" s="1"/>
      <c r="AH876" s="1"/>
      <c r="AI876" s="1"/>
      <c r="AJ876" s="1"/>
      <c r="AK876" s="1"/>
      <c r="AL876" s="1"/>
      <c r="AM876" s="1"/>
      <c r="AN876" s="1"/>
      <c r="AO876" s="1"/>
      <c r="AP876" s="2"/>
      <c r="AQ876" s="2"/>
      <c r="AR876" s="1"/>
      <c r="AS876" s="1"/>
      <c r="AT876" s="1"/>
      <c r="AU876" s="1"/>
      <c r="AV876" s="1"/>
      <c r="AW876" s="1"/>
      <c r="AX876" s="2"/>
      <c r="AY876" s="549"/>
    </row>
    <row r="877" spans="3:51" ht="15.75" customHeight="1" x14ac:dyDescent="0.25">
      <c r="C877" s="1"/>
      <c r="G877" s="1"/>
      <c r="H877" s="1"/>
      <c r="I877" s="1"/>
      <c r="J877" s="557"/>
      <c r="K877" s="549"/>
      <c r="L877" s="557"/>
      <c r="M877" s="557"/>
      <c r="N877" s="557"/>
      <c r="O877" s="557"/>
      <c r="P877" s="557"/>
      <c r="Q877" s="557"/>
      <c r="R877" s="557"/>
      <c r="S877" s="549"/>
      <c r="T877" s="1"/>
      <c r="U877" s="1"/>
      <c r="V877" s="1"/>
      <c r="W877" s="557"/>
      <c r="X877" s="549"/>
      <c r="Y877" s="549"/>
      <c r="Z877" s="549"/>
      <c r="AA877" s="549"/>
      <c r="AB877" s="549"/>
      <c r="AC877" s="549"/>
      <c r="AD877" s="549"/>
      <c r="AE877" s="549"/>
      <c r="AF877" s="549"/>
      <c r="AG877" s="1"/>
      <c r="AH877" s="1"/>
      <c r="AI877" s="1"/>
      <c r="AJ877" s="1"/>
      <c r="AK877" s="1"/>
      <c r="AL877" s="1"/>
      <c r="AM877" s="1"/>
      <c r="AN877" s="1"/>
      <c r="AO877" s="1"/>
      <c r="AP877" s="2"/>
      <c r="AQ877" s="2"/>
      <c r="AR877" s="1"/>
      <c r="AS877" s="1"/>
      <c r="AT877" s="1"/>
      <c r="AU877" s="1"/>
      <c r="AV877" s="1"/>
      <c r="AW877" s="1"/>
      <c r="AX877" s="2"/>
      <c r="AY877" s="549"/>
    </row>
    <row r="878" spans="3:51" ht="15.75" customHeight="1" x14ac:dyDescent="0.25">
      <c r="C878" s="1"/>
      <c r="G878" s="1"/>
      <c r="H878" s="1"/>
      <c r="I878" s="1"/>
      <c r="J878" s="557"/>
      <c r="K878" s="549"/>
      <c r="L878" s="557"/>
      <c r="M878" s="557"/>
      <c r="N878" s="557"/>
      <c r="O878" s="557"/>
      <c r="P878" s="557"/>
      <c r="Q878" s="557"/>
      <c r="R878" s="557"/>
      <c r="S878" s="549"/>
      <c r="T878" s="1"/>
      <c r="U878" s="1"/>
      <c r="V878" s="1"/>
      <c r="W878" s="557"/>
      <c r="X878" s="549"/>
      <c r="Y878" s="549"/>
      <c r="Z878" s="549"/>
      <c r="AA878" s="549"/>
      <c r="AB878" s="549"/>
      <c r="AC878" s="549"/>
      <c r="AD878" s="549"/>
      <c r="AE878" s="549"/>
      <c r="AF878" s="549"/>
      <c r="AG878" s="1"/>
      <c r="AH878" s="1"/>
      <c r="AI878" s="1"/>
      <c r="AJ878" s="1"/>
      <c r="AK878" s="1"/>
      <c r="AL878" s="1"/>
      <c r="AM878" s="1"/>
      <c r="AN878" s="1"/>
      <c r="AO878" s="1"/>
      <c r="AP878" s="2"/>
      <c r="AQ878" s="2"/>
      <c r="AR878" s="1"/>
      <c r="AS878" s="1"/>
      <c r="AT878" s="1"/>
      <c r="AU878" s="1"/>
      <c r="AV878" s="1"/>
      <c r="AW878" s="1"/>
      <c r="AX878" s="2"/>
      <c r="AY878" s="549"/>
    </row>
    <row r="879" spans="3:51" ht="15.75" customHeight="1" x14ac:dyDescent="0.25">
      <c r="C879" s="1"/>
      <c r="G879" s="1"/>
      <c r="H879" s="1"/>
      <c r="I879" s="1"/>
      <c r="J879" s="557"/>
      <c r="K879" s="549"/>
      <c r="L879" s="557"/>
      <c r="M879" s="557"/>
      <c r="N879" s="557"/>
      <c r="O879" s="557"/>
      <c r="P879" s="557"/>
      <c r="Q879" s="557"/>
      <c r="R879" s="557"/>
      <c r="S879" s="549"/>
      <c r="T879" s="1"/>
      <c r="U879" s="1"/>
      <c r="V879" s="1"/>
      <c r="W879" s="557"/>
      <c r="X879" s="549"/>
      <c r="Y879" s="549"/>
      <c r="Z879" s="549"/>
      <c r="AA879" s="549"/>
      <c r="AB879" s="549"/>
      <c r="AC879" s="549"/>
      <c r="AD879" s="549"/>
      <c r="AE879" s="549"/>
      <c r="AF879" s="549"/>
      <c r="AG879" s="1"/>
      <c r="AH879" s="1"/>
      <c r="AI879" s="1"/>
      <c r="AJ879" s="1"/>
      <c r="AK879" s="1"/>
      <c r="AL879" s="1"/>
      <c r="AM879" s="1"/>
      <c r="AN879" s="1"/>
      <c r="AO879" s="1"/>
      <c r="AP879" s="2"/>
      <c r="AQ879" s="2"/>
      <c r="AR879" s="1"/>
      <c r="AS879" s="1"/>
      <c r="AT879" s="1"/>
      <c r="AU879" s="1"/>
      <c r="AV879" s="1"/>
      <c r="AW879" s="1"/>
      <c r="AX879" s="2"/>
      <c r="AY879" s="549"/>
    </row>
    <row r="880" spans="3:51" ht="15.75" customHeight="1" x14ac:dyDescent="0.25">
      <c r="C880" s="1"/>
      <c r="G880" s="1"/>
      <c r="H880" s="1"/>
      <c r="I880" s="1"/>
      <c r="J880" s="557"/>
      <c r="K880" s="549"/>
      <c r="L880" s="557"/>
      <c r="M880" s="557"/>
      <c r="N880" s="557"/>
      <c r="O880" s="557"/>
      <c r="P880" s="557"/>
      <c r="Q880" s="557"/>
      <c r="R880" s="557"/>
      <c r="S880" s="549"/>
      <c r="T880" s="1"/>
      <c r="U880" s="1"/>
      <c r="V880" s="1"/>
      <c r="W880" s="557"/>
      <c r="X880" s="549"/>
      <c r="Y880" s="549"/>
      <c r="Z880" s="549"/>
      <c r="AA880" s="549"/>
      <c r="AB880" s="549"/>
      <c r="AC880" s="549"/>
      <c r="AD880" s="549"/>
      <c r="AE880" s="549"/>
      <c r="AF880" s="549"/>
      <c r="AG880" s="1"/>
      <c r="AH880" s="1"/>
      <c r="AI880" s="1"/>
      <c r="AJ880" s="1"/>
      <c r="AK880" s="1"/>
      <c r="AL880" s="1"/>
      <c r="AM880" s="1"/>
      <c r="AN880" s="1"/>
      <c r="AO880" s="1"/>
      <c r="AP880" s="2"/>
      <c r="AQ880" s="2"/>
      <c r="AR880" s="1"/>
      <c r="AS880" s="1"/>
      <c r="AT880" s="1"/>
      <c r="AU880" s="1"/>
      <c r="AV880" s="1"/>
      <c r="AW880" s="1"/>
      <c r="AX880" s="2"/>
      <c r="AY880" s="549"/>
    </row>
    <row r="881" spans="3:51" ht="15.75" customHeight="1" x14ac:dyDescent="0.25">
      <c r="C881" s="1"/>
      <c r="G881" s="1"/>
      <c r="H881" s="1"/>
      <c r="I881" s="1"/>
      <c r="J881" s="557"/>
      <c r="K881" s="549"/>
      <c r="L881" s="557"/>
      <c r="M881" s="557"/>
      <c r="N881" s="557"/>
      <c r="O881" s="557"/>
      <c r="P881" s="557"/>
      <c r="Q881" s="557"/>
      <c r="R881" s="557"/>
      <c r="S881" s="549"/>
      <c r="T881" s="1"/>
      <c r="U881" s="1"/>
      <c r="V881" s="1"/>
      <c r="W881" s="557"/>
      <c r="X881" s="549"/>
      <c r="Y881" s="549"/>
      <c r="Z881" s="549"/>
      <c r="AA881" s="549"/>
      <c r="AB881" s="549"/>
      <c r="AC881" s="549"/>
      <c r="AD881" s="549"/>
      <c r="AE881" s="549"/>
      <c r="AF881" s="549"/>
      <c r="AG881" s="1"/>
      <c r="AH881" s="1"/>
      <c r="AI881" s="1"/>
      <c r="AJ881" s="1"/>
      <c r="AK881" s="1"/>
      <c r="AL881" s="1"/>
      <c r="AM881" s="1"/>
      <c r="AN881" s="1"/>
      <c r="AO881" s="1"/>
      <c r="AP881" s="2"/>
      <c r="AQ881" s="2"/>
      <c r="AR881" s="1"/>
      <c r="AS881" s="1"/>
      <c r="AT881" s="1"/>
      <c r="AU881" s="1"/>
      <c r="AV881" s="1"/>
      <c r="AW881" s="1"/>
      <c r="AX881" s="2"/>
      <c r="AY881" s="549"/>
    </row>
    <row r="882" spans="3:51" ht="15.75" customHeight="1" x14ac:dyDescent="0.25">
      <c r="C882" s="1"/>
      <c r="G882" s="1"/>
      <c r="H882" s="1"/>
      <c r="I882" s="1"/>
      <c r="J882" s="557"/>
      <c r="K882" s="549"/>
      <c r="L882" s="557"/>
      <c r="M882" s="557"/>
      <c r="N882" s="557"/>
      <c r="O882" s="557"/>
      <c r="P882" s="557"/>
      <c r="Q882" s="557"/>
      <c r="R882" s="557"/>
      <c r="S882" s="549"/>
      <c r="T882" s="1"/>
      <c r="U882" s="1"/>
      <c r="V882" s="1"/>
      <c r="W882" s="557"/>
      <c r="X882" s="549"/>
      <c r="Y882" s="549"/>
      <c r="Z882" s="549"/>
      <c r="AA882" s="549"/>
      <c r="AB882" s="549"/>
      <c r="AC882" s="549"/>
      <c r="AD882" s="549"/>
      <c r="AE882" s="549"/>
      <c r="AF882" s="549"/>
      <c r="AG882" s="1"/>
      <c r="AH882" s="1"/>
      <c r="AI882" s="1"/>
      <c r="AJ882" s="1"/>
      <c r="AK882" s="1"/>
      <c r="AL882" s="1"/>
      <c r="AM882" s="1"/>
      <c r="AN882" s="1"/>
      <c r="AO882" s="1"/>
      <c r="AP882" s="2"/>
      <c r="AQ882" s="2"/>
      <c r="AR882" s="1"/>
      <c r="AS882" s="1"/>
      <c r="AT882" s="1"/>
      <c r="AU882" s="1"/>
      <c r="AV882" s="1"/>
      <c r="AW882" s="1"/>
      <c r="AX882" s="2"/>
      <c r="AY882" s="549"/>
    </row>
    <row r="883" spans="3:51" ht="15.75" customHeight="1" x14ac:dyDescent="0.25">
      <c r="C883" s="1"/>
      <c r="G883" s="1"/>
      <c r="H883" s="1"/>
      <c r="I883" s="1"/>
      <c r="J883" s="557"/>
      <c r="K883" s="549"/>
      <c r="L883" s="557"/>
      <c r="M883" s="557"/>
      <c r="N883" s="557"/>
      <c r="O883" s="557"/>
      <c r="P883" s="557"/>
      <c r="Q883" s="557"/>
      <c r="R883" s="557"/>
      <c r="S883" s="549"/>
      <c r="T883" s="1"/>
      <c r="U883" s="1"/>
      <c r="V883" s="1"/>
      <c r="W883" s="557"/>
      <c r="X883" s="549"/>
      <c r="Y883" s="549"/>
      <c r="Z883" s="549"/>
      <c r="AA883" s="549"/>
      <c r="AB883" s="549"/>
      <c r="AC883" s="549"/>
      <c r="AD883" s="549"/>
      <c r="AE883" s="549"/>
      <c r="AF883" s="549"/>
      <c r="AG883" s="1"/>
      <c r="AH883" s="1"/>
      <c r="AI883" s="1"/>
      <c r="AJ883" s="1"/>
      <c r="AK883" s="1"/>
      <c r="AL883" s="1"/>
      <c r="AM883" s="1"/>
      <c r="AN883" s="1"/>
      <c r="AO883" s="1"/>
      <c r="AP883" s="2"/>
      <c r="AQ883" s="2"/>
      <c r="AR883" s="1"/>
      <c r="AS883" s="1"/>
      <c r="AT883" s="1"/>
      <c r="AU883" s="1"/>
      <c r="AV883" s="1"/>
      <c r="AW883" s="1"/>
      <c r="AX883" s="2"/>
      <c r="AY883" s="549"/>
    </row>
    <row r="884" spans="3:51" ht="15.75" customHeight="1" x14ac:dyDescent="0.25">
      <c r="C884" s="1"/>
      <c r="G884" s="1"/>
      <c r="H884" s="1"/>
      <c r="I884" s="1"/>
      <c r="J884" s="557"/>
      <c r="K884" s="549"/>
      <c r="L884" s="557"/>
      <c r="M884" s="557"/>
      <c r="N884" s="557"/>
      <c r="O884" s="557"/>
      <c r="P884" s="557"/>
      <c r="Q884" s="557"/>
      <c r="R884" s="557"/>
      <c r="S884" s="549"/>
      <c r="T884" s="1"/>
      <c r="U884" s="1"/>
      <c r="V884" s="1"/>
      <c r="W884" s="557"/>
      <c r="X884" s="549"/>
      <c r="Y884" s="549"/>
      <c r="Z884" s="549"/>
      <c r="AA884" s="549"/>
      <c r="AB884" s="549"/>
      <c r="AC884" s="549"/>
      <c r="AD884" s="549"/>
      <c r="AE884" s="549"/>
      <c r="AF884" s="549"/>
      <c r="AG884" s="1"/>
      <c r="AH884" s="1"/>
      <c r="AI884" s="1"/>
      <c r="AJ884" s="1"/>
      <c r="AK884" s="1"/>
      <c r="AL884" s="1"/>
      <c r="AM884" s="1"/>
      <c r="AN884" s="1"/>
      <c r="AO884" s="1"/>
      <c r="AP884" s="2"/>
      <c r="AQ884" s="2"/>
      <c r="AR884" s="1"/>
      <c r="AS884" s="1"/>
      <c r="AT884" s="1"/>
      <c r="AU884" s="1"/>
      <c r="AV884" s="1"/>
      <c r="AW884" s="1"/>
      <c r="AX884" s="2"/>
      <c r="AY884" s="549"/>
    </row>
    <row r="885" spans="3:51" ht="15.75" customHeight="1" x14ac:dyDescent="0.25">
      <c r="C885" s="1"/>
      <c r="G885" s="1"/>
      <c r="H885" s="1"/>
      <c r="I885" s="1"/>
      <c r="J885" s="557"/>
      <c r="K885" s="549"/>
      <c r="L885" s="557"/>
      <c r="M885" s="557"/>
      <c r="N885" s="557"/>
      <c r="O885" s="557"/>
      <c r="P885" s="557"/>
      <c r="Q885" s="557"/>
      <c r="R885" s="557"/>
      <c r="S885" s="549"/>
      <c r="T885" s="1"/>
      <c r="U885" s="1"/>
      <c r="V885" s="1"/>
      <c r="W885" s="557"/>
      <c r="X885" s="549"/>
      <c r="Y885" s="549"/>
      <c r="Z885" s="549"/>
      <c r="AA885" s="549"/>
      <c r="AB885" s="549"/>
      <c r="AC885" s="549"/>
      <c r="AD885" s="549"/>
      <c r="AE885" s="549"/>
      <c r="AF885" s="549"/>
      <c r="AG885" s="1"/>
      <c r="AH885" s="1"/>
      <c r="AI885" s="1"/>
      <c r="AJ885" s="1"/>
      <c r="AK885" s="1"/>
      <c r="AL885" s="1"/>
      <c r="AM885" s="1"/>
      <c r="AN885" s="1"/>
      <c r="AO885" s="1"/>
      <c r="AP885" s="2"/>
      <c r="AQ885" s="2"/>
      <c r="AR885" s="1"/>
      <c r="AS885" s="1"/>
      <c r="AT885" s="1"/>
      <c r="AU885" s="1"/>
      <c r="AV885" s="1"/>
      <c r="AW885" s="1"/>
      <c r="AX885" s="2"/>
      <c r="AY885" s="549"/>
    </row>
    <row r="886" spans="3:51" ht="15.75" customHeight="1" x14ac:dyDescent="0.25">
      <c r="C886" s="1"/>
      <c r="G886" s="1"/>
      <c r="H886" s="1"/>
      <c r="I886" s="1"/>
      <c r="J886" s="557"/>
      <c r="K886" s="549"/>
      <c r="L886" s="557"/>
      <c r="M886" s="557"/>
      <c r="N886" s="557"/>
      <c r="O886" s="557"/>
      <c r="P886" s="557"/>
      <c r="Q886" s="557"/>
      <c r="R886" s="557"/>
      <c r="S886" s="549"/>
      <c r="T886" s="1"/>
      <c r="U886" s="1"/>
      <c r="V886" s="1"/>
      <c r="W886" s="557"/>
      <c r="X886" s="549"/>
      <c r="Y886" s="549"/>
      <c r="Z886" s="549"/>
      <c r="AA886" s="549"/>
      <c r="AB886" s="549"/>
      <c r="AC886" s="549"/>
      <c r="AD886" s="549"/>
      <c r="AE886" s="549"/>
      <c r="AF886" s="549"/>
      <c r="AG886" s="1"/>
      <c r="AH886" s="1"/>
      <c r="AI886" s="1"/>
      <c r="AJ886" s="1"/>
      <c r="AK886" s="1"/>
      <c r="AL886" s="1"/>
      <c r="AM886" s="1"/>
      <c r="AN886" s="1"/>
      <c r="AO886" s="1"/>
      <c r="AP886" s="2"/>
      <c r="AQ886" s="2"/>
      <c r="AR886" s="1"/>
      <c r="AS886" s="1"/>
      <c r="AT886" s="1"/>
      <c r="AU886" s="1"/>
      <c r="AV886" s="1"/>
      <c r="AW886" s="1"/>
      <c r="AX886" s="2"/>
      <c r="AY886" s="549"/>
    </row>
    <row r="887" spans="3:51" ht="15.75" customHeight="1" x14ac:dyDescent="0.25">
      <c r="C887" s="1"/>
      <c r="G887" s="1"/>
      <c r="H887" s="1"/>
      <c r="I887" s="1"/>
      <c r="J887" s="557"/>
      <c r="K887" s="549"/>
      <c r="L887" s="557"/>
      <c r="M887" s="557"/>
      <c r="N887" s="557"/>
      <c r="O887" s="557"/>
      <c r="P887" s="557"/>
      <c r="Q887" s="557"/>
      <c r="R887" s="557"/>
      <c r="S887" s="549"/>
      <c r="T887" s="1"/>
      <c r="U887" s="1"/>
      <c r="V887" s="1"/>
      <c r="W887" s="557"/>
      <c r="X887" s="549"/>
      <c r="Y887" s="549"/>
      <c r="Z887" s="549"/>
      <c r="AA887" s="549"/>
      <c r="AB887" s="549"/>
      <c r="AC887" s="549"/>
      <c r="AD887" s="549"/>
      <c r="AE887" s="549"/>
      <c r="AF887" s="549"/>
      <c r="AG887" s="1"/>
      <c r="AH887" s="1"/>
      <c r="AI887" s="1"/>
      <c r="AJ887" s="1"/>
      <c r="AK887" s="1"/>
      <c r="AL887" s="1"/>
      <c r="AM887" s="1"/>
      <c r="AN887" s="1"/>
      <c r="AO887" s="1"/>
      <c r="AP887" s="2"/>
      <c r="AQ887" s="2"/>
      <c r="AR887" s="1"/>
      <c r="AS887" s="1"/>
      <c r="AT887" s="1"/>
      <c r="AU887" s="1"/>
      <c r="AV887" s="1"/>
      <c r="AW887" s="1"/>
      <c r="AX887" s="2"/>
      <c r="AY887" s="549"/>
    </row>
    <row r="888" spans="3:51" ht="15.75" customHeight="1" x14ac:dyDescent="0.25">
      <c r="C888" s="1"/>
      <c r="G888" s="1"/>
      <c r="H888" s="1"/>
      <c r="I888" s="1"/>
      <c r="J888" s="557"/>
      <c r="K888" s="549"/>
      <c r="L888" s="557"/>
      <c r="M888" s="557"/>
      <c r="N888" s="557"/>
      <c r="O888" s="557"/>
      <c r="P888" s="557"/>
      <c r="Q888" s="557"/>
      <c r="R888" s="557"/>
      <c r="S888" s="549"/>
      <c r="T888" s="1"/>
      <c r="U888" s="1"/>
      <c r="V888" s="1"/>
      <c r="W888" s="557"/>
      <c r="X888" s="549"/>
      <c r="Y888" s="549"/>
      <c r="Z888" s="549"/>
      <c r="AA888" s="549"/>
      <c r="AB888" s="549"/>
      <c r="AC888" s="549"/>
      <c r="AD888" s="549"/>
      <c r="AE888" s="549"/>
      <c r="AF888" s="549"/>
      <c r="AG888" s="1"/>
      <c r="AH888" s="1"/>
      <c r="AI888" s="1"/>
      <c r="AJ888" s="1"/>
      <c r="AK888" s="1"/>
      <c r="AL888" s="1"/>
      <c r="AM888" s="1"/>
      <c r="AN888" s="1"/>
      <c r="AO888" s="1"/>
      <c r="AP888" s="2"/>
      <c r="AQ888" s="2"/>
      <c r="AR888" s="1"/>
      <c r="AS888" s="1"/>
      <c r="AT888" s="1"/>
      <c r="AU888" s="1"/>
      <c r="AV888" s="1"/>
      <c r="AW888" s="1"/>
      <c r="AX888" s="2"/>
      <c r="AY888" s="549"/>
    </row>
    <row r="889" spans="3:51" ht="15.75" customHeight="1" x14ac:dyDescent="0.25">
      <c r="C889" s="1"/>
      <c r="G889" s="1"/>
      <c r="H889" s="1"/>
      <c r="I889" s="1"/>
      <c r="J889" s="557"/>
      <c r="K889" s="549"/>
      <c r="L889" s="557"/>
      <c r="M889" s="557"/>
      <c r="N889" s="557"/>
      <c r="O889" s="557"/>
      <c r="P889" s="557"/>
      <c r="Q889" s="557"/>
      <c r="R889" s="557"/>
      <c r="S889" s="549"/>
      <c r="T889" s="1"/>
      <c r="U889" s="1"/>
      <c r="V889" s="1"/>
      <c r="W889" s="557"/>
      <c r="X889" s="549"/>
      <c r="Y889" s="549"/>
      <c r="Z889" s="549"/>
      <c r="AA889" s="549"/>
      <c r="AB889" s="549"/>
      <c r="AC889" s="549"/>
      <c r="AD889" s="549"/>
      <c r="AE889" s="549"/>
      <c r="AF889" s="549"/>
      <c r="AG889" s="1"/>
      <c r="AH889" s="1"/>
      <c r="AI889" s="1"/>
      <c r="AJ889" s="1"/>
      <c r="AK889" s="1"/>
      <c r="AL889" s="1"/>
      <c r="AM889" s="1"/>
      <c r="AN889" s="1"/>
      <c r="AO889" s="1"/>
      <c r="AP889" s="2"/>
      <c r="AQ889" s="2"/>
      <c r="AR889" s="1"/>
      <c r="AS889" s="1"/>
      <c r="AT889" s="1"/>
      <c r="AU889" s="1"/>
      <c r="AV889" s="1"/>
      <c r="AW889" s="1"/>
      <c r="AX889" s="2"/>
      <c r="AY889" s="549"/>
    </row>
    <row r="890" spans="3:51" ht="15.75" customHeight="1" x14ac:dyDescent="0.25">
      <c r="C890" s="1"/>
      <c r="G890" s="1"/>
      <c r="H890" s="1"/>
      <c r="I890" s="1"/>
      <c r="J890" s="557"/>
      <c r="K890" s="549"/>
      <c r="L890" s="557"/>
      <c r="M890" s="557"/>
      <c r="N890" s="557"/>
      <c r="O890" s="557"/>
      <c r="P890" s="557"/>
      <c r="Q890" s="557"/>
      <c r="R890" s="557"/>
      <c r="S890" s="549"/>
      <c r="T890" s="1"/>
      <c r="U890" s="1"/>
      <c r="V890" s="1"/>
      <c r="W890" s="557"/>
      <c r="X890" s="549"/>
      <c r="Y890" s="549"/>
      <c r="Z890" s="549"/>
      <c r="AA890" s="549"/>
      <c r="AB890" s="549"/>
      <c r="AC890" s="549"/>
      <c r="AD890" s="549"/>
      <c r="AE890" s="549"/>
      <c r="AF890" s="549"/>
      <c r="AG890" s="1"/>
      <c r="AH890" s="1"/>
      <c r="AI890" s="1"/>
      <c r="AJ890" s="1"/>
      <c r="AK890" s="1"/>
      <c r="AL890" s="1"/>
      <c r="AM890" s="1"/>
      <c r="AN890" s="1"/>
      <c r="AO890" s="1"/>
      <c r="AP890" s="2"/>
      <c r="AQ890" s="2"/>
      <c r="AR890" s="1"/>
      <c r="AS890" s="1"/>
      <c r="AT890" s="1"/>
      <c r="AU890" s="1"/>
      <c r="AV890" s="1"/>
      <c r="AW890" s="1"/>
      <c r="AX890" s="2"/>
      <c r="AY890" s="549"/>
    </row>
    <row r="891" spans="3:51" ht="15.75" customHeight="1" x14ac:dyDescent="0.25">
      <c r="C891" s="1"/>
      <c r="G891" s="1"/>
      <c r="H891" s="1"/>
      <c r="I891" s="1"/>
      <c r="J891" s="557"/>
      <c r="K891" s="549"/>
      <c r="L891" s="557"/>
      <c r="M891" s="557"/>
      <c r="N891" s="557"/>
      <c r="O891" s="557"/>
      <c r="P891" s="557"/>
      <c r="Q891" s="557"/>
      <c r="R891" s="557"/>
      <c r="S891" s="549"/>
      <c r="T891" s="1"/>
      <c r="U891" s="1"/>
      <c r="V891" s="1"/>
      <c r="W891" s="557"/>
      <c r="X891" s="549"/>
      <c r="Y891" s="549"/>
      <c r="Z891" s="549"/>
      <c r="AA891" s="549"/>
      <c r="AB891" s="549"/>
      <c r="AC891" s="549"/>
      <c r="AD891" s="549"/>
      <c r="AE891" s="549"/>
      <c r="AF891" s="549"/>
      <c r="AG891" s="1"/>
      <c r="AH891" s="1"/>
      <c r="AI891" s="1"/>
      <c r="AJ891" s="1"/>
      <c r="AK891" s="1"/>
      <c r="AL891" s="1"/>
      <c r="AM891" s="1"/>
      <c r="AN891" s="1"/>
      <c r="AO891" s="1"/>
      <c r="AP891" s="2"/>
      <c r="AQ891" s="2"/>
      <c r="AR891" s="1"/>
      <c r="AS891" s="1"/>
      <c r="AT891" s="1"/>
      <c r="AU891" s="1"/>
      <c r="AV891" s="1"/>
      <c r="AW891" s="1"/>
      <c r="AX891" s="2"/>
      <c r="AY891" s="549"/>
    </row>
    <row r="892" spans="3:51" ht="15.75" customHeight="1" x14ac:dyDescent="0.25">
      <c r="C892" s="1"/>
      <c r="G892" s="1"/>
      <c r="H892" s="1"/>
      <c r="I892" s="1"/>
      <c r="J892" s="557"/>
      <c r="K892" s="549"/>
      <c r="L892" s="557"/>
      <c r="M892" s="557"/>
      <c r="N892" s="557"/>
      <c r="O892" s="557"/>
      <c r="P892" s="557"/>
      <c r="Q892" s="557"/>
      <c r="R892" s="557"/>
      <c r="S892" s="549"/>
      <c r="T892" s="1"/>
      <c r="U892" s="1"/>
      <c r="V892" s="1"/>
      <c r="W892" s="557"/>
      <c r="X892" s="549"/>
      <c r="Y892" s="549"/>
      <c r="Z892" s="549"/>
      <c r="AA892" s="549"/>
      <c r="AB892" s="549"/>
      <c r="AC892" s="549"/>
      <c r="AD892" s="549"/>
      <c r="AE892" s="549"/>
      <c r="AF892" s="549"/>
      <c r="AG892" s="1"/>
      <c r="AH892" s="1"/>
      <c r="AI892" s="1"/>
      <c r="AJ892" s="1"/>
      <c r="AK892" s="1"/>
      <c r="AL892" s="1"/>
      <c r="AM892" s="1"/>
      <c r="AN892" s="1"/>
      <c r="AO892" s="1"/>
      <c r="AP892" s="2"/>
      <c r="AQ892" s="2"/>
      <c r="AR892" s="1"/>
      <c r="AS892" s="1"/>
      <c r="AT892" s="1"/>
      <c r="AU892" s="1"/>
      <c r="AV892" s="1"/>
      <c r="AW892" s="1"/>
      <c r="AX892" s="2"/>
      <c r="AY892" s="549"/>
    </row>
    <row r="893" spans="3:51" ht="15.75" customHeight="1" x14ac:dyDescent="0.25">
      <c r="C893" s="1"/>
      <c r="G893" s="1"/>
      <c r="H893" s="1"/>
      <c r="I893" s="1"/>
      <c r="J893" s="557"/>
      <c r="K893" s="549"/>
      <c r="L893" s="557"/>
      <c r="M893" s="557"/>
      <c r="N893" s="557"/>
      <c r="O893" s="557"/>
      <c r="P893" s="557"/>
      <c r="Q893" s="557"/>
      <c r="R893" s="557"/>
      <c r="S893" s="549"/>
      <c r="T893" s="1"/>
      <c r="U893" s="1"/>
      <c r="V893" s="1"/>
      <c r="W893" s="557"/>
      <c r="X893" s="549"/>
      <c r="Y893" s="549"/>
      <c r="Z893" s="549"/>
      <c r="AA893" s="549"/>
      <c r="AB893" s="549"/>
      <c r="AC893" s="549"/>
      <c r="AD893" s="549"/>
      <c r="AE893" s="549"/>
      <c r="AF893" s="549"/>
      <c r="AG893" s="1"/>
      <c r="AH893" s="1"/>
      <c r="AI893" s="1"/>
      <c r="AJ893" s="1"/>
      <c r="AK893" s="1"/>
      <c r="AL893" s="1"/>
      <c r="AM893" s="1"/>
      <c r="AN893" s="1"/>
      <c r="AO893" s="1"/>
      <c r="AP893" s="2"/>
      <c r="AQ893" s="2"/>
      <c r="AR893" s="1"/>
      <c r="AS893" s="1"/>
      <c r="AT893" s="1"/>
      <c r="AU893" s="1"/>
      <c r="AV893" s="1"/>
      <c r="AW893" s="1"/>
      <c r="AX893" s="2"/>
      <c r="AY893" s="549"/>
    </row>
    <row r="894" spans="3:51" ht="15.75" customHeight="1" x14ac:dyDescent="0.25">
      <c r="C894" s="1"/>
      <c r="G894" s="1"/>
      <c r="H894" s="1"/>
      <c r="I894" s="1"/>
      <c r="J894" s="557"/>
      <c r="K894" s="549"/>
      <c r="L894" s="557"/>
      <c r="M894" s="557"/>
      <c r="N894" s="557"/>
      <c r="O894" s="557"/>
      <c r="P894" s="557"/>
      <c r="Q894" s="557"/>
      <c r="R894" s="557"/>
      <c r="S894" s="549"/>
      <c r="T894" s="1"/>
      <c r="U894" s="1"/>
      <c r="V894" s="1"/>
      <c r="W894" s="557"/>
      <c r="X894" s="549"/>
      <c r="Y894" s="549"/>
      <c r="Z894" s="549"/>
      <c r="AA894" s="549"/>
      <c r="AB894" s="549"/>
      <c r="AC894" s="549"/>
      <c r="AD894" s="549"/>
      <c r="AE894" s="549"/>
      <c r="AF894" s="549"/>
      <c r="AG894" s="1"/>
      <c r="AH894" s="1"/>
      <c r="AI894" s="1"/>
      <c r="AJ894" s="1"/>
      <c r="AK894" s="1"/>
      <c r="AL894" s="1"/>
      <c r="AM894" s="1"/>
      <c r="AN894" s="1"/>
      <c r="AO894" s="1"/>
      <c r="AP894" s="2"/>
      <c r="AQ894" s="2"/>
      <c r="AR894" s="1"/>
      <c r="AS894" s="1"/>
      <c r="AT894" s="1"/>
      <c r="AU894" s="1"/>
      <c r="AV894" s="1"/>
      <c r="AW894" s="1"/>
      <c r="AX894" s="2"/>
      <c r="AY894" s="549"/>
    </row>
    <row r="895" spans="3:51" ht="15.75" customHeight="1" x14ac:dyDescent="0.25">
      <c r="C895" s="1"/>
      <c r="G895" s="1"/>
      <c r="H895" s="1"/>
      <c r="I895" s="1"/>
      <c r="J895" s="557"/>
      <c r="K895" s="549"/>
      <c r="L895" s="557"/>
      <c r="M895" s="557"/>
      <c r="N895" s="557"/>
      <c r="O895" s="557"/>
      <c r="P895" s="557"/>
      <c r="Q895" s="557"/>
      <c r="R895" s="557"/>
      <c r="S895" s="549"/>
      <c r="T895" s="1"/>
      <c r="U895" s="1"/>
      <c r="V895" s="1"/>
      <c r="W895" s="557"/>
      <c r="X895" s="549"/>
      <c r="Y895" s="549"/>
      <c r="Z895" s="549"/>
      <c r="AA895" s="549"/>
      <c r="AB895" s="549"/>
      <c r="AC895" s="549"/>
      <c r="AD895" s="549"/>
      <c r="AE895" s="549"/>
      <c r="AF895" s="549"/>
      <c r="AG895" s="1"/>
      <c r="AH895" s="1"/>
      <c r="AI895" s="1"/>
      <c r="AJ895" s="1"/>
      <c r="AK895" s="1"/>
      <c r="AL895" s="1"/>
      <c r="AM895" s="1"/>
      <c r="AN895" s="1"/>
      <c r="AO895" s="1"/>
      <c r="AP895" s="2"/>
      <c r="AQ895" s="2"/>
      <c r="AR895" s="1"/>
      <c r="AS895" s="1"/>
      <c r="AT895" s="1"/>
      <c r="AU895" s="1"/>
      <c r="AV895" s="1"/>
      <c r="AW895" s="1"/>
      <c r="AX895" s="2"/>
      <c r="AY895" s="549"/>
    </row>
    <row r="896" spans="3:51" ht="15.75" customHeight="1" x14ac:dyDescent="0.25">
      <c r="C896" s="1"/>
      <c r="G896" s="1"/>
      <c r="H896" s="1"/>
      <c r="I896" s="1"/>
      <c r="J896" s="557"/>
      <c r="K896" s="549"/>
      <c r="L896" s="557"/>
      <c r="M896" s="557"/>
      <c r="N896" s="557"/>
      <c r="O896" s="557"/>
      <c r="P896" s="557"/>
      <c r="Q896" s="557"/>
      <c r="R896" s="557"/>
      <c r="S896" s="549"/>
      <c r="T896" s="1"/>
      <c r="U896" s="1"/>
      <c r="V896" s="1"/>
      <c r="W896" s="557"/>
      <c r="X896" s="549"/>
      <c r="Y896" s="549"/>
      <c r="Z896" s="549"/>
      <c r="AA896" s="549"/>
      <c r="AB896" s="549"/>
      <c r="AC896" s="549"/>
      <c r="AD896" s="549"/>
      <c r="AE896" s="549"/>
      <c r="AF896" s="549"/>
      <c r="AG896" s="1"/>
      <c r="AH896" s="1"/>
      <c r="AI896" s="1"/>
      <c r="AJ896" s="1"/>
      <c r="AK896" s="1"/>
      <c r="AL896" s="1"/>
      <c r="AM896" s="1"/>
      <c r="AN896" s="1"/>
      <c r="AO896" s="1"/>
      <c r="AP896" s="2"/>
      <c r="AQ896" s="2"/>
      <c r="AR896" s="1"/>
      <c r="AS896" s="1"/>
      <c r="AT896" s="1"/>
      <c r="AU896" s="1"/>
      <c r="AV896" s="1"/>
      <c r="AW896" s="1"/>
      <c r="AX896" s="2"/>
      <c r="AY896" s="549"/>
    </row>
    <row r="897" spans="3:51" ht="15.75" customHeight="1" x14ac:dyDescent="0.25">
      <c r="C897" s="1"/>
      <c r="G897" s="1"/>
      <c r="H897" s="1"/>
      <c r="I897" s="1"/>
      <c r="J897" s="557"/>
      <c r="K897" s="549"/>
      <c r="L897" s="557"/>
      <c r="M897" s="557"/>
      <c r="N897" s="557"/>
      <c r="O897" s="557"/>
      <c r="P897" s="557"/>
      <c r="Q897" s="557"/>
      <c r="R897" s="557"/>
      <c r="S897" s="549"/>
      <c r="T897" s="1"/>
      <c r="U897" s="1"/>
      <c r="V897" s="1"/>
      <c r="W897" s="557"/>
      <c r="X897" s="549"/>
      <c r="Y897" s="549"/>
      <c r="Z897" s="549"/>
      <c r="AA897" s="549"/>
      <c r="AB897" s="549"/>
      <c r="AC897" s="549"/>
      <c r="AD897" s="549"/>
      <c r="AE897" s="549"/>
      <c r="AF897" s="549"/>
      <c r="AG897" s="1"/>
      <c r="AH897" s="1"/>
      <c r="AI897" s="1"/>
      <c r="AJ897" s="1"/>
      <c r="AK897" s="1"/>
      <c r="AL897" s="1"/>
      <c r="AM897" s="1"/>
      <c r="AN897" s="1"/>
      <c r="AO897" s="1"/>
      <c r="AP897" s="2"/>
      <c r="AQ897" s="2"/>
      <c r="AR897" s="1"/>
      <c r="AS897" s="1"/>
      <c r="AT897" s="1"/>
      <c r="AU897" s="1"/>
      <c r="AV897" s="1"/>
      <c r="AW897" s="1"/>
      <c r="AX897" s="2"/>
      <c r="AY897" s="549"/>
    </row>
    <row r="898" spans="3:51" ht="15.75" customHeight="1" x14ac:dyDescent="0.25">
      <c r="C898" s="1"/>
      <c r="G898" s="1"/>
      <c r="H898" s="1"/>
      <c r="I898" s="1"/>
      <c r="J898" s="557"/>
      <c r="K898" s="549"/>
      <c r="L898" s="557"/>
      <c r="M898" s="557"/>
      <c r="N898" s="557"/>
      <c r="O898" s="557"/>
      <c r="P898" s="557"/>
      <c r="Q898" s="557"/>
      <c r="R898" s="557"/>
      <c r="S898" s="549"/>
      <c r="T898" s="1"/>
      <c r="U898" s="1"/>
      <c r="V898" s="1"/>
      <c r="W898" s="557"/>
      <c r="X898" s="549"/>
      <c r="Y898" s="549"/>
      <c r="Z898" s="549"/>
      <c r="AA898" s="549"/>
      <c r="AB898" s="549"/>
      <c r="AC898" s="549"/>
      <c r="AD898" s="549"/>
      <c r="AE898" s="549"/>
      <c r="AF898" s="549"/>
      <c r="AG898" s="1"/>
      <c r="AH898" s="1"/>
      <c r="AI898" s="1"/>
      <c r="AJ898" s="1"/>
      <c r="AK898" s="1"/>
      <c r="AL898" s="1"/>
      <c r="AM898" s="1"/>
      <c r="AN898" s="1"/>
      <c r="AO898" s="1"/>
      <c r="AP898" s="2"/>
      <c r="AQ898" s="2"/>
      <c r="AR898" s="1"/>
      <c r="AS898" s="1"/>
      <c r="AT898" s="1"/>
      <c r="AU898" s="1"/>
      <c r="AV898" s="1"/>
      <c r="AW898" s="1"/>
      <c r="AX898" s="2"/>
      <c r="AY898" s="549"/>
    </row>
    <row r="899" spans="3:51" ht="15.75" customHeight="1" x14ac:dyDescent="0.25">
      <c r="C899" s="1"/>
      <c r="G899" s="1"/>
      <c r="H899" s="1"/>
      <c r="I899" s="1"/>
      <c r="J899" s="557"/>
      <c r="K899" s="549"/>
      <c r="L899" s="557"/>
      <c r="M899" s="557"/>
      <c r="N899" s="557"/>
      <c r="O899" s="557"/>
      <c r="P899" s="557"/>
      <c r="Q899" s="557"/>
      <c r="R899" s="557"/>
      <c r="S899" s="549"/>
      <c r="T899" s="1"/>
      <c r="U899" s="1"/>
      <c r="V899" s="1"/>
      <c r="W899" s="557"/>
      <c r="X899" s="549"/>
      <c r="Y899" s="549"/>
      <c r="Z899" s="549"/>
      <c r="AA899" s="549"/>
      <c r="AB899" s="549"/>
      <c r="AC899" s="549"/>
      <c r="AD899" s="549"/>
      <c r="AE899" s="549"/>
      <c r="AF899" s="549"/>
      <c r="AG899" s="1"/>
      <c r="AH899" s="1"/>
      <c r="AI899" s="1"/>
      <c r="AJ899" s="1"/>
      <c r="AK899" s="1"/>
      <c r="AL899" s="1"/>
      <c r="AM899" s="1"/>
      <c r="AN899" s="1"/>
      <c r="AO899" s="1"/>
      <c r="AP899" s="2"/>
      <c r="AQ899" s="2"/>
      <c r="AR899" s="1"/>
      <c r="AS899" s="1"/>
      <c r="AT899" s="1"/>
      <c r="AU899" s="1"/>
      <c r="AV899" s="1"/>
      <c r="AW899" s="1"/>
      <c r="AX899" s="2"/>
      <c r="AY899" s="549"/>
    </row>
    <row r="900" spans="3:51" ht="15.75" customHeight="1" x14ac:dyDescent="0.25">
      <c r="C900" s="1"/>
      <c r="G900" s="1"/>
      <c r="H900" s="1"/>
      <c r="I900" s="1"/>
      <c r="J900" s="557"/>
      <c r="K900" s="549"/>
      <c r="L900" s="557"/>
      <c r="M900" s="557"/>
      <c r="N900" s="557"/>
      <c r="O900" s="557"/>
      <c r="P900" s="557"/>
      <c r="Q900" s="557"/>
      <c r="R900" s="557"/>
      <c r="S900" s="549"/>
      <c r="T900" s="1"/>
      <c r="U900" s="1"/>
      <c r="V900" s="1"/>
      <c r="W900" s="557"/>
      <c r="X900" s="549"/>
      <c r="Y900" s="549"/>
      <c r="Z900" s="549"/>
      <c r="AA900" s="549"/>
      <c r="AB900" s="549"/>
      <c r="AC900" s="549"/>
      <c r="AD900" s="549"/>
      <c r="AE900" s="549"/>
      <c r="AF900" s="549"/>
      <c r="AG900" s="1"/>
      <c r="AH900" s="1"/>
      <c r="AI900" s="1"/>
      <c r="AJ900" s="1"/>
      <c r="AK900" s="1"/>
      <c r="AL900" s="1"/>
      <c r="AM900" s="1"/>
      <c r="AN900" s="1"/>
      <c r="AO900" s="1"/>
      <c r="AP900" s="2"/>
      <c r="AQ900" s="2"/>
      <c r="AR900" s="1"/>
      <c r="AS900" s="1"/>
      <c r="AT900" s="1"/>
      <c r="AU900" s="1"/>
      <c r="AV900" s="1"/>
      <c r="AW900" s="1"/>
      <c r="AX900" s="2"/>
      <c r="AY900" s="549"/>
    </row>
    <row r="901" spans="3:51" ht="15.75" customHeight="1" x14ac:dyDescent="0.25">
      <c r="C901" s="1"/>
      <c r="G901" s="1"/>
      <c r="H901" s="1"/>
      <c r="I901" s="1"/>
      <c r="J901" s="557"/>
      <c r="K901" s="549"/>
      <c r="L901" s="557"/>
      <c r="M901" s="557"/>
      <c r="N901" s="557"/>
      <c r="O901" s="557"/>
      <c r="P901" s="557"/>
      <c r="Q901" s="557"/>
      <c r="R901" s="557"/>
      <c r="S901" s="549"/>
      <c r="T901" s="1"/>
      <c r="U901" s="1"/>
      <c r="V901" s="1"/>
      <c r="W901" s="557"/>
      <c r="X901" s="549"/>
      <c r="Y901" s="549"/>
      <c r="Z901" s="549"/>
      <c r="AA901" s="549"/>
      <c r="AB901" s="549"/>
      <c r="AC901" s="549"/>
      <c r="AD901" s="549"/>
      <c r="AE901" s="549"/>
      <c r="AF901" s="549"/>
      <c r="AG901" s="1"/>
      <c r="AH901" s="1"/>
      <c r="AI901" s="1"/>
      <c r="AJ901" s="1"/>
      <c r="AK901" s="1"/>
      <c r="AL901" s="1"/>
      <c r="AM901" s="1"/>
      <c r="AN901" s="1"/>
      <c r="AO901" s="1"/>
      <c r="AP901" s="2"/>
      <c r="AQ901" s="2"/>
      <c r="AR901" s="1"/>
      <c r="AS901" s="1"/>
      <c r="AT901" s="1"/>
      <c r="AU901" s="1"/>
      <c r="AV901" s="1"/>
      <c r="AW901" s="1"/>
      <c r="AX901" s="2"/>
      <c r="AY901" s="549"/>
    </row>
    <row r="902" spans="3:51" ht="15.75" customHeight="1" x14ac:dyDescent="0.25">
      <c r="C902" s="1"/>
      <c r="G902" s="1"/>
      <c r="H902" s="1"/>
      <c r="I902" s="1"/>
      <c r="J902" s="557"/>
      <c r="K902" s="549"/>
      <c r="L902" s="557"/>
      <c r="M902" s="557"/>
      <c r="N902" s="557"/>
      <c r="O902" s="557"/>
      <c r="P902" s="557"/>
      <c r="Q902" s="557"/>
      <c r="R902" s="557"/>
      <c r="S902" s="549"/>
      <c r="T902" s="1"/>
      <c r="U902" s="1"/>
      <c r="V902" s="1"/>
      <c r="W902" s="557"/>
      <c r="X902" s="549"/>
      <c r="Y902" s="549"/>
      <c r="Z902" s="549"/>
      <c r="AA902" s="549"/>
      <c r="AB902" s="549"/>
      <c r="AC902" s="549"/>
      <c r="AD902" s="549"/>
      <c r="AE902" s="549"/>
      <c r="AF902" s="549"/>
      <c r="AG902" s="1"/>
      <c r="AH902" s="1"/>
      <c r="AI902" s="1"/>
      <c r="AJ902" s="1"/>
      <c r="AK902" s="1"/>
      <c r="AL902" s="1"/>
      <c r="AM902" s="1"/>
      <c r="AN902" s="1"/>
      <c r="AO902" s="1"/>
      <c r="AP902" s="2"/>
      <c r="AQ902" s="2"/>
      <c r="AR902" s="1"/>
      <c r="AS902" s="1"/>
      <c r="AT902" s="1"/>
      <c r="AU902" s="1"/>
      <c r="AV902" s="1"/>
      <c r="AW902" s="1"/>
      <c r="AX902" s="2"/>
      <c r="AY902" s="549"/>
    </row>
    <row r="903" spans="3:51" ht="15.75" customHeight="1" x14ac:dyDescent="0.25">
      <c r="C903" s="1"/>
      <c r="G903" s="1"/>
      <c r="H903" s="1"/>
      <c r="I903" s="1"/>
      <c r="J903" s="557"/>
      <c r="K903" s="549"/>
      <c r="L903" s="557"/>
      <c r="M903" s="557"/>
      <c r="N903" s="557"/>
      <c r="O903" s="557"/>
      <c r="P903" s="557"/>
      <c r="Q903" s="557"/>
      <c r="R903" s="557"/>
      <c r="S903" s="549"/>
      <c r="T903" s="1"/>
      <c r="U903" s="1"/>
      <c r="V903" s="1"/>
      <c r="W903" s="557"/>
      <c r="X903" s="549"/>
      <c r="Y903" s="549"/>
      <c r="Z903" s="549"/>
      <c r="AA903" s="549"/>
      <c r="AB903" s="549"/>
      <c r="AC903" s="549"/>
      <c r="AD903" s="549"/>
      <c r="AE903" s="549"/>
      <c r="AF903" s="549"/>
      <c r="AG903" s="1"/>
      <c r="AH903" s="1"/>
      <c r="AI903" s="1"/>
      <c r="AJ903" s="1"/>
      <c r="AK903" s="1"/>
      <c r="AL903" s="1"/>
      <c r="AM903" s="1"/>
      <c r="AN903" s="1"/>
      <c r="AO903" s="1"/>
      <c r="AP903" s="2"/>
      <c r="AQ903" s="2"/>
      <c r="AR903" s="1"/>
      <c r="AS903" s="1"/>
      <c r="AT903" s="1"/>
      <c r="AU903" s="1"/>
      <c r="AV903" s="1"/>
      <c r="AW903" s="1"/>
      <c r="AX903" s="2"/>
      <c r="AY903" s="549"/>
    </row>
    <row r="904" spans="3:51" ht="15.75" customHeight="1" x14ac:dyDescent="0.25">
      <c r="C904" s="1"/>
      <c r="G904" s="1"/>
      <c r="H904" s="1"/>
      <c r="I904" s="1"/>
      <c r="J904" s="557"/>
      <c r="K904" s="549"/>
      <c r="L904" s="557"/>
      <c r="M904" s="557"/>
      <c r="N904" s="557"/>
      <c r="O904" s="557"/>
      <c r="P904" s="557"/>
      <c r="Q904" s="557"/>
      <c r="R904" s="557"/>
      <c r="S904" s="549"/>
      <c r="T904" s="1"/>
      <c r="U904" s="1"/>
      <c r="V904" s="1"/>
      <c r="W904" s="557"/>
      <c r="X904" s="549"/>
      <c r="Y904" s="549"/>
      <c r="Z904" s="549"/>
      <c r="AA904" s="549"/>
      <c r="AB904" s="549"/>
      <c r="AC904" s="549"/>
      <c r="AD904" s="549"/>
      <c r="AE904" s="549"/>
      <c r="AF904" s="549"/>
      <c r="AG904" s="1"/>
      <c r="AH904" s="1"/>
      <c r="AI904" s="1"/>
      <c r="AJ904" s="1"/>
      <c r="AK904" s="1"/>
      <c r="AL904" s="1"/>
      <c r="AM904" s="1"/>
      <c r="AN904" s="1"/>
      <c r="AO904" s="1"/>
      <c r="AP904" s="2"/>
      <c r="AQ904" s="2"/>
      <c r="AR904" s="1"/>
      <c r="AS904" s="1"/>
      <c r="AT904" s="1"/>
      <c r="AU904" s="1"/>
      <c r="AV904" s="1"/>
      <c r="AW904" s="1"/>
      <c r="AX904" s="2"/>
      <c r="AY904" s="549"/>
    </row>
    <row r="905" spans="3:51" ht="15.75" customHeight="1" x14ac:dyDescent="0.25">
      <c r="C905" s="1"/>
      <c r="G905" s="1"/>
      <c r="H905" s="1"/>
      <c r="I905" s="1"/>
      <c r="J905" s="557"/>
      <c r="K905" s="549"/>
      <c r="L905" s="557"/>
      <c r="M905" s="557"/>
      <c r="N905" s="557"/>
      <c r="O905" s="557"/>
      <c r="P905" s="557"/>
      <c r="Q905" s="557"/>
      <c r="R905" s="557"/>
      <c r="S905" s="549"/>
      <c r="T905" s="1"/>
      <c r="U905" s="1"/>
      <c r="V905" s="1"/>
      <c r="W905" s="557"/>
      <c r="X905" s="549"/>
      <c r="Y905" s="549"/>
      <c r="Z905" s="549"/>
      <c r="AA905" s="549"/>
      <c r="AB905" s="549"/>
      <c r="AC905" s="549"/>
      <c r="AD905" s="549"/>
      <c r="AE905" s="549"/>
      <c r="AF905" s="549"/>
      <c r="AG905" s="1"/>
      <c r="AH905" s="1"/>
      <c r="AI905" s="1"/>
      <c r="AJ905" s="1"/>
      <c r="AK905" s="1"/>
      <c r="AL905" s="1"/>
      <c r="AM905" s="1"/>
      <c r="AN905" s="1"/>
      <c r="AO905" s="1"/>
      <c r="AP905" s="2"/>
      <c r="AQ905" s="2"/>
      <c r="AR905" s="1"/>
      <c r="AS905" s="1"/>
      <c r="AT905" s="1"/>
      <c r="AU905" s="1"/>
      <c r="AV905" s="1"/>
      <c r="AW905" s="1"/>
      <c r="AX905" s="2"/>
      <c r="AY905" s="549"/>
    </row>
    <row r="906" spans="3:51" ht="15.75" customHeight="1" x14ac:dyDescent="0.25">
      <c r="C906" s="1"/>
      <c r="G906" s="1"/>
      <c r="H906" s="1"/>
      <c r="I906" s="1"/>
      <c r="J906" s="557"/>
      <c r="K906" s="549"/>
      <c r="L906" s="557"/>
      <c r="M906" s="557"/>
      <c r="N906" s="557"/>
      <c r="O906" s="557"/>
      <c r="P906" s="557"/>
      <c r="Q906" s="557"/>
      <c r="R906" s="557"/>
      <c r="S906" s="549"/>
      <c r="T906" s="1"/>
      <c r="U906" s="1"/>
      <c r="V906" s="1"/>
      <c r="W906" s="557"/>
      <c r="X906" s="549"/>
      <c r="Y906" s="549"/>
      <c r="Z906" s="549"/>
      <c r="AA906" s="549"/>
      <c r="AB906" s="549"/>
      <c r="AC906" s="549"/>
      <c r="AD906" s="549"/>
      <c r="AE906" s="549"/>
      <c r="AF906" s="549"/>
      <c r="AG906" s="1"/>
      <c r="AH906" s="1"/>
      <c r="AI906" s="1"/>
      <c r="AJ906" s="1"/>
      <c r="AK906" s="1"/>
      <c r="AL906" s="1"/>
      <c r="AM906" s="1"/>
      <c r="AN906" s="1"/>
      <c r="AO906" s="1"/>
      <c r="AP906" s="2"/>
      <c r="AQ906" s="2"/>
      <c r="AR906" s="1"/>
      <c r="AS906" s="1"/>
      <c r="AT906" s="1"/>
      <c r="AU906" s="1"/>
      <c r="AV906" s="1"/>
      <c r="AW906" s="1"/>
      <c r="AX906" s="2"/>
      <c r="AY906" s="549"/>
    </row>
    <row r="907" spans="3:51" ht="15.75" customHeight="1" x14ac:dyDescent="0.25">
      <c r="C907" s="1"/>
      <c r="G907" s="1"/>
      <c r="H907" s="1"/>
      <c r="I907" s="1"/>
      <c r="J907" s="557"/>
      <c r="K907" s="549"/>
      <c r="L907" s="557"/>
      <c r="M907" s="557"/>
      <c r="N907" s="557"/>
      <c r="O907" s="557"/>
      <c r="P907" s="557"/>
      <c r="Q907" s="557"/>
      <c r="R907" s="557"/>
      <c r="S907" s="549"/>
      <c r="T907" s="1"/>
      <c r="U907" s="1"/>
      <c r="V907" s="1"/>
      <c r="W907" s="557"/>
      <c r="X907" s="549"/>
      <c r="Y907" s="549"/>
      <c r="Z907" s="549"/>
      <c r="AA907" s="549"/>
      <c r="AB907" s="549"/>
      <c r="AC907" s="549"/>
      <c r="AD907" s="549"/>
      <c r="AE907" s="549"/>
      <c r="AF907" s="549"/>
      <c r="AG907" s="1"/>
      <c r="AH907" s="1"/>
      <c r="AI907" s="1"/>
      <c r="AJ907" s="1"/>
      <c r="AK907" s="1"/>
      <c r="AL907" s="1"/>
      <c r="AM907" s="1"/>
      <c r="AN907" s="1"/>
      <c r="AO907" s="1"/>
      <c r="AP907" s="2"/>
      <c r="AQ907" s="2"/>
      <c r="AR907" s="1"/>
      <c r="AS907" s="1"/>
      <c r="AT907" s="1"/>
      <c r="AU907" s="1"/>
      <c r="AV907" s="1"/>
      <c r="AW907" s="1"/>
      <c r="AX907" s="2"/>
      <c r="AY907" s="549"/>
    </row>
    <row r="908" spans="3:51" ht="15.75" customHeight="1" x14ac:dyDescent="0.25">
      <c r="C908" s="1"/>
      <c r="G908" s="1"/>
      <c r="H908" s="1"/>
      <c r="I908" s="1"/>
      <c r="J908" s="557"/>
      <c r="K908" s="549"/>
      <c r="L908" s="557"/>
      <c r="M908" s="557"/>
      <c r="N908" s="557"/>
      <c r="O908" s="557"/>
      <c r="P908" s="557"/>
      <c r="Q908" s="557"/>
      <c r="R908" s="557"/>
      <c r="S908" s="549"/>
      <c r="T908" s="1"/>
      <c r="U908" s="1"/>
      <c r="V908" s="1"/>
      <c r="W908" s="557"/>
      <c r="X908" s="549"/>
      <c r="Y908" s="549"/>
      <c r="Z908" s="549"/>
      <c r="AA908" s="549"/>
      <c r="AB908" s="549"/>
      <c r="AC908" s="549"/>
      <c r="AD908" s="549"/>
      <c r="AE908" s="549"/>
      <c r="AF908" s="549"/>
      <c r="AG908" s="1"/>
      <c r="AH908" s="1"/>
      <c r="AI908" s="1"/>
      <c r="AJ908" s="1"/>
      <c r="AK908" s="1"/>
      <c r="AL908" s="1"/>
      <c r="AM908" s="1"/>
      <c r="AN908" s="1"/>
      <c r="AO908" s="1"/>
      <c r="AP908" s="2"/>
      <c r="AQ908" s="2"/>
      <c r="AR908" s="1"/>
      <c r="AS908" s="1"/>
      <c r="AT908" s="1"/>
      <c r="AU908" s="1"/>
      <c r="AV908" s="1"/>
      <c r="AW908" s="1"/>
      <c r="AX908" s="2"/>
      <c r="AY908" s="549"/>
    </row>
    <row r="909" spans="3:51" ht="15.75" customHeight="1" x14ac:dyDescent="0.25">
      <c r="C909" s="1"/>
      <c r="G909" s="1"/>
      <c r="H909" s="1"/>
      <c r="I909" s="1"/>
      <c r="J909" s="557"/>
      <c r="K909" s="549"/>
      <c r="L909" s="557"/>
      <c r="M909" s="557"/>
      <c r="N909" s="557"/>
      <c r="O909" s="557"/>
      <c r="P909" s="557"/>
      <c r="Q909" s="557"/>
      <c r="R909" s="557"/>
      <c r="S909" s="549"/>
      <c r="T909" s="1"/>
      <c r="U909" s="1"/>
      <c r="V909" s="1"/>
      <c r="W909" s="557"/>
      <c r="X909" s="549"/>
      <c r="Y909" s="549"/>
      <c r="Z909" s="549"/>
      <c r="AA909" s="549"/>
      <c r="AB909" s="549"/>
      <c r="AC909" s="549"/>
      <c r="AD909" s="549"/>
      <c r="AE909" s="549"/>
      <c r="AF909" s="549"/>
      <c r="AG909" s="1"/>
      <c r="AH909" s="1"/>
      <c r="AI909" s="1"/>
      <c r="AJ909" s="1"/>
      <c r="AK909" s="1"/>
      <c r="AL909" s="1"/>
      <c r="AM909" s="1"/>
      <c r="AN909" s="1"/>
      <c r="AO909" s="1"/>
      <c r="AP909" s="2"/>
      <c r="AQ909" s="2"/>
      <c r="AR909" s="1"/>
      <c r="AS909" s="1"/>
      <c r="AT909" s="1"/>
      <c r="AU909" s="1"/>
      <c r="AV909" s="1"/>
      <c r="AW909" s="1"/>
      <c r="AX909" s="2"/>
      <c r="AY909" s="549"/>
    </row>
    <row r="910" spans="3:51" ht="15.75" customHeight="1" x14ac:dyDescent="0.25">
      <c r="C910" s="1"/>
      <c r="G910" s="1"/>
      <c r="H910" s="1"/>
      <c r="I910" s="1"/>
      <c r="J910" s="557"/>
      <c r="K910" s="549"/>
      <c r="L910" s="557"/>
      <c r="M910" s="557"/>
      <c r="N910" s="557"/>
      <c r="O910" s="557"/>
      <c r="P910" s="557"/>
      <c r="Q910" s="557"/>
      <c r="R910" s="557"/>
      <c r="S910" s="549"/>
      <c r="T910" s="1"/>
      <c r="U910" s="1"/>
      <c r="V910" s="1"/>
      <c r="W910" s="557"/>
      <c r="X910" s="549"/>
      <c r="Y910" s="549"/>
      <c r="Z910" s="549"/>
      <c r="AA910" s="549"/>
      <c r="AB910" s="549"/>
      <c r="AC910" s="549"/>
      <c r="AD910" s="549"/>
      <c r="AE910" s="549"/>
      <c r="AF910" s="549"/>
      <c r="AG910" s="1"/>
      <c r="AH910" s="1"/>
      <c r="AI910" s="1"/>
      <c r="AJ910" s="1"/>
      <c r="AK910" s="1"/>
      <c r="AL910" s="1"/>
      <c r="AM910" s="1"/>
      <c r="AN910" s="1"/>
      <c r="AO910" s="1"/>
      <c r="AP910" s="2"/>
      <c r="AQ910" s="2"/>
      <c r="AR910" s="1"/>
      <c r="AS910" s="1"/>
      <c r="AT910" s="1"/>
      <c r="AU910" s="1"/>
      <c r="AV910" s="1"/>
      <c r="AW910" s="1"/>
      <c r="AX910" s="2"/>
      <c r="AY910" s="549"/>
    </row>
    <row r="911" spans="3:51" ht="15.75" customHeight="1" x14ac:dyDescent="0.25">
      <c r="C911" s="1"/>
      <c r="G911" s="1"/>
      <c r="H911" s="1"/>
      <c r="I911" s="1"/>
      <c r="J911" s="557"/>
      <c r="K911" s="549"/>
      <c r="L911" s="557"/>
      <c r="M911" s="557"/>
      <c r="N911" s="557"/>
      <c r="O911" s="557"/>
      <c r="P911" s="557"/>
      <c r="Q911" s="557"/>
      <c r="R911" s="557"/>
      <c r="S911" s="549"/>
      <c r="T911" s="1"/>
      <c r="U911" s="1"/>
      <c r="V911" s="1"/>
      <c r="W911" s="557"/>
      <c r="X911" s="549"/>
      <c r="Y911" s="549"/>
      <c r="Z911" s="549"/>
      <c r="AA911" s="549"/>
      <c r="AB911" s="549"/>
      <c r="AC911" s="549"/>
      <c r="AD911" s="549"/>
      <c r="AE911" s="549"/>
      <c r="AF911" s="549"/>
      <c r="AG911" s="1"/>
      <c r="AH911" s="1"/>
      <c r="AI911" s="1"/>
      <c r="AJ911" s="1"/>
      <c r="AK911" s="1"/>
      <c r="AL911" s="1"/>
      <c r="AM911" s="1"/>
      <c r="AN911" s="1"/>
      <c r="AO911" s="1"/>
      <c r="AP911" s="2"/>
      <c r="AQ911" s="2"/>
      <c r="AR911" s="1"/>
      <c r="AS911" s="1"/>
      <c r="AT911" s="1"/>
      <c r="AU911" s="1"/>
      <c r="AV911" s="1"/>
      <c r="AW911" s="1"/>
      <c r="AX911" s="2"/>
      <c r="AY911" s="549"/>
    </row>
    <row r="912" spans="3:51" ht="15.75" customHeight="1" x14ac:dyDescent="0.25">
      <c r="C912" s="1"/>
      <c r="G912" s="1"/>
      <c r="H912" s="1"/>
      <c r="I912" s="1"/>
      <c r="J912" s="557"/>
      <c r="K912" s="549"/>
      <c r="L912" s="557"/>
      <c r="M912" s="557"/>
      <c r="N912" s="557"/>
      <c r="O912" s="557"/>
      <c r="P912" s="557"/>
      <c r="Q912" s="557"/>
      <c r="R912" s="557"/>
      <c r="S912" s="549"/>
      <c r="T912" s="1"/>
      <c r="U912" s="1"/>
      <c r="V912" s="1"/>
      <c r="W912" s="557"/>
      <c r="X912" s="549"/>
      <c r="Y912" s="549"/>
      <c r="Z912" s="549"/>
      <c r="AA912" s="549"/>
      <c r="AB912" s="549"/>
      <c r="AC912" s="549"/>
      <c r="AD912" s="549"/>
      <c r="AE912" s="549"/>
      <c r="AF912" s="549"/>
      <c r="AG912" s="1"/>
      <c r="AH912" s="1"/>
      <c r="AI912" s="1"/>
      <c r="AJ912" s="1"/>
      <c r="AK912" s="1"/>
      <c r="AL912" s="1"/>
      <c r="AM912" s="1"/>
      <c r="AN912" s="1"/>
      <c r="AO912" s="1"/>
      <c r="AP912" s="2"/>
      <c r="AQ912" s="2"/>
      <c r="AR912" s="1"/>
      <c r="AS912" s="1"/>
      <c r="AT912" s="1"/>
      <c r="AU912" s="1"/>
      <c r="AV912" s="1"/>
      <c r="AW912" s="1"/>
      <c r="AX912" s="2"/>
      <c r="AY912" s="549"/>
    </row>
    <row r="913" spans="3:51" ht="15.75" customHeight="1" x14ac:dyDescent="0.25">
      <c r="C913" s="1"/>
      <c r="G913" s="1"/>
      <c r="H913" s="1"/>
      <c r="I913" s="1"/>
      <c r="J913" s="557"/>
      <c r="K913" s="549"/>
      <c r="L913" s="557"/>
      <c r="M913" s="557"/>
      <c r="N913" s="557"/>
      <c r="O913" s="557"/>
      <c r="P913" s="557"/>
      <c r="Q913" s="557"/>
      <c r="R913" s="557"/>
      <c r="S913" s="549"/>
      <c r="T913" s="1"/>
      <c r="U913" s="1"/>
      <c r="V913" s="1"/>
      <c r="W913" s="557"/>
      <c r="X913" s="549"/>
      <c r="Y913" s="549"/>
      <c r="Z913" s="549"/>
      <c r="AA913" s="549"/>
      <c r="AB913" s="549"/>
      <c r="AC913" s="549"/>
      <c r="AD913" s="549"/>
      <c r="AE913" s="549"/>
      <c r="AF913" s="549"/>
      <c r="AG913" s="1"/>
      <c r="AH913" s="1"/>
      <c r="AI913" s="1"/>
      <c r="AJ913" s="1"/>
      <c r="AK913" s="1"/>
      <c r="AL913" s="1"/>
      <c r="AM913" s="1"/>
      <c r="AN913" s="1"/>
      <c r="AO913" s="1"/>
      <c r="AP913" s="2"/>
      <c r="AQ913" s="2"/>
      <c r="AR913" s="1"/>
      <c r="AS913" s="1"/>
      <c r="AT913" s="1"/>
      <c r="AU913" s="1"/>
      <c r="AV913" s="1"/>
      <c r="AW913" s="1"/>
      <c r="AX913" s="2"/>
      <c r="AY913" s="549"/>
    </row>
    <row r="914" spans="3:51" ht="15.75" customHeight="1" x14ac:dyDescent="0.25">
      <c r="C914" s="1"/>
      <c r="G914" s="1"/>
      <c r="H914" s="1"/>
      <c r="I914" s="1"/>
      <c r="J914" s="557"/>
      <c r="K914" s="549"/>
      <c r="L914" s="557"/>
      <c r="M914" s="557"/>
      <c r="N914" s="557"/>
      <c r="O914" s="557"/>
      <c r="P914" s="557"/>
      <c r="Q914" s="557"/>
      <c r="R914" s="557"/>
      <c r="S914" s="549"/>
      <c r="T914" s="1"/>
      <c r="U914" s="1"/>
      <c r="V914" s="1"/>
      <c r="W914" s="557"/>
      <c r="X914" s="549"/>
      <c r="Y914" s="549"/>
      <c r="Z914" s="549"/>
      <c r="AA914" s="549"/>
      <c r="AB914" s="549"/>
      <c r="AC914" s="549"/>
      <c r="AD914" s="549"/>
      <c r="AE914" s="549"/>
      <c r="AF914" s="549"/>
      <c r="AG914" s="1"/>
      <c r="AH914" s="1"/>
      <c r="AI914" s="1"/>
      <c r="AJ914" s="1"/>
      <c r="AK914" s="1"/>
      <c r="AL914" s="1"/>
      <c r="AM914" s="1"/>
      <c r="AN914" s="1"/>
      <c r="AO914" s="1"/>
      <c r="AP914" s="2"/>
      <c r="AQ914" s="2"/>
      <c r="AR914" s="1"/>
      <c r="AS914" s="1"/>
      <c r="AT914" s="1"/>
      <c r="AU914" s="1"/>
      <c r="AV914" s="1"/>
      <c r="AW914" s="1"/>
      <c r="AX914" s="2"/>
      <c r="AY914" s="549"/>
    </row>
    <row r="915" spans="3:51" ht="15.75" customHeight="1" x14ac:dyDescent="0.25">
      <c r="C915" s="1"/>
      <c r="G915" s="1"/>
      <c r="H915" s="1"/>
      <c r="I915" s="1"/>
      <c r="J915" s="557"/>
      <c r="K915" s="549"/>
      <c r="L915" s="557"/>
      <c r="M915" s="557"/>
      <c r="N915" s="557"/>
      <c r="O915" s="557"/>
      <c r="P915" s="557"/>
      <c r="Q915" s="557"/>
      <c r="R915" s="557"/>
      <c r="S915" s="549"/>
      <c r="T915" s="1"/>
      <c r="U915" s="1"/>
      <c r="V915" s="1"/>
      <c r="W915" s="557"/>
      <c r="X915" s="549"/>
      <c r="Y915" s="549"/>
      <c r="Z915" s="549"/>
      <c r="AA915" s="549"/>
      <c r="AB915" s="549"/>
      <c r="AC915" s="549"/>
      <c r="AD915" s="549"/>
      <c r="AE915" s="549"/>
      <c r="AF915" s="549"/>
      <c r="AG915" s="1"/>
      <c r="AH915" s="1"/>
      <c r="AI915" s="1"/>
      <c r="AJ915" s="1"/>
      <c r="AK915" s="1"/>
      <c r="AL915" s="1"/>
      <c r="AM915" s="1"/>
      <c r="AN915" s="1"/>
      <c r="AO915" s="1"/>
      <c r="AP915" s="2"/>
      <c r="AQ915" s="2"/>
      <c r="AR915" s="1"/>
      <c r="AS915" s="1"/>
      <c r="AT915" s="1"/>
      <c r="AU915" s="1"/>
      <c r="AV915" s="1"/>
      <c r="AW915" s="1"/>
      <c r="AX915" s="2"/>
      <c r="AY915" s="549"/>
    </row>
    <row r="916" spans="3:51" ht="15.75" customHeight="1" x14ac:dyDescent="0.25">
      <c r="C916" s="1"/>
      <c r="G916" s="1"/>
      <c r="H916" s="1"/>
      <c r="I916" s="1"/>
      <c r="J916" s="557"/>
      <c r="K916" s="549"/>
      <c r="L916" s="557"/>
      <c r="M916" s="557"/>
      <c r="N916" s="557"/>
      <c r="O916" s="557"/>
      <c r="P916" s="557"/>
      <c r="Q916" s="557"/>
      <c r="R916" s="557"/>
      <c r="S916" s="549"/>
      <c r="T916" s="1"/>
      <c r="U916" s="1"/>
      <c r="V916" s="1"/>
      <c r="W916" s="557"/>
      <c r="X916" s="549"/>
      <c r="Y916" s="549"/>
      <c r="Z916" s="549"/>
      <c r="AA916" s="549"/>
      <c r="AB916" s="549"/>
      <c r="AC916" s="549"/>
      <c r="AD916" s="549"/>
      <c r="AE916" s="549"/>
      <c r="AF916" s="549"/>
      <c r="AG916" s="1"/>
      <c r="AH916" s="1"/>
      <c r="AI916" s="1"/>
      <c r="AJ916" s="1"/>
      <c r="AK916" s="1"/>
      <c r="AL916" s="1"/>
      <c r="AM916" s="1"/>
      <c r="AN916" s="1"/>
      <c r="AO916" s="1"/>
      <c r="AP916" s="2"/>
      <c r="AQ916" s="2"/>
      <c r="AR916" s="1"/>
      <c r="AS916" s="1"/>
      <c r="AT916" s="1"/>
      <c r="AU916" s="1"/>
      <c r="AV916" s="1"/>
      <c r="AW916" s="1"/>
      <c r="AX916" s="2"/>
      <c r="AY916" s="549"/>
    </row>
    <row r="917" spans="3:51" ht="15.75" customHeight="1" x14ac:dyDescent="0.25">
      <c r="C917" s="1"/>
      <c r="G917" s="1"/>
      <c r="H917" s="1"/>
      <c r="I917" s="1"/>
      <c r="J917" s="557"/>
      <c r="K917" s="549"/>
      <c r="L917" s="557"/>
      <c r="M917" s="557"/>
      <c r="N917" s="557"/>
      <c r="O917" s="557"/>
      <c r="P917" s="557"/>
      <c r="Q917" s="557"/>
      <c r="R917" s="557"/>
      <c r="S917" s="549"/>
      <c r="T917" s="1"/>
      <c r="U917" s="1"/>
      <c r="V917" s="1"/>
      <c r="W917" s="557"/>
      <c r="X917" s="549"/>
      <c r="Y917" s="549"/>
      <c r="Z917" s="549"/>
      <c r="AA917" s="549"/>
      <c r="AB917" s="549"/>
      <c r="AC917" s="549"/>
      <c r="AD917" s="549"/>
      <c r="AE917" s="549"/>
      <c r="AF917" s="549"/>
      <c r="AG917" s="1"/>
      <c r="AH917" s="1"/>
      <c r="AI917" s="1"/>
      <c r="AJ917" s="1"/>
      <c r="AK917" s="1"/>
      <c r="AL917" s="1"/>
      <c r="AM917" s="1"/>
      <c r="AN917" s="1"/>
      <c r="AO917" s="1"/>
      <c r="AP917" s="2"/>
      <c r="AQ917" s="2"/>
      <c r="AR917" s="1"/>
      <c r="AS917" s="1"/>
      <c r="AT917" s="1"/>
      <c r="AU917" s="1"/>
      <c r="AV917" s="1"/>
      <c r="AW917" s="1"/>
      <c r="AX917" s="2"/>
      <c r="AY917" s="549"/>
    </row>
    <row r="918" spans="3:51" ht="15.75" customHeight="1" x14ac:dyDescent="0.25">
      <c r="C918" s="1"/>
      <c r="G918" s="1"/>
      <c r="H918" s="1"/>
      <c r="I918" s="1"/>
      <c r="J918" s="557"/>
      <c r="K918" s="549"/>
      <c r="L918" s="557"/>
      <c r="M918" s="557"/>
      <c r="N918" s="557"/>
      <c r="O918" s="557"/>
      <c r="P918" s="557"/>
      <c r="Q918" s="557"/>
      <c r="R918" s="557"/>
      <c r="S918" s="549"/>
      <c r="T918" s="1"/>
      <c r="U918" s="1"/>
      <c r="V918" s="1"/>
      <c r="W918" s="557"/>
      <c r="X918" s="549"/>
      <c r="Y918" s="549"/>
      <c r="Z918" s="549"/>
      <c r="AA918" s="549"/>
      <c r="AB918" s="549"/>
      <c r="AC918" s="549"/>
      <c r="AD918" s="549"/>
      <c r="AE918" s="549"/>
      <c r="AF918" s="549"/>
      <c r="AG918" s="1"/>
      <c r="AH918" s="1"/>
      <c r="AI918" s="1"/>
      <c r="AJ918" s="1"/>
      <c r="AK918" s="1"/>
      <c r="AL918" s="1"/>
      <c r="AM918" s="1"/>
      <c r="AN918" s="1"/>
      <c r="AO918" s="1"/>
      <c r="AP918" s="2"/>
      <c r="AQ918" s="2"/>
      <c r="AR918" s="1"/>
      <c r="AS918" s="1"/>
      <c r="AT918" s="1"/>
      <c r="AU918" s="1"/>
      <c r="AV918" s="1"/>
      <c r="AW918" s="1"/>
      <c r="AX918" s="2"/>
      <c r="AY918" s="549"/>
    </row>
    <row r="919" spans="3:51" ht="15.75" customHeight="1" x14ac:dyDescent="0.25">
      <c r="C919" s="1"/>
      <c r="G919" s="1"/>
      <c r="H919" s="1"/>
      <c r="I919" s="1"/>
      <c r="J919" s="557"/>
      <c r="K919" s="549"/>
      <c r="L919" s="557"/>
      <c r="M919" s="557"/>
      <c r="N919" s="557"/>
      <c r="O919" s="557"/>
      <c r="P919" s="557"/>
      <c r="Q919" s="557"/>
      <c r="R919" s="557"/>
      <c r="S919" s="549"/>
      <c r="T919" s="1"/>
      <c r="U919" s="1"/>
      <c r="V919" s="1"/>
      <c r="W919" s="557"/>
      <c r="X919" s="549"/>
      <c r="Y919" s="549"/>
      <c r="Z919" s="549"/>
      <c r="AA919" s="549"/>
      <c r="AB919" s="549"/>
      <c r="AC919" s="549"/>
      <c r="AD919" s="549"/>
      <c r="AE919" s="549"/>
      <c r="AF919" s="549"/>
      <c r="AG919" s="1"/>
      <c r="AH919" s="1"/>
      <c r="AI919" s="1"/>
      <c r="AJ919" s="1"/>
      <c r="AK919" s="1"/>
      <c r="AL919" s="1"/>
      <c r="AM919" s="1"/>
      <c r="AN919" s="1"/>
      <c r="AO919" s="1"/>
      <c r="AP919" s="2"/>
      <c r="AQ919" s="2"/>
      <c r="AR919" s="1"/>
      <c r="AS919" s="1"/>
      <c r="AT919" s="1"/>
      <c r="AU919" s="1"/>
      <c r="AV919" s="1"/>
      <c r="AW919" s="1"/>
      <c r="AX919" s="2"/>
      <c r="AY919" s="549"/>
    </row>
    <row r="920" spans="3:51" ht="15.75" customHeight="1" x14ac:dyDescent="0.25">
      <c r="C920" s="1"/>
      <c r="G920" s="1"/>
      <c r="H920" s="1"/>
      <c r="I920" s="1"/>
      <c r="J920" s="557"/>
      <c r="K920" s="549"/>
      <c r="L920" s="557"/>
      <c r="M920" s="557"/>
      <c r="N920" s="557"/>
      <c r="O920" s="557"/>
      <c r="P920" s="557"/>
      <c r="Q920" s="557"/>
      <c r="R920" s="557"/>
      <c r="S920" s="549"/>
      <c r="T920" s="1"/>
      <c r="U920" s="1"/>
      <c r="V920" s="1"/>
      <c r="W920" s="557"/>
      <c r="X920" s="549"/>
      <c r="Y920" s="549"/>
      <c r="Z920" s="549"/>
      <c r="AA920" s="549"/>
      <c r="AB920" s="549"/>
      <c r="AC920" s="549"/>
      <c r="AD920" s="549"/>
      <c r="AE920" s="549"/>
      <c r="AF920" s="549"/>
      <c r="AG920" s="1"/>
      <c r="AH920" s="1"/>
      <c r="AI920" s="1"/>
      <c r="AJ920" s="1"/>
      <c r="AK920" s="1"/>
      <c r="AL920" s="1"/>
      <c r="AM920" s="1"/>
      <c r="AN920" s="1"/>
      <c r="AO920" s="1"/>
      <c r="AP920" s="2"/>
      <c r="AQ920" s="2"/>
      <c r="AR920" s="1"/>
      <c r="AS920" s="1"/>
      <c r="AT920" s="1"/>
      <c r="AU920" s="1"/>
      <c r="AV920" s="1"/>
      <c r="AW920" s="1"/>
      <c r="AX920" s="2"/>
      <c r="AY920" s="549"/>
    </row>
    <row r="921" spans="3:51" ht="15.75" customHeight="1" x14ac:dyDescent="0.25">
      <c r="C921" s="1"/>
      <c r="G921" s="1"/>
      <c r="H921" s="1"/>
      <c r="I921" s="1"/>
      <c r="J921" s="557"/>
      <c r="K921" s="549"/>
      <c r="L921" s="557"/>
      <c r="M921" s="557"/>
      <c r="N921" s="557"/>
      <c r="O921" s="557"/>
      <c r="P921" s="557"/>
      <c r="Q921" s="557"/>
      <c r="R921" s="557"/>
      <c r="S921" s="549"/>
      <c r="T921" s="1"/>
      <c r="U921" s="1"/>
      <c r="V921" s="1"/>
      <c r="W921" s="557"/>
      <c r="X921" s="549"/>
      <c r="Y921" s="549"/>
      <c r="Z921" s="549"/>
      <c r="AA921" s="549"/>
      <c r="AB921" s="549"/>
      <c r="AC921" s="549"/>
      <c r="AD921" s="549"/>
      <c r="AE921" s="549"/>
      <c r="AF921" s="549"/>
      <c r="AG921" s="1"/>
      <c r="AH921" s="1"/>
      <c r="AI921" s="1"/>
      <c r="AJ921" s="1"/>
      <c r="AK921" s="1"/>
      <c r="AL921" s="1"/>
      <c r="AM921" s="1"/>
      <c r="AN921" s="1"/>
      <c r="AO921" s="1"/>
      <c r="AP921" s="2"/>
      <c r="AQ921" s="2"/>
      <c r="AR921" s="1"/>
      <c r="AS921" s="1"/>
      <c r="AT921" s="1"/>
      <c r="AU921" s="1"/>
      <c r="AV921" s="1"/>
      <c r="AW921" s="1"/>
      <c r="AX921" s="2"/>
      <c r="AY921" s="549"/>
    </row>
    <row r="922" spans="3:51" ht="15.75" customHeight="1" x14ac:dyDescent="0.25">
      <c r="C922" s="1"/>
      <c r="G922" s="1"/>
      <c r="H922" s="1"/>
      <c r="I922" s="1"/>
      <c r="J922" s="557"/>
      <c r="K922" s="549"/>
      <c r="L922" s="557"/>
      <c r="M922" s="557"/>
      <c r="N922" s="557"/>
      <c r="O922" s="557"/>
      <c r="P922" s="557"/>
      <c r="Q922" s="557"/>
      <c r="R922" s="557"/>
      <c r="S922" s="549"/>
      <c r="T922" s="1"/>
      <c r="U922" s="1"/>
      <c r="V922" s="1"/>
      <c r="W922" s="557"/>
      <c r="X922" s="549"/>
      <c r="Y922" s="549"/>
      <c r="Z922" s="549"/>
      <c r="AA922" s="549"/>
      <c r="AB922" s="549"/>
      <c r="AC922" s="549"/>
      <c r="AD922" s="549"/>
      <c r="AE922" s="549"/>
      <c r="AF922" s="549"/>
      <c r="AG922" s="1"/>
      <c r="AH922" s="1"/>
      <c r="AI922" s="1"/>
      <c r="AJ922" s="1"/>
      <c r="AK922" s="1"/>
      <c r="AL922" s="1"/>
      <c r="AM922" s="1"/>
      <c r="AN922" s="1"/>
      <c r="AO922" s="1"/>
      <c r="AP922" s="2"/>
      <c r="AQ922" s="2"/>
      <c r="AR922" s="1"/>
      <c r="AS922" s="1"/>
      <c r="AT922" s="1"/>
      <c r="AU922" s="1"/>
      <c r="AV922" s="1"/>
      <c r="AW922" s="1"/>
      <c r="AX922" s="2"/>
      <c r="AY922" s="549"/>
    </row>
    <row r="923" spans="3:51" ht="15.75" customHeight="1" x14ac:dyDescent="0.25">
      <c r="C923" s="1"/>
      <c r="G923" s="1"/>
      <c r="H923" s="1"/>
      <c r="I923" s="1"/>
      <c r="J923" s="557"/>
      <c r="K923" s="549"/>
      <c r="L923" s="557"/>
      <c r="M923" s="557"/>
      <c r="N923" s="557"/>
      <c r="O923" s="557"/>
      <c r="P923" s="557"/>
      <c r="Q923" s="557"/>
      <c r="R923" s="557"/>
      <c r="S923" s="549"/>
      <c r="T923" s="1"/>
      <c r="U923" s="1"/>
      <c r="V923" s="1"/>
      <c r="W923" s="557"/>
      <c r="X923" s="549"/>
      <c r="Y923" s="549"/>
      <c r="Z923" s="549"/>
      <c r="AA923" s="549"/>
      <c r="AB923" s="549"/>
      <c r="AC923" s="549"/>
      <c r="AD923" s="549"/>
      <c r="AE923" s="549"/>
      <c r="AF923" s="549"/>
      <c r="AG923" s="1"/>
      <c r="AH923" s="1"/>
      <c r="AI923" s="1"/>
      <c r="AJ923" s="1"/>
      <c r="AK923" s="1"/>
      <c r="AL923" s="1"/>
      <c r="AM923" s="1"/>
      <c r="AN923" s="1"/>
      <c r="AO923" s="1"/>
      <c r="AP923" s="2"/>
      <c r="AQ923" s="2"/>
      <c r="AR923" s="1"/>
      <c r="AS923" s="1"/>
      <c r="AT923" s="1"/>
      <c r="AU923" s="1"/>
      <c r="AV923" s="1"/>
      <c r="AW923" s="1"/>
      <c r="AX923" s="2"/>
      <c r="AY923" s="549"/>
    </row>
    <row r="924" spans="3:51" ht="15.75" customHeight="1" x14ac:dyDescent="0.25">
      <c r="C924" s="1"/>
      <c r="G924" s="1"/>
      <c r="H924" s="1"/>
      <c r="I924" s="1"/>
      <c r="J924" s="557"/>
      <c r="K924" s="549"/>
      <c r="L924" s="557"/>
      <c r="M924" s="557"/>
      <c r="N924" s="557"/>
      <c r="O924" s="557"/>
      <c r="P924" s="557"/>
      <c r="Q924" s="557"/>
      <c r="R924" s="557"/>
      <c r="S924" s="549"/>
      <c r="T924" s="1"/>
      <c r="U924" s="1"/>
      <c r="V924" s="1"/>
      <c r="W924" s="557"/>
      <c r="X924" s="549"/>
      <c r="Y924" s="549"/>
      <c r="Z924" s="549"/>
      <c r="AA924" s="549"/>
      <c r="AB924" s="549"/>
      <c r="AC924" s="549"/>
      <c r="AD924" s="549"/>
      <c r="AE924" s="549"/>
      <c r="AF924" s="549"/>
      <c r="AG924" s="1"/>
      <c r="AH924" s="1"/>
      <c r="AI924" s="1"/>
      <c r="AJ924" s="1"/>
      <c r="AK924" s="1"/>
      <c r="AL924" s="1"/>
      <c r="AM924" s="1"/>
      <c r="AN924" s="1"/>
      <c r="AO924" s="1"/>
      <c r="AP924" s="2"/>
      <c r="AQ924" s="2"/>
      <c r="AR924" s="1"/>
      <c r="AS924" s="1"/>
      <c r="AT924" s="1"/>
      <c r="AU924" s="1"/>
      <c r="AV924" s="1"/>
      <c r="AW924" s="1"/>
      <c r="AX924" s="2"/>
      <c r="AY924" s="549"/>
    </row>
    <row r="925" spans="3:51" ht="15.75" customHeight="1" x14ac:dyDescent="0.25">
      <c r="C925" s="1"/>
      <c r="G925" s="1"/>
      <c r="H925" s="1"/>
      <c r="I925" s="1"/>
      <c r="J925" s="557"/>
      <c r="K925" s="549"/>
      <c r="L925" s="557"/>
      <c r="M925" s="557"/>
      <c r="N925" s="557"/>
      <c r="O925" s="557"/>
      <c r="P925" s="557"/>
      <c r="Q925" s="557"/>
      <c r="R925" s="557"/>
      <c r="S925" s="549"/>
      <c r="T925" s="1"/>
      <c r="U925" s="1"/>
      <c r="V925" s="1"/>
      <c r="W925" s="557"/>
      <c r="X925" s="549"/>
      <c r="Y925" s="549"/>
      <c r="Z925" s="549"/>
      <c r="AA925" s="549"/>
      <c r="AB925" s="549"/>
      <c r="AC925" s="549"/>
      <c r="AD925" s="549"/>
      <c r="AE925" s="549"/>
      <c r="AF925" s="549"/>
      <c r="AG925" s="1"/>
      <c r="AH925" s="1"/>
      <c r="AI925" s="1"/>
      <c r="AJ925" s="1"/>
      <c r="AK925" s="1"/>
      <c r="AL925" s="1"/>
      <c r="AM925" s="1"/>
      <c r="AN925" s="1"/>
      <c r="AO925" s="1"/>
      <c r="AP925" s="2"/>
      <c r="AQ925" s="2"/>
      <c r="AR925" s="1"/>
      <c r="AS925" s="1"/>
      <c r="AT925" s="1"/>
      <c r="AU925" s="1"/>
      <c r="AV925" s="1"/>
      <c r="AW925" s="1"/>
      <c r="AX925" s="2"/>
      <c r="AY925" s="549"/>
    </row>
    <row r="926" spans="3:51" ht="15.75" customHeight="1" x14ac:dyDescent="0.25">
      <c r="C926" s="1"/>
      <c r="G926" s="1"/>
      <c r="H926" s="1"/>
      <c r="I926" s="1"/>
      <c r="J926" s="557"/>
      <c r="K926" s="549"/>
      <c r="L926" s="557"/>
      <c r="M926" s="557"/>
      <c r="N926" s="557"/>
      <c r="O926" s="557"/>
      <c r="P926" s="557"/>
      <c r="Q926" s="557"/>
      <c r="R926" s="557"/>
      <c r="S926" s="549"/>
      <c r="T926" s="1"/>
      <c r="U926" s="1"/>
      <c r="V926" s="1"/>
      <c r="W926" s="557"/>
      <c r="X926" s="549"/>
      <c r="Y926" s="549"/>
      <c r="Z926" s="549"/>
      <c r="AA926" s="549"/>
      <c r="AB926" s="549"/>
      <c r="AC926" s="549"/>
      <c r="AD926" s="549"/>
      <c r="AE926" s="549"/>
      <c r="AF926" s="549"/>
      <c r="AG926" s="1"/>
      <c r="AH926" s="1"/>
      <c r="AI926" s="1"/>
      <c r="AJ926" s="1"/>
      <c r="AK926" s="1"/>
      <c r="AL926" s="1"/>
      <c r="AM926" s="1"/>
      <c r="AN926" s="1"/>
      <c r="AO926" s="1"/>
      <c r="AP926" s="2"/>
      <c r="AQ926" s="2"/>
      <c r="AR926" s="1"/>
      <c r="AS926" s="1"/>
      <c r="AT926" s="1"/>
      <c r="AU926" s="1"/>
      <c r="AV926" s="1"/>
      <c r="AW926" s="1"/>
      <c r="AX926" s="2"/>
      <c r="AY926" s="549"/>
    </row>
    <row r="927" spans="3:51" ht="15.75" customHeight="1" x14ac:dyDescent="0.25">
      <c r="C927" s="1"/>
      <c r="G927" s="1"/>
      <c r="H927" s="1"/>
      <c r="I927" s="1"/>
      <c r="J927" s="557"/>
      <c r="K927" s="549"/>
      <c r="L927" s="557"/>
      <c r="M927" s="557"/>
      <c r="N927" s="557"/>
      <c r="O927" s="557"/>
      <c r="P927" s="557"/>
      <c r="Q927" s="557"/>
      <c r="R927" s="557"/>
      <c r="S927" s="549"/>
      <c r="T927" s="1"/>
      <c r="U927" s="1"/>
      <c r="V927" s="1"/>
      <c r="W927" s="557"/>
      <c r="X927" s="549"/>
      <c r="Y927" s="549"/>
      <c r="Z927" s="549"/>
      <c r="AA927" s="549"/>
      <c r="AB927" s="549"/>
      <c r="AC927" s="549"/>
      <c r="AD927" s="549"/>
      <c r="AE927" s="549"/>
      <c r="AF927" s="549"/>
      <c r="AG927" s="1"/>
      <c r="AH927" s="1"/>
      <c r="AI927" s="1"/>
      <c r="AJ927" s="1"/>
      <c r="AK927" s="1"/>
      <c r="AL927" s="1"/>
      <c r="AM927" s="1"/>
      <c r="AN927" s="1"/>
      <c r="AO927" s="1"/>
      <c r="AP927" s="2"/>
      <c r="AQ927" s="2"/>
      <c r="AR927" s="1"/>
      <c r="AS927" s="1"/>
      <c r="AT927" s="1"/>
      <c r="AU927" s="1"/>
      <c r="AV927" s="1"/>
      <c r="AW927" s="1"/>
      <c r="AX927" s="2"/>
      <c r="AY927" s="549"/>
    </row>
    <row r="928" spans="3:51" ht="15.75" customHeight="1" x14ac:dyDescent="0.25">
      <c r="C928" s="1"/>
      <c r="G928" s="1"/>
      <c r="H928" s="1"/>
      <c r="I928" s="1"/>
      <c r="J928" s="557"/>
      <c r="K928" s="549"/>
      <c r="L928" s="557"/>
      <c r="M928" s="557"/>
      <c r="N928" s="557"/>
      <c r="O928" s="557"/>
      <c r="P928" s="557"/>
      <c r="Q928" s="557"/>
      <c r="R928" s="557"/>
      <c r="S928" s="549"/>
      <c r="T928" s="1"/>
      <c r="U928" s="1"/>
      <c r="V928" s="1"/>
      <c r="W928" s="557"/>
      <c r="X928" s="549"/>
      <c r="Y928" s="549"/>
      <c r="Z928" s="549"/>
      <c r="AA928" s="549"/>
      <c r="AB928" s="549"/>
      <c r="AC928" s="549"/>
      <c r="AD928" s="549"/>
      <c r="AE928" s="549"/>
      <c r="AF928" s="549"/>
      <c r="AG928" s="1"/>
      <c r="AH928" s="1"/>
      <c r="AI928" s="1"/>
      <c r="AJ928" s="1"/>
      <c r="AK928" s="1"/>
      <c r="AL928" s="1"/>
      <c r="AM928" s="1"/>
      <c r="AN928" s="1"/>
      <c r="AO928" s="1"/>
      <c r="AP928" s="2"/>
      <c r="AQ928" s="2"/>
      <c r="AR928" s="1"/>
      <c r="AS928" s="1"/>
      <c r="AT928" s="1"/>
      <c r="AU928" s="1"/>
      <c r="AV928" s="1"/>
      <c r="AW928" s="1"/>
      <c r="AX928" s="2"/>
      <c r="AY928" s="549"/>
    </row>
    <row r="929" spans="3:51" ht="15.75" customHeight="1" x14ac:dyDescent="0.25">
      <c r="C929" s="1"/>
      <c r="G929" s="1"/>
      <c r="H929" s="1"/>
      <c r="I929" s="1"/>
      <c r="J929" s="557"/>
      <c r="K929" s="549"/>
      <c r="L929" s="557"/>
      <c r="M929" s="557"/>
      <c r="N929" s="557"/>
      <c r="O929" s="557"/>
      <c r="P929" s="557"/>
      <c r="Q929" s="557"/>
      <c r="R929" s="557"/>
      <c r="S929" s="549"/>
      <c r="T929" s="1"/>
      <c r="U929" s="1"/>
      <c r="V929" s="1"/>
      <c r="W929" s="557"/>
      <c r="X929" s="549"/>
      <c r="Y929" s="549"/>
      <c r="Z929" s="549"/>
      <c r="AA929" s="549"/>
      <c r="AB929" s="549"/>
      <c r="AC929" s="549"/>
      <c r="AD929" s="549"/>
      <c r="AE929" s="549"/>
      <c r="AF929" s="549"/>
      <c r="AG929" s="1"/>
      <c r="AH929" s="1"/>
      <c r="AI929" s="1"/>
      <c r="AJ929" s="1"/>
      <c r="AK929" s="1"/>
      <c r="AL929" s="1"/>
      <c r="AM929" s="1"/>
      <c r="AN929" s="1"/>
      <c r="AO929" s="1"/>
      <c r="AP929" s="2"/>
      <c r="AQ929" s="2"/>
      <c r="AR929" s="1"/>
      <c r="AS929" s="1"/>
      <c r="AT929" s="1"/>
      <c r="AU929" s="1"/>
      <c r="AV929" s="1"/>
      <c r="AW929" s="1"/>
      <c r="AX929" s="2"/>
      <c r="AY929" s="549"/>
    </row>
    <row r="930" spans="3:51" ht="15.75" customHeight="1" x14ac:dyDescent="0.25">
      <c r="C930" s="1"/>
      <c r="G930" s="1"/>
      <c r="H930" s="1"/>
      <c r="I930" s="1"/>
      <c r="J930" s="557"/>
      <c r="K930" s="549"/>
      <c r="L930" s="557"/>
      <c r="M930" s="557"/>
      <c r="N930" s="557"/>
      <c r="O930" s="557"/>
      <c r="P930" s="557"/>
      <c r="Q930" s="557"/>
      <c r="R930" s="557"/>
      <c r="S930" s="549"/>
      <c r="T930" s="1"/>
      <c r="U930" s="1"/>
      <c r="V930" s="1"/>
      <c r="W930" s="557"/>
      <c r="X930" s="549"/>
      <c r="Y930" s="549"/>
      <c r="Z930" s="549"/>
      <c r="AA930" s="549"/>
      <c r="AB930" s="549"/>
      <c r="AC930" s="549"/>
      <c r="AD930" s="549"/>
      <c r="AE930" s="549"/>
      <c r="AF930" s="549"/>
      <c r="AG930" s="1"/>
      <c r="AH930" s="1"/>
      <c r="AI930" s="1"/>
      <c r="AJ930" s="1"/>
      <c r="AK930" s="1"/>
      <c r="AL930" s="1"/>
      <c r="AM930" s="1"/>
      <c r="AN930" s="1"/>
      <c r="AO930" s="1"/>
      <c r="AP930" s="2"/>
      <c r="AQ930" s="2"/>
      <c r="AR930" s="1"/>
      <c r="AS930" s="1"/>
      <c r="AT930" s="1"/>
      <c r="AU930" s="1"/>
      <c r="AV930" s="1"/>
      <c r="AW930" s="1"/>
      <c r="AX930" s="2"/>
      <c r="AY930" s="549"/>
    </row>
    <row r="931" spans="3:51" ht="15.75" customHeight="1" x14ac:dyDescent="0.25">
      <c r="C931" s="1"/>
      <c r="G931" s="1"/>
      <c r="H931" s="1"/>
      <c r="I931" s="1"/>
      <c r="J931" s="557"/>
      <c r="K931" s="549"/>
      <c r="L931" s="557"/>
      <c r="M931" s="557"/>
      <c r="N931" s="557"/>
      <c r="O931" s="557"/>
      <c r="P931" s="557"/>
      <c r="Q931" s="557"/>
      <c r="R931" s="557"/>
      <c r="S931" s="549"/>
      <c r="T931" s="1"/>
      <c r="U931" s="1"/>
      <c r="V931" s="1"/>
      <c r="W931" s="557"/>
      <c r="X931" s="549"/>
      <c r="Y931" s="549"/>
      <c r="Z931" s="549"/>
      <c r="AA931" s="549"/>
      <c r="AB931" s="549"/>
      <c r="AC931" s="549"/>
      <c r="AD931" s="549"/>
      <c r="AE931" s="549"/>
      <c r="AF931" s="549"/>
      <c r="AG931" s="1"/>
      <c r="AH931" s="1"/>
      <c r="AI931" s="1"/>
      <c r="AJ931" s="1"/>
      <c r="AK931" s="1"/>
      <c r="AL931" s="1"/>
      <c r="AM931" s="1"/>
      <c r="AN931" s="1"/>
      <c r="AO931" s="1"/>
      <c r="AP931" s="2"/>
      <c r="AQ931" s="2"/>
      <c r="AR931" s="1"/>
      <c r="AS931" s="1"/>
      <c r="AT931" s="1"/>
      <c r="AU931" s="1"/>
      <c r="AV931" s="1"/>
      <c r="AW931" s="1"/>
      <c r="AX931" s="2"/>
      <c r="AY931" s="549"/>
    </row>
    <row r="932" spans="3:51" ht="15.75" customHeight="1" x14ac:dyDescent="0.25">
      <c r="C932" s="1"/>
      <c r="G932" s="1"/>
      <c r="H932" s="1"/>
      <c r="I932" s="1"/>
      <c r="J932" s="557"/>
      <c r="K932" s="549"/>
      <c r="L932" s="557"/>
      <c r="M932" s="557"/>
      <c r="N932" s="557"/>
      <c r="O932" s="557"/>
      <c r="P932" s="557"/>
      <c r="Q932" s="557"/>
      <c r="R932" s="557"/>
      <c r="S932" s="549"/>
      <c r="T932" s="1"/>
      <c r="U932" s="1"/>
      <c r="V932" s="1"/>
      <c r="W932" s="557"/>
      <c r="X932" s="549"/>
      <c r="Y932" s="549"/>
      <c r="Z932" s="549"/>
      <c r="AA932" s="549"/>
      <c r="AB932" s="549"/>
      <c r="AC932" s="549"/>
      <c r="AD932" s="549"/>
      <c r="AE932" s="549"/>
      <c r="AF932" s="549"/>
      <c r="AG932" s="1"/>
      <c r="AH932" s="1"/>
      <c r="AI932" s="1"/>
      <c r="AJ932" s="1"/>
      <c r="AK932" s="1"/>
      <c r="AL932" s="1"/>
      <c r="AM932" s="1"/>
      <c r="AN932" s="1"/>
      <c r="AO932" s="1"/>
      <c r="AP932" s="2"/>
      <c r="AQ932" s="2"/>
      <c r="AR932" s="1"/>
      <c r="AS932" s="1"/>
      <c r="AT932" s="1"/>
      <c r="AU932" s="1"/>
      <c r="AV932" s="1"/>
      <c r="AW932" s="1"/>
      <c r="AX932" s="2"/>
      <c r="AY932" s="549"/>
    </row>
    <row r="933" spans="3:51" ht="15.75" customHeight="1" x14ac:dyDescent="0.25">
      <c r="C933" s="1"/>
      <c r="G933" s="1"/>
      <c r="H933" s="1"/>
      <c r="I933" s="1"/>
      <c r="J933" s="557"/>
      <c r="K933" s="549"/>
      <c r="L933" s="557"/>
      <c r="M933" s="557"/>
      <c r="N933" s="557"/>
      <c r="O933" s="557"/>
      <c r="P933" s="557"/>
      <c r="Q933" s="557"/>
      <c r="R933" s="557"/>
      <c r="S933" s="549"/>
      <c r="T933" s="1"/>
      <c r="U933" s="1"/>
      <c r="V933" s="1"/>
      <c r="W933" s="557"/>
      <c r="X933" s="549"/>
      <c r="Y933" s="549"/>
      <c r="Z933" s="549"/>
      <c r="AA933" s="549"/>
      <c r="AB933" s="549"/>
      <c r="AC933" s="549"/>
      <c r="AD933" s="549"/>
      <c r="AE933" s="549"/>
      <c r="AF933" s="549"/>
      <c r="AG933" s="1"/>
      <c r="AH933" s="1"/>
      <c r="AI933" s="1"/>
      <c r="AJ933" s="1"/>
      <c r="AK933" s="1"/>
      <c r="AL933" s="1"/>
      <c r="AM933" s="1"/>
      <c r="AN933" s="1"/>
      <c r="AO933" s="1"/>
      <c r="AP933" s="2"/>
      <c r="AQ933" s="2"/>
      <c r="AR933" s="1"/>
      <c r="AS933" s="1"/>
      <c r="AT933" s="1"/>
      <c r="AU933" s="1"/>
      <c r="AV933" s="1"/>
      <c r="AW933" s="1"/>
      <c r="AX933" s="2"/>
      <c r="AY933" s="549"/>
    </row>
    <row r="934" spans="3:51" ht="15.75" customHeight="1" x14ac:dyDescent="0.25">
      <c r="C934" s="1"/>
      <c r="G934" s="1"/>
      <c r="H934" s="1"/>
      <c r="I934" s="1"/>
      <c r="J934" s="557"/>
      <c r="K934" s="549"/>
      <c r="L934" s="557"/>
      <c r="M934" s="557"/>
      <c r="N934" s="557"/>
      <c r="O934" s="557"/>
      <c r="P934" s="557"/>
      <c r="Q934" s="557"/>
      <c r="R934" s="557"/>
      <c r="S934" s="549"/>
      <c r="T934" s="1"/>
      <c r="U934" s="1"/>
      <c r="V934" s="1"/>
      <c r="W934" s="557"/>
      <c r="X934" s="549"/>
      <c r="Y934" s="549"/>
      <c r="Z934" s="549"/>
      <c r="AA934" s="549"/>
      <c r="AB934" s="549"/>
      <c r="AC934" s="549"/>
      <c r="AD934" s="549"/>
      <c r="AE934" s="549"/>
      <c r="AF934" s="549"/>
      <c r="AG934" s="1"/>
      <c r="AH934" s="1"/>
      <c r="AI934" s="1"/>
      <c r="AJ934" s="1"/>
      <c r="AK934" s="1"/>
      <c r="AL934" s="1"/>
      <c r="AM934" s="1"/>
      <c r="AN934" s="1"/>
      <c r="AO934" s="1"/>
      <c r="AP934" s="2"/>
      <c r="AQ934" s="2"/>
      <c r="AR934" s="1"/>
      <c r="AS934" s="1"/>
      <c r="AT934" s="1"/>
      <c r="AU934" s="1"/>
      <c r="AV934" s="1"/>
      <c r="AW934" s="1"/>
      <c r="AX934" s="2"/>
      <c r="AY934" s="549"/>
    </row>
    <row r="935" spans="3:51" ht="15.75" customHeight="1" x14ac:dyDescent="0.25">
      <c r="C935" s="1"/>
      <c r="G935" s="1"/>
      <c r="H935" s="1"/>
      <c r="I935" s="1"/>
      <c r="J935" s="557"/>
      <c r="K935" s="549"/>
      <c r="L935" s="557"/>
      <c r="M935" s="557"/>
      <c r="N935" s="557"/>
      <c r="O935" s="557"/>
      <c r="P935" s="557"/>
      <c r="Q935" s="557"/>
      <c r="R935" s="557"/>
      <c r="S935" s="549"/>
      <c r="T935" s="1"/>
      <c r="U935" s="1"/>
      <c r="V935" s="1"/>
      <c r="W935" s="557"/>
      <c r="X935" s="549"/>
      <c r="Y935" s="549"/>
      <c r="Z935" s="549"/>
      <c r="AA935" s="549"/>
      <c r="AB935" s="549"/>
      <c r="AC935" s="549"/>
      <c r="AD935" s="549"/>
      <c r="AE935" s="549"/>
      <c r="AF935" s="549"/>
      <c r="AG935" s="1"/>
      <c r="AH935" s="1"/>
      <c r="AI935" s="1"/>
      <c r="AJ935" s="1"/>
      <c r="AK935" s="1"/>
      <c r="AL935" s="1"/>
      <c r="AM935" s="1"/>
      <c r="AN935" s="1"/>
      <c r="AO935" s="1"/>
      <c r="AP935" s="2"/>
      <c r="AQ935" s="2"/>
      <c r="AR935" s="1"/>
      <c r="AS935" s="1"/>
      <c r="AT935" s="1"/>
      <c r="AU935" s="1"/>
      <c r="AV935" s="1"/>
      <c r="AW935" s="1"/>
      <c r="AX935" s="2"/>
      <c r="AY935" s="549"/>
    </row>
    <row r="936" spans="3:51" ht="15.75" customHeight="1" x14ac:dyDescent="0.25">
      <c r="C936" s="1"/>
      <c r="G936" s="1"/>
      <c r="H936" s="1"/>
      <c r="I936" s="1"/>
      <c r="J936" s="557"/>
      <c r="K936" s="549"/>
      <c r="L936" s="557"/>
      <c r="M936" s="557"/>
      <c r="N936" s="557"/>
      <c r="O936" s="557"/>
      <c r="P936" s="557"/>
      <c r="Q936" s="557"/>
      <c r="R936" s="557"/>
      <c r="S936" s="549"/>
      <c r="T936" s="1"/>
      <c r="U936" s="1"/>
      <c r="V936" s="1"/>
      <c r="W936" s="557"/>
      <c r="X936" s="549"/>
      <c r="Y936" s="549"/>
      <c r="Z936" s="549"/>
      <c r="AA936" s="549"/>
      <c r="AB936" s="549"/>
      <c r="AC936" s="549"/>
      <c r="AD936" s="549"/>
      <c r="AE936" s="549"/>
      <c r="AF936" s="549"/>
      <c r="AG936" s="1"/>
      <c r="AH936" s="1"/>
      <c r="AI936" s="1"/>
      <c r="AJ936" s="1"/>
      <c r="AK936" s="1"/>
      <c r="AL936" s="1"/>
      <c r="AM936" s="1"/>
      <c r="AN936" s="1"/>
      <c r="AO936" s="1"/>
      <c r="AP936" s="2"/>
      <c r="AQ936" s="2"/>
      <c r="AR936" s="1"/>
      <c r="AS936" s="1"/>
      <c r="AT936" s="1"/>
      <c r="AU936" s="1"/>
      <c r="AV936" s="1"/>
      <c r="AW936" s="1"/>
      <c r="AX936" s="2"/>
      <c r="AY936" s="549"/>
    </row>
    <row r="937" spans="3:51" ht="15.75" customHeight="1" x14ac:dyDescent="0.25">
      <c r="C937" s="1"/>
      <c r="G937" s="1"/>
      <c r="H937" s="1"/>
      <c r="I937" s="1"/>
      <c r="J937" s="557"/>
      <c r="K937" s="549"/>
      <c r="L937" s="557"/>
      <c r="M937" s="557"/>
      <c r="N937" s="557"/>
      <c r="O937" s="557"/>
      <c r="P937" s="557"/>
      <c r="Q937" s="557"/>
      <c r="R937" s="557"/>
      <c r="S937" s="549"/>
      <c r="T937" s="1"/>
      <c r="U937" s="1"/>
      <c r="V937" s="1"/>
      <c r="W937" s="557"/>
      <c r="X937" s="549"/>
      <c r="Y937" s="549"/>
      <c r="Z937" s="549"/>
      <c r="AA937" s="549"/>
      <c r="AB937" s="549"/>
      <c r="AC937" s="549"/>
      <c r="AD937" s="549"/>
      <c r="AE937" s="549"/>
      <c r="AF937" s="549"/>
      <c r="AG937" s="1"/>
      <c r="AH937" s="1"/>
      <c r="AI937" s="1"/>
      <c r="AJ937" s="1"/>
      <c r="AK937" s="1"/>
      <c r="AL937" s="1"/>
      <c r="AM937" s="1"/>
      <c r="AN937" s="1"/>
      <c r="AO937" s="1"/>
      <c r="AP937" s="2"/>
      <c r="AQ937" s="2"/>
      <c r="AR937" s="1"/>
      <c r="AS937" s="1"/>
      <c r="AT937" s="1"/>
      <c r="AU937" s="1"/>
      <c r="AV937" s="1"/>
      <c r="AW937" s="1"/>
      <c r="AX937" s="2"/>
      <c r="AY937" s="549"/>
    </row>
    <row r="938" spans="3:51" ht="15.75" customHeight="1" x14ac:dyDescent="0.25">
      <c r="C938" s="1"/>
      <c r="G938" s="1"/>
      <c r="H938" s="1"/>
      <c r="I938" s="1"/>
      <c r="J938" s="557"/>
      <c r="K938" s="549"/>
      <c r="L938" s="557"/>
      <c r="M938" s="557"/>
      <c r="N938" s="557"/>
      <c r="O938" s="557"/>
      <c r="P938" s="557"/>
      <c r="Q938" s="557"/>
      <c r="R938" s="557"/>
      <c r="S938" s="549"/>
      <c r="T938" s="1"/>
      <c r="U938" s="1"/>
      <c r="V938" s="1"/>
      <c r="W938" s="557"/>
      <c r="X938" s="549"/>
      <c r="Y938" s="549"/>
      <c r="Z938" s="549"/>
      <c r="AA938" s="549"/>
      <c r="AB938" s="549"/>
      <c r="AC938" s="549"/>
      <c r="AD938" s="549"/>
      <c r="AE938" s="549"/>
      <c r="AF938" s="549"/>
      <c r="AG938" s="1"/>
      <c r="AH938" s="1"/>
      <c r="AI938" s="1"/>
      <c r="AJ938" s="1"/>
      <c r="AK938" s="1"/>
      <c r="AL938" s="1"/>
      <c r="AM938" s="1"/>
      <c r="AN938" s="1"/>
      <c r="AO938" s="1"/>
      <c r="AP938" s="2"/>
      <c r="AQ938" s="2"/>
      <c r="AR938" s="1"/>
      <c r="AS938" s="1"/>
      <c r="AT938" s="1"/>
      <c r="AU938" s="1"/>
      <c r="AV938" s="1"/>
      <c r="AW938" s="1"/>
      <c r="AX938" s="2"/>
      <c r="AY938" s="549"/>
    </row>
    <row r="939" spans="3:51" ht="15.75" customHeight="1" x14ac:dyDescent="0.25">
      <c r="C939" s="1"/>
      <c r="G939" s="1"/>
      <c r="H939" s="1"/>
      <c r="I939" s="1"/>
      <c r="J939" s="557"/>
      <c r="K939" s="549"/>
      <c r="L939" s="557"/>
      <c r="M939" s="557"/>
      <c r="N939" s="557"/>
      <c r="O939" s="557"/>
      <c r="P939" s="557"/>
      <c r="Q939" s="557"/>
      <c r="R939" s="557"/>
      <c r="S939" s="549"/>
      <c r="T939" s="1"/>
      <c r="U939" s="1"/>
      <c r="V939" s="1"/>
      <c r="W939" s="557"/>
      <c r="X939" s="549"/>
      <c r="Y939" s="549"/>
      <c r="Z939" s="549"/>
      <c r="AA939" s="549"/>
      <c r="AB939" s="549"/>
      <c r="AC939" s="549"/>
      <c r="AD939" s="549"/>
      <c r="AE939" s="549"/>
      <c r="AF939" s="549"/>
      <c r="AG939" s="1"/>
      <c r="AH939" s="1"/>
      <c r="AI939" s="1"/>
      <c r="AJ939" s="1"/>
      <c r="AK939" s="1"/>
      <c r="AL939" s="1"/>
      <c r="AM939" s="1"/>
      <c r="AN939" s="1"/>
      <c r="AO939" s="1"/>
      <c r="AP939" s="2"/>
      <c r="AQ939" s="2"/>
      <c r="AR939" s="1"/>
      <c r="AS939" s="1"/>
      <c r="AT939" s="1"/>
      <c r="AU939" s="1"/>
      <c r="AV939" s="1"/>
      <c r="AW939" s="1"/>
      <c r="AX939" s="2"/>
      <c r="AY939" s="549"/>
    </row>
    <row r="940" spans="3:51" ht="15.75" customHeight="1" x14ac:dyDescent="0.25">
      <c r="C940" s="1"/>
      <c r="G940" s="1"/>
      <c r="H940" s="1"/>
      <c r="I940" s="1"/>
      <c r="J940" s="557"/>
      <c r="K940" s="549"/>
      <c r="L940" s="557"/>
      <c r="M940" s="557"/>
      <c r="N940" s="557"/>
      <c r="O940" s="557"/>
      <c r="P940" s="557"/>
      <c r="Q940" s="557"/>
      <c r="R940" s="557"/>
      <c r="S940" s="549"/>
      <c r="T940" s="1"/>
      <c r="U940" s="1"/>
      <c r="V940" s="1"/>
      <c r="W940" s="557"/>
      <c r="X940" s="549"/>
      <c r="Y940" s="549"/>
      <c r="Z940" s="549"/>
      <c r="AA940" s="549"/>
      <c r="AB940" s="549"/>
      <c r="AC940" s="549"/>
      <c r="AD940" s="549"/>
      <c r="AE940" s="549"/>
      <c r="AF940" s="549"/>
      <c r="AG940" s="1"/>
      <c r="AH940" s="1"/>
      <c r="AI940" s="1"/>
      <c r="AJ940" s="1"/>
      <c r="AK940" s="1"/>
      <c r="AL940" s="1"/>
      <c r="AM940" s="1"/>
      <c r="AN940" s="1"/>
      <c r="AO940" s="1"/>
      <c r="AP940" s="2"/>
      <c r="AQ940" s="2"/>
      <c r="AR940" s="1"/>
      <c r="AS940" s="1"/>
      <c r="AT940" s="1"/>
      <c r="AU940" s="1"/>
      <c r="AV940" s="1"/>
      <c r="AW940" s="1"/>
      <c r="AX940" s="2"/>
      <c r="AY940" s="549"/>
    </row>
    <row r="941" spans="3:51" ht="15.75" customHeight="1" x14ac:dyDescent="0.25">
      <c r="C941" s="1"/>
      <c r="G941" s="1"/>
      <c r="H941" s="1"/>
      <c r="I941" s="1"/>
      <c r="J941" s="557"/>
      <c r="K941" s="549"/>
      <c r="L941" s="557"/>
      <c r="M941" s="557"/>
      <c r="N941" s="557"/>
      <c r="O941" s="557"/>
      <c r="P941" s="557"/>
      <c r="Q941" s="557"/>
      <c r="R941" s="557"/>
      <c r="S941" s="549"/>
      <c r="T941" s="1"/>
      <c r="U941" s="1"/>
      <c r="V941" s="1"/>
      <c r="W941" s="557"/>
      <c r="X941" s="549"/>
      <c r="Y941" s="549"/>
      <c r="Z941" s="549"/>
      <c r="AA941" s="549"/>
      <c r="AB941" s="549"/>
      <c r="AC941" s="549"/>
      <c r="AD941" s="549"/>
      <c r="AE941" s="549"/>
      <c r="AF941" s="549"/>
      <c r="AG941" s="1"/>
      <c r="AH941" s="1"/>
      <c r="AI941" s="1"/>
      <c r="AJ941" s="1"/>
      <c r="AK941" s="1"/>
      <c r="AL941" s="1"/>
      <c r="AM941" s="1"/>
      <c r="AN941" s="1"/>
      <c r="AO941" s="1"/>
      <c r="AP941" s="2"/>
      <c r="AQ941" s="2"/>
      <c r="AR941" s="1"/>
      <c r="AS941" s="1"/>
      <c r="AT941" s="1"/>
      <c r="AU941" s="1"/>
      <c r="AV941" s="1"/>
      <c r="AW941" s="1"/>
      <c r="AX941" s="2"/>
      <c r="AY941" s="549"/>
    </row>
    <row r="942" spans="3:51" ht="15.75" customHeight="1" x14ac:dyDescent="0.25">
      <c r="C942" s="1"/>
      <c r="G942" s="1"/>
      <c r="H942" s="1"/>
      <c r="I942" s="1"/>
      <c r="J942" s="557"/>
      <c r="K942" s="549"/>
      <c r="L942" s="557"/>
      <c r="M942" s="557"/>
      <c r="N942" s="557"/>
      <c r="O942" s="557"/>
      <c r="P942" s="557"/>
      <c r="Q942" s="557"/>
      <c r="R942" s="557"/>
      <c r="S942" s="549"/>
      <c r="T942" s="1"/>
      <c r="U942" s="1"/>
      <c r="V942" s="1"/>
      <c r="W942" s="557"/>
      <c r="X942" s="549"/>
      <c r="Y942" s="549"/>
      <c r="Z942" s="549"/>
      <c r="AA942" s="549"/>
      <c r="AB942" s="549"/>
      <c r="AC942" s="549"/>
      <c r="AD942" s="549"/>
      <c r="AE942" s="549"/>
      <c r="AF942" s="549"/>
      <c r="AG942" s="1"/>
      <c r="AH942" s="1"/>
      <c r="AI942" s="1"/>
      <c r="AJ942" s="1"/>
      <c r="AK942" s="1"/>
      <c r="AL942" s="1"/>
      <c r="AM942" s="1"/>
      <c r="AN942" s="1"/>
      <c r="AO942" s="1"/>
      <c r="AP942" s="2"/>
      <c r="AQ942" s="2"/>
      <c r="AR942" s="1"/>
      <c r="AS942" s="1"/>
      <c r="AT942" s="1"/>
      <c r="AU942" s="1"/>
      <c r="AV942" s="1"/>
      <c r="AW942" s="1"/>
      <c r="AX942" s="2"/>
      <c r="AY942" s="549"/>
    </row>
    <row r="943" spans="3:51" ht="15.75" customHeight="1" x14ac:dyDescent="0.25">
      <c r="C943" s="1"/>
      <c r="G943" s="1"/>
      <c r="H943" s="1"/>
      <c r="I943" s="1"/>
      <c r="J943" s="557"/>
      <c r="K943" s="549"/>
      <c r="L943" s="557"/>
      <c r="M943" s="557"/>
      <c r="N943" s="557"/>
      <c r="O943" s="557"/>
      <c r="P943" s="557"/>
      <c r="Q943" s="557"/>
      <c r="R943" s="557"/>
      <c r="S943" s="549"/>
      <c r="T943" s="1"/>
      <c r="U943" s="1"/>
      <c r="V943" s="1"/>
      <c r="W943" s="557"/>
      <c r="X943" s="549"/>
      <c r="Y943" s="549"/>
      <c r="Z943" s="549"/>
      <c r="AA943" s="549"/>
      <c r="AB943" s="549"/>
      <c r="AC943" s="549"/>
      <c r="AD943" s="549"/>
      <c r="AE943" s="549"/>
      <c r="AF943" s="549"/>
      <c r="AG943" s="1"/>
      <c r="AH943" s="1"/>
      <c r="AI943" s="1"/>
      <c r="AJ943" s="1"/>
      <c r="AK943" s="1"/>
      <c r="AL943" s="1"/>
      <c r="AM943" s="1"/>
      <c r="AN943" s="1"/>
      <c r="AO943" s="1"/>
      <c r="AP943" s="2"/>
      <c r="AQ943" s="2"/>
      <c r="AR943" s="1"/>
      <c r="AS943" s="1"/>
      <c r="AT943" s="1"/>
      <c r="AU943" s="1"/>
      <c r="AV943" s="1"/>
      <c r="AW943" s="1"/>
      <c r="AX943" s="2"/>
      <c r="AY943" s="549"/>
    </row>
    <row r="944" spans="3:51" ht="15.75" customHeight="1" x14ac:dyDescent="0.25">
      <c r="C944" s="1"/>
      <c r="G944" s="1"/>
      <c r="H944" s="1"/>
      <c r="I944" s="1"/>
      <c r="J944" s="557"/>
      <c r="K944" s="549"/>
      <c r="L944" s="557"/>
      <c r="M944" s="557"/>
      <c r="N944" s="557"/>
      <c r="O944" s="557"/>
      <c r="P944" s="557"/>
      <c r="Q944" s="557"/>
      <c r="R944" s="557"/>
      <c r="S944" s="549"/>
      <c r="T944" s="1"/>
      <c r="U944" s="1"/>
      <c r="V944" s="1"/>
      <c r="W944" s="557"/>
      <c r="X944" s="549"/>
      <c r="Y944" s="549"/>
      <c r="Z944" s="549"/>
      <c r="AA944" s="549"/>
      <c r="AB944" s="549"/>
      <c r="AC944" s="549"/>
      <c r="AD944" s="549"/>
      <c r="AE944" s="549"/>
      <c r="AF944" s="549"/>
      <c r="AG944" s="1"/>
      <c r="AH944" s="1"/>
      <c r="AI944" s="1"/>
      <c r="AJ944" s="1"/>
      <c r="AK944" s="1"/>
      <c r="AL944" s="1"/>
      <c r="AM944" s="1"/>
      <c r="AN944" s="1"/>
      <c r="AO944" s="1"/>
      <c r="AP944" s="2"/>
      <c r="AQ944" s="2"/>
      <c r="AR944" s="1"/>
      <c r="AS944" s="1"/>
      <c r="AT944" s="1"/>
      <c r="AU944" s="1"/>
      <c r="AV944" s="1"/>
      <c r="AW944" s="1"/>
      <c r="AX944" s="2"/>
      <c r="AY944" s="549"/>
    </row>
    <row r="945" spans="3:51" ht="15.75" customHeight="1" x14ac:dyDescent="0.25">
      <c r="C945" s="1"/>
      <c r="G945" s="1"/>
      <c r="H945" s="1"/>
      <c r="I945" s="1"/>
      <c r="J945" s="557"/>
      <c r="K945" s="549"/>
      <c r="L945" s="557"/>
      <c r="M945" s="557"/>
      <c r="N945" s="557"/>
      <c r="O945" s="557"/>
      <c r="P945" s="557"/>
      <c r="Q945" s="557"/>
      <c r="R945" s="557"/>
      <c r="S945" s="549"/>
      <c r="T945" s="1"/>
      <c r="U945" s="1"/>
      <c r="V945" s="1"/>
      <c r="W945" s="557"/>
      <c r="X945" s="549"/>
      <c r="Y945" s="549"/>
      <c r="Z945" s="549"/>
      <c r="AA945" s="549"/>
      <c r="AB945" s="549"/>
      <c r="AC945" s="549"/>
      <c r="AD945" s="549"/>
      <c r="AE945" s="549"/>
      <c r="AF945" s="549"/>
      <c r="AG945" s="1"/>
      <c r="AH945" s="1"/>
      <c r="AI945" s="1"/>
      <c r="AJ945" s="1"/>
      <c r="AK945" s="1"/>
      <c r="AL945" s="1"/>
      <c r="AM945" s="1"/>
      <c r="AN945" s="1"/>
      <c r="AO945" s="1"/>
      <c r="AP945" s="2"/>
      <c r="AQ945" s="2"/>
      <c r="AR945" s="1"/>
      <c r="AS945" s="1"/>
      <c r="AT945" s="1"/>
      <c r="AU945" s="1"/>
      <c r="AV945" s="1"/>
      <c r="AW945" s="1"/>
      <c r="AX945" s="2"/>
      <c r="AY945" s="549"/>
    </row>
    <row r="946" spans="3:51" ht="15.75" customHeight="1" x14ac:dyDescent="0.25">
      <c r="C946" s="1"/>
      <c r="G946" s="1"/>
      <c r="H946" s="1"/>
      <c r="I946" s="1"/>
      <c r="J946" s="557"/>
      <c r="K946" s="549"/>
      <c r="L946" s="557"/>
      <c r="M946" s="557"/>
      <c r="N946" s="557"/>
      <c r="O946" s="557"/>
      <c r="P946" s="557"/>
      <c r="Q946" s="557"/>
      <c r="R946" s="557"/>
      <c r="S946" s="549"/>
      <c r="T946" s="1"/>
      <c r="U946" s="1"/>
      <c r="V946" s="1"/>
      <c r="W946" s="557"/>
      <c r="X946" s="549"/>
      <c r="Y946" s="549"/>
      <c r="Z946" s="549"/>
      <c r="AA946" s="549"/>
      <c r="AB946" s="549"/>
      <c r="AC946" s="549"/>
      <c r="AD946" s="549"/>
      <c r="AE946" s="549"/>
      <c r="AF946" s="549"/>
      <c r="AG946" s="1"/>
      <c r="AH946" s="1"/>
      <c r="AI946" s="1"/>
      <c r="AJ946" s="1"/>
      <c r="AK946" s="1"/>
      <c r="AL946" s="1"/>
      <c r="AM946" s="1"/>
      <c r="AN946" s="1"/>
      <c r="AO946" s="1"/>
      <c r="AP946" s="2"/>
      <c r="AQ946" s="2"/>
      <c r="AR946" s="1"/>
      <c r="AS946" s="1"/>
      <c r="AT946" s="1"/>
      <c r="AU946" s="1"/>
      <c r="AV946" s="1"/>
      <c r="AW946" s="1"/>
      <c r="AX946" s="2"/>
      <c r="AY946" s="549"/>
    </row>
    <row r="947" spans="3:51" ht="15.75" customHeight="1" x14ac:dyDescent="0.25">
      <c r="C947" s="1"/>
      <c r="G947" s="1"/>
      <c r="H947" s="1"/>
      <c r="I947" s="1"/>
      <c r="J947" s="557"/>
      <c r="K947" s="549"/>
      <c r="L947" s="557"/>
      <c r="M947" s="557"/>
      <c r="N947" s="557"/>
      <c r="O947" s="557"/>
      <c r="P947" s="557"/>
      <c r="Q947" s="557"/>
      <c r="R947" s="557"/>
      <c r="S947" s="549"/>
      <c r="T947" s="1"/>
      <c r="U947" s="1"/>
      <c r="V947" s="1"/>
      <c r="W947" s="557"/>
      <c r="X947" s="549"/>
      <c r="Y947" s="549"/>
      <c r="Z947" s="549"/>
      <c r="AA947" s="549"/>
      <c r="AB947" s="549"/>
      <c r="AC947" s="549"/>
      <c r="AD947" s="549"/>
      <c r="AE947" s="549"/>
      <c r="AF947" s="549"/>
      <c r="AG947" s="1"/>
      <c r="AH947" s="1"/>
      <c r="AI947" s="1"/>
      <c r="AJ947" s="1"/>
      <c r="AK947" s="1"/>
      <c r="AL947" s="1"/>
      <c r="AM947" s="1"/>
      <c r="AN947" s="1"/>
      <c r="AO947" s="1"/>
      <c r="AP947" s="2"/>
      <c r="AQ947" s="2"/>
      <c r="AR947" s="1"/>
      <c r="AS947" s="1"/>
      <c r="AT947" s="1"/>
      <c r="AU947" s="1"/>
      <c r="AV947" s="1"/>
      <c r="AW947" s="1"/>
      <c r="AX947" s="2"/>
      <c r="AY947" s="549"/>
    </row>
    <row r="948" spans="3:51" ht="15.75" customHeight="1" x14ac:dyDescent="0.25">
      <c r="C948" s="1"/>
      <c r="G948" s="1"/>
      <c r="H948" s="1"/>
      <c r="I948" s="1"/>
      <c r="J948" s="557"/>
      <c r="K948" s="549"/>
      <c r="L948" s="557"/>
      <c r="M948" s="557"/>
      <c r="N948" s="557"/>
      <c r="O948" s="557"/>
      <c r="P948" s="557"/>
      <c r="Q948" s="557"/>
      <c r="R948" s="557"/>
      <c r="S948" s="549"/>
      <c r="T948" s="1"/>
      <c r="U948" s="1"/>
      <c r="V948" s="1"/>
      <c r="W948" s="557"/>
      <c r="X948" s="549"/>
      <c r="Y948" s="549"/>
      <c r="Z948" s="549"/>
      <c r="AA948" s="549"/>
      <c r="AB948" s="549"/>
      <c r="AC948" s="549"/>
      <c r="AD948" s="549"/>
      <c r="AE948" s="549"/>
      <c r="AF948" s="549"/>
      <c r="AG948" s="1"/>
      <c r="AH948" s="1"/>
      <c r="AI948" s="1"/>
      <c r="AJ948" s="1"/>
      <c r="AK948" s="1"/>
      <c r="AL948" s="1"/>
      <c r="AM948" s="1"/>
      <c r="AN948" s="1"/>
      <c r="AO948" s="1"/>
      <c r="AP948" s="2"/>
      <c r="AQ948" s="2"/>
      <c r="AR948" s="1"/>
      <c r="AS948" s="1"/>
      <c r="AT948" s="1"/>
      <c r="AU948" s="1"/>
      <c r="AV948" s="1"/>
      <c r="AW948" s="1"/>
      <c r="AX948" s="2"/>
      <c r="AY948" s="549"/>
    </row>
    <row r="949" spans="3:51" ht="15.75" customHeight="1" x14ac:dyDescent="0.25">
      <c r="C949" s="1"/>
      <c r="G949" s="1"/>
      <c r="H949" s="1"/>
      <c r="I949" s="1"/>
      <c r="J949" s="557"/>
      <c r="K949" s="549"/>
      <c r="L949" s="557"/>
      <c r="M949" s="557"/>
      <c r="N949" s="557"/>
      <c r="O949" s="557"/>
      <c r="P949" s="557"/>
      <c r="Q949" s="557"/>
      <c r="R949" s="557"/>
      <c r="S949" s="549"/>
      <c r="T949" s="1"/>
      <c r="U949" s="1"/>
      <c r="V949" s="1"/>
      <c r="W949" s="557"/>
      <c r="X949" s="549"/>
      <c r="Y949" s="549"/>
      <c r="Z949" s="549"/>
      <c r="AA949" s="549"/>
      <c r="AB949" s="549"/>
      <c r="AC949" s="549"/>
      <c r="AD949" s="549"/>
      <c r="AE949" s="549"/>
      <c r="AF949" s="549"/>
      <c r="AG949" s="1"/>
      <c r="AH949" s="1"/>
      <c r="AI949" s="1"/>
      <c r="AJ949" s="1"/>
      <c r="AK949" s="1"/>
      <c r="AL949" s="1"/>
      <c r="AM949" s="1"/>
      <c r="AN949" s="1"/>
      <c r="AO949" s="1"/>
      <c r="AP949" s="2"/>
      <c r="AQ949" s="2"/>
      <c r="AR949" s="1"/>
      <c r="AS949" s="1"/>
      <c r="AT949" s="1"/>
      <c r="AU949" s="1"/>
      <c r="AV949" s="1"/>
      <c r="AW949" s="1"/>
      <c r="AX949" s="2"/>
      <c r="AY949" s="549"/>
    </row>
    <row r="950" spans="3:51" ht="15.75" customHeight="1" x14ac:dyDescent="0.25">
      <c r="C950" s="1"/>
      <c r="G950" s="1"/>
      <c r="H950" s="1"/>
      <c r="I950" s="1"/>
      <c r="J950" s="557"/>
      <c r="K950" s="549"/>
      <c r="L950" s="557"/>
      <c r="M950" s="557"/>
      <c r="N950" s="557"/>
      <c r="O950" s="557"/>
      <c r="P950" s="557"/>
      <c r="Q950" s="557"/>
      <c r="R950" s="557"/>
      <c r="S950" s="549"/>
      <c r="T950" s="1"/>
      <c r="U950" s="1"/>
      <c r="V950" s="1"/>
      <c r="W950" s="557"/>
      <c r="X950" s="549"/>
      <c r="Y950" s="549"/>
      <c r="Z950" s="549"/>
      <c r="AA950" s="549"/>
      <c r="AB950" s="549"/>
      <c r="AC950" s="549"/>
      <c r="AD950" s="549"/>
      <c r="AE950" s="549"/>
      <c r="AF950" s="549"/>
      <c r="AG950" s="1"/>
      <c r="AH950" s="1"/>
      <c r="AI950" s="1"/>
      <c r="AJ950" s="1"/>
      <c r="AK950" s="1"/>
      <c r="AL950" s="1"/>
      <c r="AM950" s="1"/>
      <c r="AN950" s="1"/>
      <c r="AO950" s="1"/>
      <c r="AP950" s="2"/>
      <c r="AQ950" s="2"/>
      <c r="AR950" s="1"/>
      <c r="AS950" s="1"/>
      <c r="AT950" s="1"/>
      <c r="AU950" s="1"/>
      <c r="AV950" s="1"/>
      <c r="AW950" s="1"/>
      <c r="AX950" s="2"/>
      <c r="AY950" s="549"/>
    </row>
    <row r="951" spans="3:51" ht="15.75" customHeight="1" x14ac:dyDescent="0.25">
      <c r="C951" s="1"/>
      <c r="G951" s="1"/>
      <c r="H951" s="1"/>
      <c r="I951" s="1"/>
      <c r="J951" s="557"/>
      <c r="K951" s="549"/>
      <c r="L951" s="557"/>
      <c r="M951" s="557"/>
      <c r="N951" s="557"/>
      <c r="O951" s="557"/>
      <c r="P951" s="557"/>
      <c r="Q951" s="557"/>
      <c r="R951" s="557"/>
      <c r="S951" s="549"/>
      <c r="T951" s="1"/>
      <c r="U951" s="1"/>
      <c r="V951" s="1"/>
      <c r="W951" s="557"/>
      <c r="X951" s="549"/>
      <c r="Y951" s="549"/>
      <c r="Z951" s="549"/>
      <c r="AA951" s="549"/>
      <c r="AB951" s="549"/>
      <c r="AC951" s="549"/>
      <c r="AD951" s="549"/>
      <c r="AE951" s="549"/>
      <c r="AF951" s="549"/>
      <c r="AG951" s="1"/>
      <c r="AH951" s="1"/>
      <c r="AI951" s="1"/>
      <c r="AJ951" s="1"/>
      <c r="AK951" s="1"/>
      <c r="AL951" s="1"/>
      <c r="AM951" s="1"/>
      <c r="AN951" s="1"/>
      <c r="AO951" s="1"/>
      <c r="AP951" s="2"/>
      <c r="AQ951" s="2"/>
      <c r="AR951" s="1"/>
      <c r="AS951" s="1"/>
      <c r="AT951" s="1"/>
      <c r="AU951" s="1"/>
      <c r="AV951" s="1"/>
      <c r="AW951" s="1"/>
      <c r="AX951" s="2"/>
      <c r="AY951" s="549"/>
    </row>
    <row r="952" spans="3:51" ht="15.75" customHeight="1" x14ac:dyDescent="0.25">
      <c r="C952" s="1"/>
      <c r="G952" s="1"/>
      <c r="H952" s="1"/>
      <c r="I952" s="1"/>
      <c r="J952" s="557"/>
      <c r="K952" s="549"/>
      <c r="L952" s="557"/>
      <c r="M952" s="557"/>
      <c r="N952" s="557"/>
      <c r="O952" s="557"/>
      <c r="P952" s="557"/>
      <c r="Q952" s="557"/>
      <c r="R952" s="557"/>
      <c r="S952" s="549"/>
      <c r="T952" s="1"/>
      <c r="U952" s="1"/>
      <c r="V952" s="1"/>
      <c r="W952" s="557"/>
      <c r="X952" s="549"/>
      <c r="Y952" s="549"/>
      <c r="Z952" s="549"/>
      <c r="AA952" s="549"/>
      <c r="AB952" s="549"/>
      <c r="AC952" s="549"/>
      <c r="AD952" s="549"/>
      <c r="AE952" s="549"/>
      <c r="AF952" s="549"/>
      <c r="AG952" s="1"/>
      <c r="AH952" s="1"/>
      <c r="AI952" s="1"/>
      <c r="AJ952" s="1"/>
      <c r="AK952" s="1"/>
      <c r="AL952" s="1"/>
      <c r="AM952" s="1"/>
      <c r="AN952" s="1"/>
      <c r="AO952" s="1"/>
      <c r="AP952" s="2"/>
      <c r="AQ952" s="2"/>
      <c r="AR952" s="1"/>
      <c r="AS952" s="1"/>
      <c r="AT952" s="1"/>
      <c r="AU952" s="1"/>
      <c r="AV952" s="1"/>
      <c r="AW952" s="1"/>
      <c r="AX952" s="2"/>
      <c r="AY952" s="549"/>
    </row>
    <row r="953" spans="3:51" ht="15.75" customHeight="1" x14ac:dyDescent="0.25">
      <c r="C953" s="1"/>
      <c r="G953" s="1"/>
      <c r="H953" s="1"/>
      <c r="I953" s="1"/>
      <c r="J953" s="557"/>
      <c r="K953" s="549"/>
      <c r="L953" s="557"/>
      <c r="M953" s="557"/>
      <c r="N953" s="557"/>
      <c r="O953" s="557"/>
      <c r="P953" s="557"/>
      <c r="Q953" s="557"/>
      <c r="R953" s="557"/>
      <c r="S953" s="549"/>
      <c r="T953" s="1"/>
      <c r="U953" s="1"/>
      <c r="V953" s="1"/>
      <c r="W953" s="557"/>
      <c r="X953" s="549"/>
      <c r="Y953" s="549"/>
      <c r="Z953" s="549"/>
      <c r="AA953" s="549"/>
      <c r="AB953" s="549"/>
      <c r="AC953" s="549"/>
      <c r="AD953" s="549"/>
      <c r="AE953" s="549"/>
      <c r="AF953" s="549"/>
      <c r="AG953" s="1"/>
      <c r="AH953" s="1"/>
      <c r="AI953" s="1"/>
      <c r="AJ953" s="1"/>
      <c r="AK953" s="1"/>
      <c r="AL953" s="1"/>
      <c r="AM953" s="1"/>
      <c r="AN953" s="1"/>
      <c r="AO953" s="1"/>
      <c r="AP953" s="2"/>
      <c r="AQ953" s="2"/>
      <c r="AR953" s="1"/>
      <c r="AS953" s="1"/>
      <c r="AT953" s="1"/>
      <c r="AU953" s="1"/>
      <c r="AV953" s="1"/>
      <c r="AW953" s="1"/>
      <c r="AX953" s="2"/>
      <c r="AY953" s="549"/>
    </row>
    <row r="954" spans="3:51" ht="15.75" customHeight="1" x14ac:dyDescent="0.25">
      <c r="C954" s="1"/>
      <c r="G954" s="1"/>
      <c r="H954" s="1"/>
      <c r="I954" s="1"/>
      <c r="J954" s="557"/>
      <c r="K954" s="549"/>
      <c r="L954" s="557"/>
      <c r="M954" s="557"/>
      <c r="N954" s="557"/>
      <c r="O954" s="557"/>
      <c r="P954" s="557"/>
      <c r="Q954" s="557"/>
      <c r="R954" s="557"/>
      <c r="S954" s="549"/>
      <c r="T954" s="1"/>
      <c r="U954" s="1"/>
      <c r="V954" s="1"/>
      <c r="W954" s="557"/>
      <c r="X954" s="549"/>
      <c r="Y954" s="549"/>
      <c r="Z954" s="549"/>
      <c r="AA954" s="549"/>
      <c r="AB954" s="549"/>
      <c r="AC954" s="549"/>
      <c r="AD954" s="549"/>
      <c r="AE954" s="549"/>
      <c r="AF954" s="549"/>
      <c r="AG954" s="1"/>
      <c r="AH954" s="1"/>
      <c r="AI954" s="1"/>
      <c r="AJ954" s="1"/>
      <c r="AK954" s="1"/>
      <c r="AL954" s="1"/>
      <c r="AM954" s="1"/>
      <c r="AN954" s="1"/>
      <c r="AO954" s="1"/>
      <c r="AP954" s="2"/>
      <c r="AQ954" s="2"/>
      <c r="AR954" s="1"/>
      <c r="AS954" s="1"/>
      <c r="AT954" s="1"/>
      <c r="AU954" s="1"/>
      <c r="AV954" s="1"/>
      <c r="AW954" s="1"/>
      <c r="AX954" s="2"/>
      <c r="AY954" s="549"/>
    </row>
    <row r="955" spans="3:51" ht="15.75" customHeight="1" x14ac:dyDescent="0.25">
      <c r="C955" s="1"/>
      <c r="G955" s="1"/>
      <c r="H955" s="1"/>
      <c r="I955" s="1"/>
      <c r="J955" s="557"/>
      <c r="K955" s="549"/>
      <c r="L955" s="557"/>
      <c r="M955" s="557"/>
      <c r="N955" s="557"/>
      <c r="O955" s="557"/>
      <c r="P955" s="557"/>
      <c r="Q955" s="557"/>
      <c r="R955" s="557"/>
      <c r="S955" s="549"/>
      <c r="T955" s="1"/>
      <c r="U955" s="1"/>
      <c r="V955" s="1"/>
      <c r="W955" s="557"/>
      <c r="X955" s="549"/>
      <c r="Y955" s="549"/>
      <c r="Z955" s="549"/>
      <c r="AA955" s="549"/>
      <c r="AB955" s="549"/>
      <c r="AC955" s="549"/>
      <c r="AD955" s="549"/>
      <c r="AE955" s="549"/>
      <c r="AF955" s="549"/>
      <c r="AG955" s="1"/>
      <c r="AH955" s="1"/>
      <c r="AI955" s="1"/>
      <c r="AJ955" s="1"/>
      <c r="AK955" s="1"/>
      <c r="AL955" s="1"/>
      <c r="AM955" s="1"/>
      <c r="AN955" s="1"/>
      <c r="AO955" s="1"/>
      <c r="AP955" s="2"/>
      <c r="AQ955" s="2"/>
      <c r="AR955" s="1"/>
      <c r="AS955" s="1"/>
      <c r="AT955" s="1"/>
      <c r="AU955" s="1"/>
      <c r="AV955" s="1"/>
      <c r="AW955" s="1"/>
      <c r="AX955" s="2"/>
      <c r="AY955" s="549"/>
    </row>
    <row r="956" spans="3:51" ht="15.75" customHeight="1" x14ac:dyDescent="0.25">
      <c r="C956" s="1"/>
      <c r="G956" s="1"/>
      <c r="H956" s="1"/>
      <c r="I956" s="1"/>
      <c r="J956" s="557"/>
      <c r="K956" s="549"/>
      <c r="L956" s="557"/>
      <c r="M956" s="557"/>
      <c r="N956" s="557"/>
      <c r="O956" s="557"/>
      <c r="P956" s="557"/>
      <c r="Q956" s="557"/>
      <c r="R956" s="557"/>
      <c r="S956" s="549"/>
      <c r="T956" s="1"/>
      <c r="U956" s="1"/>
      <c r="V956" s="1"/>
      <c r="W956" s="557"/>
      <c r="X956" s="549"/>
      <c r="Y956" s="549"/>
      <c r="Z956" s="549"/>
      <c r="AA956" s="549"/>
      <c r="AB956" s="549"/>
      <c r="AC956" s="549"/>
      <c r="AD956" s="549"/>
      <c r="AE956" s="549"/>
      <c r="AF956" s="549"/>
      <c r="AG956" s="1"/>
      <c r="AH956" s="1"/>
      <c r="AI956" s="1"/>
      <c r="AJ956" s="1"/>
      <c r="AK956" s="1"/>
      <c r="AL956" s="1"/>
      <c r="AM956" s="1"/>
      <c r="AN956" s="1"/>
      <c r="AO956" s="1"/>
      <c r="AP956" s="2"/>
      <c r="AQ956" s="2"/>
      <c r="AR956" s="1"/>
      <c r="AS956" s="1"/>
      <c r="AT956" s="1"/>
      <c r="AU956" s="1"/>
      <c r="AV956" s="1"/>
      <c r="AW956" s="1"/>
      <c r="AX956" s="2"/>
      <c r="AY956" s="549"/>
    </row>
    <row r="957" spans="3:51" ht="15.75" customHeight="1" x14ac:dyDescent="0.25">
      <c r="C957" s="1"/>
      <c r="G957" s="1"/>
      <c r="H957" s="1"/>
      <c r="I957" s="1"/>
      <c r="J957" s="557"/>
      <c r="K957" s="549"/>
      <c r="L957" s="557"/>
      <c r="M957" s="557"/>
      <c r="N957" s="557"/>
      <c r="O957" s="557"/>
      <c r="P957" s="557"/>
      <c r="Q957" s="557"/>
      <c r="R957" s="557"/>
      <c r="S957" s="549"/>
      <c r="T957" s="1"/>
      <c r="U957" s="1"/>
      <c r="V957" s="1"/>
      <c r="W957" s="557"/>
      <c r="X957" s="549"/>
      <c r="Y957" s="549"/>
      <c r="Z957" s="549"/>
      <c r="AA957" s="549"/>
      <c r="AB957" s="549"/>
      <c r="AC957" s="549"/>
      <c r="AD957" s="549"/>
      <c r="AE957" s="549"/>
      <c r="AF957" s="549"/>
      <c r="AG957" s="1"/>
      <c r="AH957" s="1"/>
      <c r="AI957" s="1"/>
      <c r="AJ957" s="1"/>
      <c r="AK957" s="1"/>
      <c r="AL957" s="1"/>
      <c r="AM957" s="1"/>
      <c r="AN957" s="1"/>
      <c r="AO957" s="1"/>
      <c r="AP957" s="2"/>
      <c r="AQ957" s="2"/>
      <c r="AR957" s="1"/>
      <c r="AS957" s="1"/>
      <c r="AT957" s="1"/>
      <c r="AU957" s="1"/>
      <c r="AV957" s="1"/>
      <c r="AW957" s="1"/>
      <c r="AX957" s="2"/>
      <c r="AY957" s="549"/>
    </row>
    <row r="958" spans="3:51" ht="15.75" customHeight="1" x14ac:dyDescent="0.25">
      <c r="C958" s="1"/>
      <c r="G958" s="1"/>
      <c r="H958" s="1"/>
      <c r="I958" s="1"/>
      <c r="J958" s="557"/>
      <c r="K958" s="549"/>
      <c r="L958" s="557"/>
      <c r="M958" s="557"/>
      <c r="N958" s="557"/>
      <c r="O958" s="557"/>
      <c r="P958" s="557"/>
      <c r="Q958" s="557"/>
      <c r="R958" s="557"/>
      <c r="S958" s="549"/>
      <c r="T958" s="1"/>
      <c r="U958" s="1"/>
      <c r="V958" s="1"/>
      <c r="W958" s="557"/>
      <c r="X958" s="549"/>
      <c r="Y958" s="549"/>
      <c r="Z958" s="549"/>
      <c r="AA958" s="549"/>
      <c r="AB958" s="549"/>
      <c r="AC958" s="549"/>
      <c r="AD958" s="549"/>
      <c r="AE958" s="549"/>
      <c r="AF958" s="549"/>
      <c r="AG958" s="1"/>
      <c r="AH958" s="1"/>
      <c r="AI958" s="1"/>
      <c r="AJ958" s="1"/>
      <c r="AK958" s="1"/>
      <c r="AL958" s="1"/>
      <c r="AM958" s="1"/>
      <c r="AN958" s="1"/>
      <c r="AO958" s="1"/>
      <c r="AP958" s="2"/>
      <c r="AQ958" s="2"/>
      <c r="AR958" s="1"/>
      <c r="AS958" s="1"/>
      <c r="AT958" s="1"/>
      <c r="AU958" s="1"/>
      <c r="AV958" s="1"/>
      <c r="AW958" s="1"/>
      <c r="AX958" s="2"/>
      <c r="AY958" s="549"/>
    </row>
    <row r="959" spans="3:51" ht="15.75" customHeight="1" x14ac:dyDescent="0.25">
      <c r="C959" s="1"/>
      <c r="G959" s="1"/>
      <c r="H959" s="1"/>
      <c r="I959" s="1"/>
      <c r="J959" s="557"/>
      <c r="K959" s="549"/>
      <c r="L959" s="557"/>
      <c r="M959" s="557"/>
      <c r="N959" s="557"/>
      <c r="O959" s="557"/>
      <c r="P959" s="557"/>
      <c r="Q959" s="557"/>
      <c r="R959" s="557"/>
      <c r="S959" s="549"/>
      <c r="T959" s="1"/>
      <c r="U959" s="1"/>
      <c r="V959" s="1"/>
      <c r="W959" s="557"/>
      <c r="X959" s="549"/>
      <c r="Y959" s="549"/>
      <c r="Z959" s="549"/>
      <c r="AA959" s="549"/>
      <c r="AB959" s="549"/>
      <c r="AC959" s="549"/>
      <c r="AD959" s="549"/>
      <c r="AE959" s="549"/>
      <c r="AF959" s="549"/>
      <c r="AG959" s="1"/>
      <c r="AH959" s="1"/>
      <c r="AI959" s="1"/>
      <c r="AJ959" s="1"/>
      <c r="AK959" s="1"/>
      <c r="AL959" s="1"/>
      <c r="AM959" s="1"/>
      <c r="AN959" s="1"/>
      <c r="AO959" s="1"/>
      <c r="AP959" s="2"/>
      <c r="AQ959" s="2"/>
      <c r="AR959" s="1"/>
      <c r="AS959" s="1"/>
      <c r="AT959" s="1"/>
      <c r="AU959" s="1"/>
      <c r="AV959" s="1"/>
      <c r="AW959" s="1"/>
      <c r="AX959" s="2"/>
      <c r="AY959" s="549"/>
    </row>
    <row r="960" spans="3:51" ht="15.75" customHeight="1" x14ac:dyDescent="0.25">
      <c r="C960" s="1"/>
      <c r="G960" s="1"/>
      <c r="H960" s="1"/>
      <c r="I960" s="1"/>
      <c r="J960" s="557"/>
      <c r="K960" s="549"/>
      <c r="L960" s="557"/>
      <c r="M960" s="557"/>
      <c r="N960" s="557"/>
      <c r="O960" s="557"/>
      <c r="P960" s="557"/>
      <c r="Q960" s="557"/>
      <c r="R960" s="557"/>
      <c r="S960" s="549"/>
      <c r="T960" s="1"/>
      <c r="U960" s="1"/>
      <c r="V960" s="1"/>
      <c r="W960" s="557"/>
      <c r="X960" s="549"/>
      <c r="Y960" s="549"/>
      <c r="Z960" s="549"/>
      <c r="AA960" s="549"/>
      <c r="AB960" s="549"/>
      <c r="AC960" s="549"/>
      <c r="AD960" s="549"/>
      <c r="AE960" s="549"/>
      <c r="AF960" s="549"/>
      <c r="AG960" s="1"/>
      <c r="AH960" s="1"/>
      <c r="AI960" s="1"/>
      <c r="AJ960" s="1"/>
      <c r="AK960" s="1"/>
      <c r="AL960" s="1"/>
      <c r="AM960" s="1"/>
      <c r="AN960" s="1"/>
      <c r="AO960" s="1"/>
      <c r="AP960" s="2"/>
      <c r="AQ960" s="2"/>
      <c r="AR960" s="1"/>
      <c r="AS960" s="1"/>
      <c r="AT960" s="1"/>
      <c r="AU960" s="1"/>
      <c r="AV960" s="1"/>
      <c r="AW960" s="1"/>
      <c r="AX960" s="2"/>
      <c r="AY960" s="549"/>
    </row>
    <row r="961" spans="3:51" ht="15.75" customHeight="1" x14ac:dyDescent="0.25">
      <c r="C961" s="1"/>
      <c r="G961" s="1"/>
      <c r="H961" s="1"/>
      <c r="I961" s="1"/>
      <c r="J961" s="557"/>
      <c r="K961" s="549"/>
      <c r="L961" s="557"/>
      <c r="M961" s="557"/>
      <c r="N961" s="557"/>
      <c r="O961" s="557"/>
      <c r="P961" s="557"/>
      <c r="Q961" s="557"/>
      <c r="R961" s="557"/>
      <c r="S961" s="549"/>
      <c r="T961" s="1"/>
      <c r="U961" s="1"/>
      <c r="V961" s="1"/>
      <c r="W961" s="557"/>
      <c r="X961" s="549"/>
      <c r="Y961" s="549"/>
      <c r="Z961" s="549"/>
      <c r="AA961" s="549"/>
      <c r="AB961" s="549"/>
      <c r="AC961" s="549"/>
      <c r="AD961" s="549"/>
      <c r="AE961" s="549"/>
      <c r="AF961" s="549"/>
      <c r="AG961" s="1"/>
      <c r="AH961" s="1"/>
      <c r="AI961" s="1"/>
      <c r="AJ961" s="1"/>
      <c r="AK961" s="1"/>
      <c r="AL961" s="1"/>
      <c r="AM961" s="1"/>
      <c r="AN961" s="1"/>
      <c r="AO961" s="1"/>
      <c r="AP961" s="2"/>
      <c r="AQ961" s="2"/>
      <c r="AR961" s="1"/>
      <c r="AS961" s="1"/>
      <c r="AT961" s="1"/>
      <c r="AU961" s="1"/>
      <c r="AV961" s="1"/>
      <c r="AW961" s="1"/>
      <c r="AX961" s="2"/>
      <c r="AY961" s="549"/>
    </row>
    <row r="962" spans="3:51" ht="15.75" customHeight="1" x14ac:dyDescent="0.25">
      <c r="C962" s="1"/>
      <c r="G962" s="1"/>
      <c r="H962" s="1"/>
      <c r="I962" s="1"/>
      <c r="J962" s="557"/>
      <c r="K962" s="549"/>
      <c r="L962" s="557"/>
      <c r="M962" s="557"/>
      <c r="N962" s="557"/>
      <c r="O962" s="557"/>
      <c r="P962" s="557"/>
      <c r="Q962" s="557"/>
      <c r="R962" s="557"/>
      <c r="S962" s="549"/>
      <c r="T962" s="1"/>
      <c r="U962" s="1"/>
      <c r="V962" s="1"/>
      <c r="W962" s="557"/>
      <c r="X962" s="549"/>
      <c r="Y962" s="549"/>
      <c r="Z962" s="549"/>
      <c r="AA962" s="549"/>
      <c r="AB962" s="549"/>
      <c r="AC962" s="549"/>
      <c r="AD962" s="549"/>
      <c r="AE962" s="549"/>
      <c r="AF962" s="549"/>
      <c r="AG962" s="1"/>
      <c r="AH962" s="1"/>
      <c r="AI962" s="1"/>
      <c r="AJ962" s="1"/>
      <c r="AK962" s="1"/>
      <c r="AL962" s="1"/>
      <c r="AM962" s="1"/>
      <c r="AN962" s="1"/>
      <c r="AO962" s="1"/>
      <c r="AP962" s="2"/>
      <c r="AQ962" s="2"/>
      <c r="AR962" s="1"/>
      <c r="AS962" s="1"/>
      <c r="AT962" s="1"/>
      <c r="AU962" s="1"/>
      <c r="AV962" s="1"/>
      <c r="AW962" s="1"/>
      <c r="AX962" s="2"/>
      <c r="AY962" s="549"/>
    </row>
    <row r="963" spans="3:51" ht="15.75" customHeight="1" x14ac:dyDescent="0.25">
      <c r="C963" s="1"/>
      <c r="G963" s="1"/>
      <c r="H963" s="1"/>
      <c r="I963" s="1"/>
      <c r="J963" s="557"/>
      <c r="K963" s="549"/>
      <c r="L963" s="557"/>
      <c r="M963" s="557"/>
      <c r="N963" s="557"/>
      <c r="O963" s="557"/>
      <c r="P963" s="557"/>
      <c r="Q963" s="557"/>
      <c r="R963" s="557"/>
      <c r="S963" s="549"/>
      <c r="T963" s="1"/>
      <c r="U963" s="1"/>
      <c r="V963" s="1"/>
      <c r="W963" s="557"/>
      <c r="X963" s="549"/>
      <c r="Y963" s="549"/>
      <c r="Z963" s="549"/>
      <c r="AA963" s="549"/>
      <c r="AB963" s="549"/>
      <c r="AC963" s="549"/>
      <c r="AD963" s="549"/>
      <c r="AE963" s="549"/>
      <c r="AF963" s="549"/>
      <c r="AG963" s="1"/>
      <c r="AH963" s="1"/>
      <c r="AI963" s="1"/>
      <c r="AJ963" s="1"/>
      <c r="AK963" s="1"/>
      <c r="AL963" s="1"/>
      <c r="AM963" s="1"/>
      <c r="AN963" s="1"/>
      <c r="AO963" s="1"/>
      <c r="AP963" s="2"/>
      <c r="AQ963" s="2"/>
      <c r="AR963" s="1"/>
      <c r="AS963" s="1"/>
      <c r="AT963" s="1"/>
      <c r="AU963" s="1"/>
      <c r="AV963" s="1"/>
      <c r="AW963" s="1"/>
      <c r="AX963" s="2"/>
      <c r="AY963" s="549"/>
    </row>
    <row r="964" spans="3:51" ht="15.75" customHeight="1" x14ac:dyDescent="0.25">
      <c r="C964" s="1"/>
      <c r="G964" s="1"/>
      <c r="H964" s="1"/>
      <c r="I964" s="1"/>
      <c r="J964" s="557"/>
      <c r="K964" s="549"/>
      <c r="L964" s="557"/>
      <c r="M964" s="557"/>
      <c r="N964" s="557"/>
      <c r="O964" s="557"/>
      <c r="P964" s="557"/>
      <c r="Q964" s="557"/>
      <c r="R964" s="557"/>
      <c r="S964" s="549"/>
      <c r="T964" s="1"/>
      <c r="U964" s="1"/>
      <c r="V964" s="1"/>
      <c r="W964" s="557"/>
      <c r="X964" s="549"/>
      <c r="Y964" s="549"/>
      <c r="Z964" s="549"/>
      <c r="AA964" s="549"/>
      <c r="AB964" s="549"/>
      <c r="AC964" s="549"/>
      <c r="AD964" s="549"/>
      <c r="AE964" s="549"/>
      <c r="AF964" s="549"/>
      <c r="AG964" s="1"/>
      <c r="AH964" s="1"/>
      <c r="AI964" s="1"/>
      <c r="AJ964" s="1"/>
      <c r="AK964" s="1"/>
      <c r="AL964" s="1"/>
      <c r="AM964" s="1"/>
      <c r="AN964" s="1"/>
      <c r="AO964" s="1"/>
      <c r="AP964" s="2"/>
      <c r="AQ964" s="2"/>
      <c r="AR964" s="1"/>
      <c r="AS964" s="1"/>
      <c r="AT964" s="1"/>
      <c r="AU964" s="1"/>
      <c r="AV964" s="1"/>
      <c r="AW964" s="1"/>
      <c r="AX964" s="2"/>
      <c r="AY964" s="549"/>
    </row>
    <row r="965" spans="3:51" ht="15.75" customHeight="1" x14ac:dyDescent="0.25">
      <c r="C965" s="1"/>
      <c r="G965" s="1"/>
      <c r="H965" s="1"/>
      <c r="I965" s="1"/>
      <c r="J965" s="557"/>
      <c r="K965" s="549"/>
      <c r="L965" s="557"/>
      <c r="M965" s="557"/>
      <c r="N965" s="557"/>
      <c r="O965" s="557"/>
      <c r="P965" s="557"/>
      <c r="Q965" s="557"/>
      <c r="R965" s="557"/>
      <c r="S965" s="549"/>
      <c r="T965" s="1"/>
      <c r="U965" s="1"/>
      <c r="V965" s="1"/>
      <c r="W965" s="557"/>
      <c r="X965" s="549"/>
      <c r="Y965" s="549"/>
      <c r="Z965" s="549"/>
      <c r="AA965" s="549"/>
      <c r="AB965" s="549"/>
      <c r="AC965" s="549"/>
      <c r="AD965" s="549"/>
      <c r="AE965" s="549"/>
      <c r="AF965" s="549"/>
      <c r="AG965" s="1"/>
      <c r="AH965" s="1"/>
      <c r="AI965" s="1"/>
      <c r="AJ965" s="1"/>
      <c r="AK965" s="1"/>
      <c r="AL965" s="1"/>
      <c r="AM965" s="1"/>
      <c r="AN965" s="1"/>
      <c r="AO965" s="1"/>
      <c r="AP965" s="2"/>
      <c r="AQ965" s="2"/>
      <c r="AR965" s="1"/>
      <c r="AS965" s="1"/>
      <c r="AT965" s="1"/>
      <c r="AU965" s="1"/>
      <c r="AV965" s="1"/>
      <c r="AW965" s="1"/>
      <c r="AX965" s="2"/>
      <c r="AY965" s="549"/>
    </row>
    <row r="966" spans="3:51" ht="15.75" customHeight="1" x14ac:dyDescent="0.25">
      <c r="C966" s="1"/>
      <c r="G966" s="1"/>
      <c r="H966" s="1"/>
      <c r="I966" s="1"/>
      <c r="J966" s="557"/>
      <c r="K966" s="549"/>
      <c r="L966" s="557"/>
      <c r="M966" s="557"/>
      <c r="N966" s="557"/>
      <c r="O966" s="557"/>
      <c r="P966" s="557"/>
      <c r="Q966" s="557"/>
      <c r="R966" s="557"/>
      <c r="S966" s="549"/>
      <c r="T966" s="1"/>
      <c r="U966" s="1"/>
      <c r="V966" s="1"/>
      <c r="W966" s="557"/>
      <c r="X966" s="549"/>
      <c r="Y966" s="549"/>
      <c r="Z966" s="549"/>
      <c r="AA966" s="549"/>
      <c r="AB966" s="549"/>
      <c r="AC966" s="549"/>
      <c r="AD966" s="549"/>
      <c r="AE966" s="549"/>
      <c r="AF966" s="549"/>
      <c r="AG966" s="1"/>
      <c r="AH966" s="1"/>
      <c r="AI966" s="1"/>
      <c r="AJ966" s="1"/>
      <c r="AK966" s="1"/>
      <c r="AL966" s="1"/>
      <c r="AM966" s="1"/>
      <c r="AN966" s="1"/>
      <c r="AO966" s="1"/>
      <c r="AP966" s="2"/>
      <c r="AQ966" s="2"/>
      <c r="AR966" s="1"/>
      <c r="AS966" s="1"/>
      <c r="AT966" s="1"/>
      <c r="AU966" s="1"/>
      <c r="AV966" s="1"/>
      <c r="AW966" s="1"/>
      <c r="AX966" s="2"/>
      <c r="AY966" s="549"/>
    </row>
    <row r="967" spans="3:51" ht="15.75" customHeight="1" x14ac:dyDescent="0.25">
      <c r="C967" s="1"/>
      <c r="G967" s="1"/>
      <c r="H967" s="1"/>
      <c r="I967" s="1"/>
      <c r="J967" s="557"/>
      <c r="K967" s="549"/>
      <c r="L967" s="557"/>
      <c r="M967" s="557"/>
      <c r="N967" s="557"/>
      <c r="O967" s="557"/>
      <c r="P967" s="557"/>
      <c r="Q967" s="557"/>
      <c r="R967" s="557"/>
      <c r="S967" s="549"/>
      <c r="T967" s="1"/>
      <c r="U967" s="1"/>
      <c r="V967" s="1"/>
      <c r="W967" s="557"/>
      <c r="X967" s="549"/>
      <c r="Y967" s="549"/>
      <c r="Z967" s="549"/>
      <c r="AA967" s="549"/>
      <c r="AB967" s="549"/>
      <c r="AC967" s="549"/>
      <c r="AD967" s="549"/>
      <c r="AE967" s="549"/>
      <c r="AF967" s="549"/>
      <c r="AG967" s="1"/>
      <c r="AH967" s="1"/>
      <c r="AI967" s="1"/>
      <c r="AJ967" s="1"/>
      <c r="AK967" s="1"/>
      <c r="AL967" s="1"/>
      <c r="AM967" s="1"/>
      <c r="AN967" s="1"/>
      <c r="AO967" s="1"/>
      <c r="AP967" s="2"/>
      <c r="AQ967" s="2"/>
      <c r="AR967" s="1"/>
      <c r="AS967" s="1"/>
      <c r="AT967" s="1"/>
      <c r="AU967" s="1"/>
      <c r="AV967" s="1"/>
      <c r="AW967" s="1"/>
      <c r="AX967" s="2"/>
      <c r="AY967" s="549"/>
    </row>
    <row r="968" spans="3:51" ht="15.75" customHeight="1" x14ac:dyDescent="0.25">
      <c r="C968" s="1"/>
      <c r="G968" s="1"/>
      <c r="H968" s="1"/>
      <c r="I968" s="1"/>
      <c r="J968" s="557"/>
      <c r="K968" s="549"/>
      <c r="L968" s="557"/>
      <c r="M968" s="557"/>
      <c r="N968" s="557"/>
      <c r="O968" s="557"/>
      <c r="P968" s="557"/>
      <c r="Q968" s="557"/>
      <c r="R968" s="557"/>
      <c r="S968" s="549"/>
      <c r="T968" s="1"/>
      <c r="U968" s="1"/>
      <c r="V968" s="1"/>
      <c r="W968" s="557"/>
      <c r="X968" s="549"/>
      <c r="Y968" s="549"/>
      <c r="Z968" s="549"/>
      <c r="AA968" s="549"/>
      <c r="AB968" s="549"/>
      <c r="AC968" s="549"/>
      <c r="AD968" s="549"/>
      <c r="AE968" s="549"/>
      <c r="AF968" s="549"/>
      <c r="AG968" s="1"/>
      <c r="AH968" s="1"/>
      <c r="AI968" s="1"/>
      <c r="AJ968" s="1"/>
      <c r="AK968" s="1"/>
      <c r="AL968" s="1"/>
      <c r="AM968" s="1"/>
      <c r="AN968" s="1"/>
      <c r="AO968" s="1"/>
      <c r="AP968" s="2"/>
      <c r="AQ968" s="2"/>
      <c r="AR968" s="1"/>
      <c r="AS968" s="1"/>
      <c r="AT968" s="1"/>
      <c r="AU968" s="1"/>
      <c r="AV968" s="1"/>
      <c r="AW968" s="1"/>
      <c r="AX968" s="2"/>
      <c r="AY968" s="549"/>
    </row>
    <row r="969" spans="3:51" ht="15.75" customHeight="1" x14ac:dyDescent="0.25">
      <c r="C969" s="1"/>
      <c r="G969" s="1"/>
      <c r="H969" s="1"/>
      <c r="I969" s="1"/>
      <c r="J969" s="557"/>
      <c r="K969" s="549"/>
      <c r="L969" s="557"/>
      <c r="M969" s="557"/>
      <c r="N969" s="557"/>
      <c r="O969" s="557"/>
      <c r="P969" s="557"/>
      <c r="Q969" s="557"/>
      <c r="R969" s="557"/>
      <c r="S969" s="549"/>
      <c r="T969" s="1"/>
      <c r="U969" s="1"/>
      <c r="V969" s="1"/>
      <c r="W969" s="557"/>
      <c r="X969" s="549"/>
      <c r="Y969" s="549"/>
      <c r="Z969" s="549"/>
      <c r="AA969" s="549"/>
      <c r="AB969" s="549"/>
      <c r="AC969" s="549"/>
      <c r="AD969" s="549"/>
      <c r="AE969" s="549"/>
      <c r="AF969" s="549"/>
      <c r="AG969" s="1"/>
      <c r="AH969" s="1"/>
      <c r="AI969" s="1"/>
      <c r="AJ969" s="1"/>
      <c r="AK969" s="1"/>
      <c r="AL969" s="1"/>
      <c r="AM969" s="1"/>
      <c r="AN969" s="1"/>
      <c r="AO969" s="1"/>
      <c r="AP969" s="2"/>
      <c r="AQ969" s="2"/>
      <c r="AR969" s="1"/>
      <c r="AS969" s="1"/>
      <c r="AT969" s="1"/>
      <c r="AU969" s="1"/>
      <c r="AV969" s="1"/>
      <c r="AW969" s="1"/>
      <c r="AX969" s="2"/>
      <c r="AY969" s="549"/>
    </row>
    <row r="970" spans="3:51" ht="15.75" customHeight="1" x14ac:dyDescent="0.25">
      <c r="C970" s="1"/>
      <c r="G970" s="1"/>
      <c r="H970" s="1"/>
      <c r="I970" s="1"/>
      <c r="J970" s="557"/>
      <c r="K970" s="549"/>
      <c r="L970" s="557"/>
      <c r="M970" s="557"/>
      <c r="N970" s="557"/>
      <c r="O970" s="557"/>
      <c r="P970" s="557"/>
      <c r="Q970" s="557"/>
      <c r="R970" s="557"/>
      <c r="S970" s="549"/>
      <c r="T970" s="1"/>
      <c r="U970" s="1"/>
      <c r="V970" s="1"/>
      <c r="W970" s="557"/>
      <c r="X970" s="549"/>
      <c r="Y970" s="549"/>
      <c r="Z970" s="549"/>
      <c r="AA970" s="549"/>
      <c r="AB970" s="549"/>
      <c r="AC970" s="549"/>
      <c r="AD970" s="549"/>
      <c r="AE970" s="549"/>
      <c r="AF970" s="549"/>
      <c r="AG970" s="1"/>
      <c r="AH970" s="1"/>
      <c r="AI970" s="1"/>
      <c r="AJ970" s="1"/>
      <c r="AK970" s="1"/>
      <c r="AL970" s="1"/>
      <c r="AM970" s="1"/>
      <c r="AN970" s="1"/>
      <c r="AO970" s="1"/>
      <c r="AP970" s="2"/>
      <c r="AQ970" s="2"/>
      <c r="AR970" s="1"/>
      <c r="AS970" s="1"/>
      <c r="AT970" s="1"/>
      <c r="AU970" s="1"/>
      <c r="AV970" s="1"/>
      <c r="AW970" s="1"/>
      <c r="AX970" s="2"/>
      <c r="AY970" s="549"/>
    </row>
    <row r="971" spans="3:51" ht="15.75" customHeight="1" x14ac:dyDescent="0.25">
      <c r="C971" s="1"/>
      <c r="G971" s="1"/>
      <c r="H971" s="1"/>
      <c r="I971" s="1"/>
      <c r="J971" s="557"/>
      <c r="K971" s="549"/>
      <c r="L971" s="557"/>
      <c r="M971" s="557"/>
      <c r="N971" s="557"/>
      <c r="O971" s="557"/>
      <c r="P971" s="557"/>
      <c r="Q971" s="557"/>
      <c r="R971" s="557"/>
      <c r="S971" s="549"/>
      <c r="T971" s="1"/>
      <c r="U971" s="1"/>
      <c r="V971" s="1"/>
      <c r="W971" s="557"/>
      <c r="X971" s="549"/>
      <c r="Y971" s="549"/>
      <c r="Z971" s="549"/>
      <c r="AA971" s="549"/>
      <c r="AB971" s="549"/>
      <c r="AC971" s="549"/>
      <c r="AD971" s="549"/>
      <c r="AE971" s="549"/>
      <c r="AF971" s="549"/>
      <c r="AG971" s="1"/>
      <c r="AH971" s="1"/>
      <c r="AI971" s="1"/>
      <c r="AJ971" s="1"/>
      <c r="AK971" s="1"/>
      <c r="AL971" s="1"/>
      <c r="AM971" s="1"/>
      <c r="AN971" s="1"/>
      <c r="AO971" s="1"/>
      <c r="AP971" s="2"/>
      <c r="AQ971" s="2"/>
      <c r="AR971" s="1"/>
      <c r="AS971" s="1"/>
      <c r="AT971" s="1"/>
      <c r="AU971" s="1"/>
      <c r="AV971" s="1"/>
      <c r="AW971" s="1"/>
      <c r="AX971" s="2"/>
      <c r="AY971" s="549"/>
    </row>
    <row r="972" spans="3:51" ht="15.75" customHeight="1" x14ac:dyDescent="0.25">
      <c r="C972" s="1"/>
      <c r="G972" s="1"/>
      <c r="H972" s="1"/>
      <c r="I972" s="1"/>
      <c r="J972" s="557"/>
      <c r="K972" s="549"/>
      <c r="L972" s="557"/>
      <c r="M972" s="557"/>
      <c r="N972" s="557"/>
      <c r="O972" s="557"/>
      <c r="P972" s="557"/>
      <c r="Q972" s="557"/>
      <c r="R972" s="557"/>
      <c r="S972" s="549"/>
      <c r="T972" s="1"/>
      <c r="U972" s="1"/>
      <c r="V972" s="1"/>
      <c r="W972" s="557"/>
      <c r="X972" s="549"/>
      <c r="Y972" s="549"/>
      <c r="Z972" s="549"/>
      <c r="AA972" s="549"/>
      <c r="AB972" s="549"/>
      <c r="AC972" s="549"/>
      <c r="AD972" s="549"/>
      <c r="AE972" s="549"/>
      <c r="AF972" s="549"/>
      <c r="AG972" s="1"/>
      <c r="AH972" s="1"/>
      <c r="AI972" s="1"/>
      <c r="AJ972" s="1"/>
      <c r="AK972" s="1"/>
      <c r="AL972" s="1"/>
      <c r="AM972" s="1"/>
      <c r="AN972" s="1"/>
      <c r="AO972" s="1"/>
      <c r="AP972" s="2"/>
      <c r="AQ972" s="2"/>
      <c r="AR972" s="1"/>
      <c r="AS972" s="1"/>
      <c r="AT972" s="1"/>
      <c r="AU972" s="1"/>
      <c r="AV972" s="1"/>
      <c r="AW972" s="1"/>
      <c r="AX972" s="2"/>
      <c r="AY972" s="549"/>
    </row>
    <row r="973" spans="3:51" ht="15.75" customHeight="1" x14ac:dyDescent="0.25">
      <c r="C973" s="1"/>
      <c r="G973" s="1"/>
      <c r="H973" s="1"/>
      <c r="I973" s="1"/>
      <c r="J973" s="557"/>
      <c r="K973" s="549"/>
      <c r="L973" s="557"/>
      <c r="M973" s="557"/>
      <c r="N973" s="557"/>
      <c r="O973" s="557"/>
      <c r="P973" s="557"/>
      <c r="Q973" s="557"/>
      <c r="R973" s="557"/>
      <c r="S973" s="549"/>
      <c r="T973" s="1"/>
      <c r="U973" s="1"/>
      <c r="V973" s="1"/>
      <c r="W973" s="557"/>
      <c r="X973" s="549"/>
      <c r="Y973" s="549"/>
      <c r="Z973" s="549"/>
      <c r="AA973" s="549"/>
      <c r="AB973" s="549"/>
      <c r="AC973" s="549"/>
      <c r="AD973" s="549"/>
      <c r="AE973" s="549"/>
      <c r="AF973" s="549"/>
      <c r="AG973" s="1"/>
      <c r="AH973" s="1"/>
      <c r="AI973" s="1"/>
      <c r="AJ973" s="1"/>
      <c r="AK973" s="1"/>
      <c r="AL973" s="1"/>
      <c r="AM973" s="1"/>
      <c r="AN973" s="1"/>
      <c r="AO973" s="1"/>
      <c r="AP973" s="2"/>
      <c r="AQ973" s="2"/>
      <c r="AR973" s="1"/>
      <c r="AS973" s="1"/>
      <c r="AT973" s="1"/>
      <c r="AU973" s="1"/>
      <c r="AV973" s="1"/>
      <c r="AW973" s="1"/>
      <c r="AX973" s="2"/>
      <c r="AY973" s="549"/>
    </row>
    <row r="974" spans="3:51" ht="15.75" customHeight="1" x14ac:dyDescent="0.25">
      <c r="C974" s="1"/>
      <c r="G974" s="1"/>
      <c r="H974" s="1"/>
      <c r="I974" s="1"/>
      <c r="J974" s="557"/>
      <c r="K974" s="549"/>
      <c r="L974" s="557"/>
      <c r="M974" s="557"/>
      <c r="N974" s="557"/>
      <c r="O974" s="557"/>
      <c r="P974" s="557"/>
      <c r="Q974" s="557"/>
      <c r="R974" s="557"/>
      <c r="S974" s="549"/>
      <c r="T974" s="1"/>
      <c r="U974" s="1"/>
      <c r="V974" s="1"/>
      <c r="W974" s="557"/>
      <c r="X974" s="549"/>
      <c r="Y974" s="549"/>
      <c r="Z974" s="549"/>
      <c r="AA974" s="549"/>
      <c r="AB974" s="549"/>
      <c r="AC974" s="549"/>
      <c r="AD974" s="549"/>
      <c r="AE974" s="549"/>
      <c r="AF974" s="549"/>
      <c r="AG974" s="1"/>
      <c r="AH974" s="1"/>
      <c r="AI974" s="1"/>
      <c r="AJ974" s="1"/>
      <c r="AK974" s="1"/>
      <c r="AL974" s="1"/>
      <c r="AM974" s="1"/>
      <c r="AN974" s="1"/>
      <c r="AO974" s="1"/>
      <c r="AP974" s="2"/>
      <c r="AQ974" s="2"/>
      <c r="AR974" s="1"/>
      <c r="AS974" s="1"/>
      <c r="AT974" s="1"/>
      <c r="AU974" s="1"/>
      <c r="AV974" s="1"/>
      <c r="AW974" s="1"/>
      <c r="AX974" s="2"/>
      <c r="AY974" s="549"/>
    </row>
    <row r="975" spans="3:51" ht="15.75" customHeight="1" x14ac:dyDescent="0.25">
      <c r="C975" s="1"/>
      <c r="G975" s="1"/>
      <c r="H975" s="1"/>
      <c r="I975" s="1"/>
      <c r="J975" s="557"/>
      <c r="K975" s="549"/>
      <c r="L975" s="557"/>
      <c r="M975" s="557"/>
      <c r="N975" s="557"/>
      <c r="O975" s="557"/>
      <c r="P975" s="557"/>
      <c r="Q975" s="557"/>
      <c r="R975" s="557"/>
      <c r="S975" s="549"/>
      <c r="T975" s="1"/>
      <c r="U975" s="1"/>
      <c r="V975" s="1"/>
      <c r="W975" s="557"/>
      <c r="X975" s="549"/>
      <c r="Y975" s="549"/>
      <c r="Z975" s="549"/>
      <c r="AA975" s="549"/>
      <c r="AB975" s="549"/>
      <c r="AC975" s="549"/>
      <c r="AD975" s="549"/>
      <c r="AE975" s="549"/>
      <c r="AF975" s="549"/>
      <c r="AG975" s="1"/>
      <c r="AH975" s="1"/>
      <c r="AI975" s="1"/>
      <c r="AJ975" s="1"/>
      <c r="AK975" s="1"/>
      <c r="AL975" s="1"/>
      <c r="AM975" s="1"/>
      <c r="AN975" s="1"/>
      <c r="AO975" s="1"/>
      <c r="AP975" s="2"/>
      <c r="AQ975" s="2"/>
      <c r="AR975" s="1"/>
      <c r="AS975" s="1"/>
      <c r="AT975" s="1"/>
      <c r="AU975" s="1"/>
      <c r="AV975" s="1"/>
      <c r="AW975" s="1"/>
      <c r="AX975" s="2"/>
      <c r="AY975" s="549"/>
    </row>
    <row r="976" spans="3:51" ht="15.75" customHeight="1" x14ac:dyDescent="0.25">
      <c r="C976" s="1"/>
      <c r="G976" s="1"/>
      <c r="H976" s="1"/>
      <c r="I976" s="1"/>
      <c r="J976" s="557"/>
      <c r="K976" s="549"/>
      <c r="L976" s="557"/>
      <c r="M976" s="557"/>
      <c r="N976" s="557"/>
      <c r="O976" s="557"/>
      <c r="P976" s="557"/>
      <c r="Q976" s="557"/>
      <c r="R976" s="557"/>
      <c r="S976" s="549"/>
      <c r="T976" s="1"/>
      <c r="U976" s="1"/>
      <c r="V976" s="1"/>
      <c r="W976" s="557"/>
      <c r="X976" s="549"/>
      <c r="Y976" s="549"/>
      <c r="Z976" s="549"/>
      <c r="AA976" s="549"/>
      <c r="AB976" s="549"/>
      <c r="AC976" s="549"/>
      <c r="AD976" s="549"/>
      <c r="AE976" s="549"/>
      <c r="AF976" s="549"/>
      <c r="AG976" s="1"/>
      <c r="AH976" s="1"/>
      <c r="AI976" s="1"/>
      <c r="AJ976" s="1"/>
      <c r="AK976" s="1"/>
      <c r="AL976" s="1"/>
      <c r="AM976" s="1"/>
      <c r="AN976" s="1"/>
      <c r="AO976" s="1"/>
      <c r="AP976" s="2"/>
      <c r="AQ976" s="2"/>
      <c r="AR976" s="1"/>
      <c r="AS976" s="1"/>
      <c r="AT976" s="1"/>
      <c r="AU976" s="1"/>
      <c r="AV976" s="1"/>
      <c r="AW976" s="1"/>
      <c r="AX976" s="2"/>
      <c r="AY976" s="549"/>
    </row>
    <row r="977" spans="3:51" ht="15.75" customHeight="1" x14ac:dyDescent="0.25">
      <c r="C977" s="1"/>
      <c r="G977" s="1"/>
      <c r="H977" s="1"/>
      <c r="I977" s="1"/>
      <c r="J977" s="557"/>
      <c r="K977" s="549"/>
      <c r="L977" s="557"/>
      <c r="M977" s="557"/>
      <c r="N977" s="557"/>
      <c r="O977" s="557"/>
      <c r="P977" s="557"/>
      <c r="Q977" s="557"/>
      <c r="R977" s="557"/>
      <c r="S977" s="549"/>
      <c r="T977" s="1"/>
      <c r="U977" s="1"/>
      <c r="V977" s="1"/>
      <c r="W977" s="557"/>
      <c r="X977" s="549"/>
      <c r="Y977" s="549"/>
      <c r="Z977" s="549"/>
      <c r="AA977" s="549"/>
      <c r="AB977" s="549"/>
      <c r="AC977" s="549"/>
      <c r="AD977" s="549"/>
      <c r="AE977" s="549"/>
      <c r="AF977" s="549"/>
      <c r="AG977" s="1"/>
      <c r="AH977" s="1"/>
      <c r="AI977" s="1"/>
      <c r="AJ977" s="1"/>
      <c r="AK977" s="1"/>
      <c r="AL977" s="1"/>
      <c r="AM977" s="1"/>
      <c r="AN977" s="1"/>
      <c r="AO977" s="1"/>
      <c r="AP977" s="2"/>
      <c r="AQ977" s="2"/>
      <c r="AR977" s="1"/>
      <c r="AS977" s="1"/>
      <c r="AT977" s="1"/>
      <c r="AU977" s="1"/>
      <c r="AV977" s="1"/>
      <c r="AW977" s="1"/>
      <c r="AX977" s="2"/>
      <c r="AY977" s="549"/>
    </row>
    <row r="978" spans="3:51" ht="15.75" customHeight="1" x14ac:dyDescent="0.25">
      <c r="C978" s="1"/>
      <c r="G978" s="1"/>
      <c r="H978" s="1"/>
      <c r="I978" s="1"/>
      <c r="J978" s="557"/>
      <c r="K978" s="549"/>
      <c r="L978" s="557"/>
      <c r="M978" s="557"/>
      <c r="N978" s="557"/>
      <c r="O978" s="557"/>
      <c r="P978" s="557"/>
      <c r="Q978" s="557"/>
      <c r="R978" s="557"/>
      <c r="S978" s="549"/>
      <c r="T978" s="1"/>
      <c r="U978" s="1"/>
      <c r="V978" s="1"/>
      <c r="W978" s="557"/>
      <c r="X978" s="549"/>
      <c r="Y978" s="549"/>
      <c r="Z978" s="549"/>
      <c r="AA978" s="549"/>
      <c r="AB978" s="549"/>
      <c r="AC978" s="549"/>
      <c r="AD978" s="549"/>
      <c r="AE978" s="549"/>
      <c r="AF978" s="549"/>
      <c r="AG978" s="1"/>
      <c r="AH978" s="1"/>
      <c r="AI978" s="1"/>
      <c r="AJ978" s="1"/>
      <c r="AK978" s="1"/>
      <c r="AL978" s="1"/>
      <c r="AM978" s="1"/>
      <c r="AN978" s="1"/>
      <c r="AO978" s="1"/>
      <c r="AP978" s="2"/>
      <c r="AQ978" s="2"/>
      <c r="AR978" s="1"/>
      <c r="AS978" s="1"/>
      <c r="AT978" s="1"/>
      <c r="AU978" s="1"/>
      <c r="AV978" s="1"/>
      <c r="AW978" s="1"/>
      <c r="AX978" s="2"/>
      <c r="AY978" s="549"/>
    </row>
    <row r="979" spans="3:51" ht="15.75" customHeight="1" x14ac:dyDescent="0.25">
      <c r="C979" s="1"/>
      <c r="G979" s="1"/>
      <c r="H979" s="1"/>
      <c r="I979" s="1"/>
      <c r="J979" s="557"/>
      <c r="K979" s="549"/>
      <c r="L979" s="557"/>
      <c r="M979" s="557"/>
      <c r="N979" s="557"/>
      <c r="O979" s="557"/>
      <c r="P979" s="557"/>
      <c r="Q979" s="557"/>
      <c r="R979" s="557"/>
      <c r="S979" s="549"/>
      <c r="T979" s="1"/>
      <c r="U979" s="1"/>
      <c r="V979" s="1"/>
      <c r="W979" s="557"/>
      <c r="X979" s="549"/>
      <c r="Y979" s="549"/>
      <c r="Z979" s="549"/>
      <c r="AA979" s="549"/>
      <c r="AB979" s="549"/>
      <c r="AC979" s="549"/>
      <c r="AD979" s="549"/>
      <c r="AE979" s="549"/>
      <c r="AF979" s="549"/>
      <c r="AG979" s="1"/>
      <c r="AH979" s="1"/>
      <c r="AI979" s="1"/>
      <c r="AJ979" s="1"/>
      <c r="AK979" s="1"/>
      <c r="AL979" s="1"/>
      <c r="AM979" s="1"/>
      <c r="AN979" s="1"/>
      <c r="AO979" s="1"/>
      <c r="AP979" s="2"/>
      <c r="AQ979" s="2"/>
      <c r="AR979" s="1"/>
      <c r="AS979" s="1"/>
      <c r="AT979" s="1"/>
      <c r="AU979" s="1"/>
      <c r="AV979" s="1"/>
      <c r="AW979" s="1"/>
      <c r="AX979" s="2"/>
      <c r="AY979" s="549"/>
    </row>
    <row r="980" spans="3:51" ht="15.75" customHeight="1" x14ac:dyDescent="0.25">
      <c r="C980" s="1"/>
      <c r="G980" s="1"/>
      <c r="H980" s="1"/>
      <c r="I980" s="1"/>
      <c r="J980" s="557"/>
      <c r="K980" s="549"/>
      <c r="L980" s="557"/>
      <c r="M980" s="557"/>
      <c r="N980" s="557"/>
      <c r="O980" s="557"/>
      <c r="P980" s="557"/>
      <c r="Q980" s="557"/>
      <c r="R980" s="557"/>
      <c r="S980" s="549"/>
      <c r="T980" s="1"/>
      <c r="U980" s="1"/>
      <c r="V980" s="1"/>
      <c r="W980" s="557"/>
      <c r="X980" s="549"/>
      <c r="Y980" s="549"/>
      <c r="Z980" s="549"/>
      <c r="AA980" s="549"/>
      <c r="AB980" s="549"/>
      <c r="AC980" s="549"/>
      <c r="AD980" s="549"/>
      <c r="AE980" s="549"/>
      <c r="AF980" s="549"/>
      <c r="AG980" s="1"/>
      <c r="AH980" s="1"/>
      <c r="AI980" s="1"/>
      <c r="AJ980" s="1"/>
      <c r="AK980" s="1"/>
      <c r="AL980" s="1"/>
      <c r="AM980" s="1"/>
      <c r="AN980" s="1"/>
      <c r="AO980" s="1"/>
      <c r="AP980" s="2"/>
      <c r="AQ980" s="2"/>
      <c r="AR980" s="1"/>
      <c r="AS980" s="1"/>
      <c r="AT980" s="1"/>
      <c r="AU980" s="1"/>
      <c r="AV980" s="1"/>
      <c r="AW980" s="1"/>
      <c r="AX980" s="2"/>
      <c r="AY980" s="549"/>
    </row>
    <row r="981" spans="3:51" ht="15.75" customHeight="1" x14ac:dyDescent="0.25">
      <c r="C981" s="1"/>
      <c r="G981" s="1"/>
      <c r="H981" s="1"/>
      <c r="I981" s="1"/>
      <c r="J981" s="557"/>
      <c r="K981" s="549"/>
      <c r="L981" s="557"/>
      <c r="M981" s="557"/>
      <c r="N981" s="557"/>
      <c r="O981" s="557"/>
      <c r="P981" s="557"/>
      <c r="Q981" s="557"/>
      <c r="R981" s="557"/>
      <c r="S981" s="549"/>
      <c r="T981" s="1"/>
      <c r="U981" s="1"/>
      <c r="V981" s="1"/>
      <c r="W981" s="557"/>
      <c r="X981" s="549"/>
      <c r="Y981" s="549"/>
      <c r="Z981" s="549"/>
      <c r="AA981" s="549"/>
      <c r="AB981" s="549"/>
      <c r="AC981" s="549"/>
      <c r="AD981" s="549"/>
      <c r="AE981" s="549"/>
      <c r="AF981" s="549"/>
      <c r="AG981" s="1"/>
      <c r="AH981" s="1"/>
      <c r="AI981" s="1"/>
      <c r="AJ981" s="1"/>
      <c r="AK981" s="1"/>
      <c r="AL981" s="1"/>
      <c r="AM981" s="1"/>
      <c r="AN981" s="1"/>
      <c r="AO981" s="1"/>
      <c r="AP981" s="2"/>
      <c r="AQ981" s="2"/>
      <c r="AR981" s="1"/>
      <c r="AS981" s="1"/>
      <c r="AT981" s="1"/>
      <c r="AU981" s="1"/>
      <c r="AV981" s="1"/>
      <c r="AW981" s="1"/>
      <c r="AX981" s="2"/>
      <c r="AY981" s="549"/>
    </row>
    <row r="982" spans="3:51" ht="15.75" customHeight="1" x14ac:dyDescent="0.25">
      <c r="C982" s="1"/>
      <c r="G982" s="1"/>
      <c r="H982" s="1"/>
      <c r="I982" s="1"/>
      <c r="J982" s="557"/>
      <c r="K982" s="549"/>
      <c r="L982" s="557"/>
      <c r="M982" s="557"/>
      <c r="N982" s="557"/>
      <c r="O982" s="557"/>
      <c r="P982" s="557"/>
      <c r="Q982" s="557"/>
      <c r="R982" s="557"/>
      <c r="S982" s="549"/>
      <c r="T982" s="1"/>
      <c r="U982" s="1"/>
      <c r="V982" s="1"/>
      <c r="W982" s="557"/>
      <c r="X982" s="549"/>
      <c r="Y982" s="549"/>
      <c r="Z982" s="549"/>
      <c r="AA982" s="549"/>
      <c r="AB982" s="549"/>
      <c r="AC982" s="549"/>
      <c r="AD982" s="549"/>
      <c r="AE982" s="549"/>
      <c r="AF982" s="549"/>
      <c r="AG982" s="1"/>
      <c r="AH982" s="1"/>
      <c r="AI982" s="1"/>
      <c r="AJ982" s="1"/>
      <c r="AK982" s="1"/>
      <c r="AL982" s="1"/>
      <c r="AM982" s="1"/>
      <c r="AN982" s="1"/>
      <c r="AO982" s="1"/>
      <c r="AP982" s="2"/>
      <c r="AQ982" s="2"/>
      <c r="AR982" s="1"/>
      <c r="AS982" s="1"/>
      <c r="AT982" s="1"/>
      <c r="AU982" s="1"/>
      <c r="AV982" s="1"/>
      <c r="AW982" s="1"/>
      <c r="AX982" s="2"/>
      <c r="AY982" s="549"/>
    </row>
    <row r="983" spans="3:51" ht="15.75" customHeight="1" x14ac:dyDescent="0.25">
      <c r="C983" s="1"/>
      <c r="G983" s="1"/>
      <c r="H983" s="1"/>
      <c r="I983" s="1"/>
      <c r="J983" s="557"/>
      <c r="K983" s="549"/>
      <c r="L983" s="557"/>
      <c r="M983" s="557"/>
      <c r="N983" s="557"/>
      <c r="O983" s="557"/>
      <c r="P983" s="557"/>
      <c r="Q983" s="557"/>
      <c r="R983" s="557"/>
      <c r="S983" s="549"/>
      <c r="T983" s="1"/>
      <c r="U983" s="1"/>
      <c r="V983" s="1"/>
      <c r="W983" s="557"/>
      <c r="X983" s="549"/>
      <c r="Y983" s="549"/>
      <c r="Z983" s="549"/>
      <c r="AA983" s="549"/>
      <c r="AB983" s="549"/>
      <c r="AC983" s="549"/>
      <c r="AD983" s="549"/>
      <c r="AE983" s="549"/>
      <c r="AF983" s="549"/>
      <c r="AG983" s="1"/>
      <c r="AH983" s="1"/>
      <c r="AI983" s="1"/>
      <c r="AJ983" s="1"/>
      <c r="AK983" s="1"/>
      <c r="AL983" s="1"/>
      <c r="AM983" s="1"/>
      <c r="AN983" s="1"/>
      <c r="AO983" s="1"/>
      <c r="AP983" s="2"/>
      <c r="AQ983" s="2"/>
      <c r="AR983" s="1"/>
      <c r="AS983" s="1"/>
      <c r="AT983" s="1"/>
      <c r="AU983" s="1"/>
      <c r="AV983" s="1"/>
      <c r="AW983" s="1"/>
      <c r="AX983" s="2"/>
      <c r="AY983" s="549"/>
    </row>
    <row r="984" spans="3:51" ht="15.75" customHeight="1" x14ac:dyDescent="0.25">
      <c r="C984" s="1"/>
      <c r="G984" s="1"/>
      <c r="H984" s="1"/>
      <c r="I984" s="1"/>
      <c r="J984" s="557"/>
      <c r="K984" s="549"/>
      <c r="L984" s="557"/>
      <c r="M984" s="557"/>
      <c r="N984" s="557"/>
      <c r="O984" s="557"/>
      <c r="P984" s="557"/>
      <c r="Q984" s="557"/>
      <c r="R984" s="557"/>
      <c r="S984" s="549"/>
      <c r="T984" s="1"/>
      <c r="U984" s="1"/>
      <c r="V984" s="1"/>
      <c r="W984" s="557"/>
      <c r="X984" s="549"/>
      <c r="Y984" s="549"/>
      <c r="Z984" s="549"/>
      <c r="AA984" s="549"/>
      <c r="AB984" s="549"/>
      <c r="AC984" s="549"/>
      <c r="AD984" s="549"/>
      <c r="AE984" s="549"/>
      <c r="AF984" s="549"/>
      <c r="AG984" s="1"/>
      <c r="AH984" s="1"/>
      <c r="AI984" s="1"/>
      <c r="AJ984" s="1"/>
      <c r="AK984" s="1"/>
      <c r="AL984" s="1"/>
      <c r="AM984" s="1"/>
      <c r="AN984" s="1"/>
      <c r="AO984" s="1"/>
      <c r="AP984" s="2"/>
      <c r="AQ984" s="2"/>
      <c r="AR984" s="1"/>
      <c r="AS984" s="1"/>
      <c r="AT984" s="1"/>
      <c r="AU984" s="1"/>
      <c r="AV984" s="1"/>
      <c r="AW984" s="1"/>
      <c r="AX984" s="2"/>
      <c r="AY984" s="549"/>
    </row>
    <row r="985" spans="3:51" ht="15.75" customHeight="1" x14ac:dyDescent="0.25">
      <c r="C985" s="1"/>
      <c r="G985" s="1"/>
      <c r="H985" s="1"/>
      <c r="I985" s="1"/>
      <c r="J985" s="557"/>
      <c r="K985" s="549"/>
      <c r="L985" s="557"/>
      <c r="M985" s="557"/>
      <c r="N985" s="557"/>
      <c r="O985" s="557"/>
      <c r="P985" s="557"/>
      <c r="Q985" s="557"/>
      <c r="R985" s="557"/>
      <c r="S985" s="549"/>
      <c r="T985" s="1"/>
      <c r="U985" s="1"/>
      <c r="V985" s="1"/>
      <c r="W985" s="557"/>
      <c r="X985" s="549"/>
      <c r="Y985" s="549"/>
      <c r="Z985" s="549"/>
      <c r="AA985" s="549"/>
      <c r="AB985" s="549"/>
      <c r="AC985" s="549"/>
      <c r="AD985" s="549"/>
      <c r="AE985" s="549"/>
      <c r="AF985" s="549"/>
      <c r="AG985" s="1"/>
      <c r="AH985" s="1"/>
      <c r="AI985" s="1"/>
      <c r="AJ985" s="1"/>
      <c r="AK985" s="1"/>
      <c r="AL985" s="1"/>
      <c r="AM985" s="1"/>
      <c r="AN985" s="1"/>
      <c r="AO985" s="1"/>
      <c r="AP985" s="2"/>
      <c r="AQ985" s="2"/>
      <c r="AR985" s="1"/>
      <c r="AS985" s="1"/>
      <c r="AT985" s="1"/>
      <c r="AU985" s="1"/>
      <c r="AV985" s="1"/>
      <c r="AW985" s="1"/>
      <c r="AX985" s="2"/>
      <c r="AY985" s="549"/>
    </row>
    <row r="986" spans="3:51" ht="15.75" customHeight="1" x14ac:dyDescent="0.25">
      <c r="C986" s="1"/>
      <c r="G986" s="1"/>
      <c r="H986" s="1"/>
      <c r="I986" s="1"/>
      <c r="J986" s="557"/>
      <c r="K986" s="549"/>
      <c r="L986" s="557"/>
      <c r="M986" s="557"/>
      <c r="N986" s="557"/>
      <c r="O986" s="557"/>
      <c r="P986" s="557"/>
      <c r="Q986" s="557"/>
      <c r="R986" s="557"/>
      <c r="S986" s="549"/>
      <c r="T986" s="1"/>
      <c r="U986" s="1"/>
      <c r="V986" s="1"/>
      <c r="W986" s="557"/>
      <c r="X986" s="549"/>
      <c r="Y986" s="549"/>
      <c r="Z986" s="549"/>
      <c r="AA986" s="549"/>
      <c r="AB986" s="549"/>
      <c r="AC986" s="549"/>
      <c r="AD986" s="549"/>
      <c r="AE986" s="549"/>
      <c r="AF986" s="549"/>
      <c r="AG986" s="1"/>
      <c r="AH986" s="1"/>
      <c r="AI986" s="1"/>
      <c r="AJ986" s="1"/>
      <c r="AK986" s="1"/>
      <c r="AL986" s="1"/>
      <c r="AM986" s="1"/>
      <c r="AN986" s="1"/>
      <c r="AO986" s="1"/>
      <c r="AP986" s="2"/>
      <c r="AQ986" s="2"/>
      <c r="AR986" s="1"/>
      <c r="AS986" s="1"/>
      <c r="AT986" s="1"/>
      <c r="AU986" s="1"/>
      <c r="AV986" s="1"/>
      <c r="AW986" s="1"/>
      <c r="AX986" s="2"/>
      <c r="AY986" s="549"/>
    </row>
    <row r="987" spans="3:51" ht="15.75" customHeight="1" x14ac:dyDescent="0.25">
      <c r="C987" s="1"/>
      <c r="G987" s="1"/>
      <c r="H987" s="1"/>
      <c r="I987" s="1"/>
      <c r="J987" s="557"/>
      <c r="K987" s="549"/>
      <c r="L987" s="557"/>
      <c r="M987" s="557"/>
      <c r="N987" s="557"/>
      <c r="O987" s="557"/>
      <c r="P987" s="557"/>
      <c r="Q987" s="557"/>
      <c r="R987" s="557"/>
      <c r="S987" s="549"/>
      <c r="T987" s="1"/>
      <c r="U987" s="1"/>
      <c r="V987" s="1"/>
      <c r="W987" s="557"/>
      <c r="X987" s="549"/>
      <c r="Y987" s="549"/>
      <c r="Z987" s="549"/>
      <c r="AA987" s="549"/>
      <c r="AB987" s="549"/>
      <c r="AC987" s="549"/>
      <c r="AD987" s="549"/>
      <c r="AE987" s="549"/>
      <c r="AF987" s="549"/>
      <c r="AG987" s="1"/>
      <c r="AH987" s="1"/>
      <c r="AI987" s="1"/>
      <c r="AJ987" s="1"/>
      <c r="AK987" s="1"/>
      <c r="AL987" s="1"/>
      <c r="AM987" s="1"/>
      <c r="AN987" s="1"/>
      <c r="AO987" s="1"/>
      <c r="AP987" s="2"/>
      <c r="AQ987" s="2"/>
      <c r="AR987" s="1"/>
      <c r="AS987" s="1"/>
      <c r="AT987" s="1"/>
      <c r="AU987" s="1"/>
      <c r="AV987" s="1"/>
      <c r="AW987" s="1"/>
      <c r="AX987" s="2"/>
      <c r="AY987" s="549"/>
    </row>
    <row r="988" spans="3:51" ht="15.75" customHeight="1" x14ac:dyDescent="0.25">
      <c r="C988" s="1"/>
      <c r="G988" s="1"/>
      <c r="H988" s="1"/>
      <c r="I988" s="1"/>
      <c r="J988" s="557"/>
      <c r="K988" s="549"/>
      <c r="L988" s="557"/>
      <c r="M988" s="557"/>
      <c r="N988" s="557"/>
      <c r="O988" s="557"/>
      <c r="P988" s="557"/>
      <c r="Q988" s="557"/>
      <c r="R988" s="557"/>
      <c r="S988" s="549"/>
      <c r="T988" s="1"/>
      <c r="U988" s="1"/>
      <c r="V988" s="1"/>
      <c r="W988" s="557"/>
      <c r="X988" s="549"/>
      <c r="Y988" s="549"/>
      <c r="Z988" s="549"/>
      <c r="AA988" s="549"/>
      <c r="AB988" s="549"/>
      <c r="AC988" s="549"/>
      <c r="AD988" s="549"/>
      <c r="AE988" s="549"/>
      <c r="AF988" s="549"/>
      <c r="AG988" s="1"/>
      <c r="AH988" s="1"/>
      <c r="AI988" s="1"/>
      <c r="AJ988" s="1"/>
      <c r="AK988" s="1"/>
      <c r="AL988" s="1"/>
      <c r="AM988" s="1"/>
      <c r="AN988" s="1"/>
      <c r="AO988" s="1"/>
      <c r="AP988" s="2"/>
      <c r="AQ988" s="2"/>
      <c r="AR988" s="1"/>
      <c r="AS988" s="1"/>
      <c r="AT988" s="1"/>
      <c r="AU988" s="1"/>
      <c r="AV988" s="1"/>
      <c r="AW988" s="1"/>
      <c r="AX988" s="2"/>
      <c r="AY988" s="549"/>
    </row>
    <row r="989" spans="3:51" ht="15.75" customHeight="1" x14ac:dyDescent="0.25">
      <c r="C989" s="1"/>
      <c r="G989" s="1"/>
      <c r="H989" s="1"/>
      <c r="I989" s="1"/>
      <c r="J989" s="557"/>
      <c r="K989" s="549"/>
      <c r="L989" s="557"/>
      <c r="M989" s="557"/>
      <c r="N989" s="557"/>
      <c r="O989" s="557"/>
      <c r="P989" s="557"/>
      <c r="Q989" s="557"/>
      <c r="R989" s="557"/>
      <c r="S989" s="549"/>
      <c r="T989" s="1"/>
      <c r="U989" s="1"/>
      <c r="V989" s="1"/>
      <c r="W989" s="557"/>
      <c r="X989" s="549"/>
      <c r="Y989" s="549"/>
      <c r="Z989" s="549"/>
      <c r="AA989" s="549"/>
      <c r="AB989" s="549"/>
      <c r="AC989" s="549"/>
      <c r="AD989" s="549"/>
      <c r="AE989" s="549"/>
      <c r="AF989" s="549"/>
      <c r="AG989" s="1"/>
      <c r="AH989" s="1"/>
      <c r="AI989" s="1"/>
      <c r="AJ989" s="1"/>
      <c r="AK989" s="1"/>
      <c r="AL989" s="1"/>
      <c r="AM989" s="1"/>
      <c r="AN989" s="1"/>
      <c r="AO989" s="1"/>
      <c r="AP989" s="2"/>
      <c r="AQ989" s="2"/>
      <c r="AR989" s="1"/>
      <c r="AS989" s="1"/>
      <c r="AT989" s="1"/>
      <c r="AU989" s="1"/>
      <c r="AV989" s="1"/>
      <c r="AW989" s="1"/>
      <c r="AX989" s="2"/>
      <c r="AY989" s="549"/>
    </row>
    <row r="990" spans="3:51" ht="15.75" customHeight="1" x14ac:dyDescent="0.25">
      <c r="C990" s="1"/>
      <c r="G990" s="1"/>
      <c r="H990" s="1"/>
      <c r="I990" s="1"/>
      <c r="J990" s="557"/>
      <c r="K990" s="549"/>
      <c r="L990" s="557"/>
      <c r="M990" s="557"/>
      <c r="N990" s="557"/>
      <c r="O990" s="557"/>
      <c r="P990" s="557"/>
      <c r="Q990" s="557"/>
      <c r="R990" s="557"/>
      <c r="S990" s="549"/>
      <c r="T990" s="1"/>
      <c r="U990" s="1"/>
      <c r="V990" s="1"/>
      <c r="W990" s="557"/>
      <c r="X990" s="549"/>
      <c r="Y990" s="549"/>
      <c r="Z990" s="549"/>
      <c r="AA990" s="549"/>
      <c r="AB990" s="549"/>
      <c r="AC990" s="549"/>
      <c r="AD990" s="549"/>
      <c r="AE990" s="549"/>
      <c r="AF990" s="549"/>
      <c r="AG990" s="1"/>
      <c r="AH990" s="1"/>
      <c r="AI990" s="1"/>
      <c r="AJ990" s="1"/>
      <c r="AK990" s="1"/>
      <c r="AL990" s="1"/>
      <c r="AM990" s="1"/>
      <c r="AN990" s="1"/>
      <c r="AO990" s="1"/>
      <c r="AP990" s="2"/>
      <c r="AQ990" s="2"/>
      <c r="AR990" s="1"/>
      <c r="AS990" s="1"/>
      <c r="AT990" s="1"/>
      <c r="AU990" s="1"/>
      <c r="AV990" s="1"/>
      <c r="AW990" s="1"/>
      <c r="AX990" s="2"/>
      <c r="AY990" s="549"/>
    </row>
    <row r="991" spans="3:51" ht="15.75" customHeight="1" x14ac:dyDescent="0.25">
      <c r="C991" s="1"/>
      <c r="G991" s="1"/>
      <c r="H991" s="1"/>
      <c r="I991" s="1"/>
      <c r="J991" s="557"/>
      <c r="K991" s="549"/>
      <c r="L991" s="557"/>
      <c r="M991" s="557"/>
      <c r="N991" s="557"/>
      <c r="O991" s="557"/>
      <c r="P991" s="557"/>
      <c r="Q991" s="557"/>
      <c r="R991" s="557"/>
      <c r="S991" s="549"/>
      <c r="T991" s="1"/>
      <c r="U991" s="1"/>
      <c r="V991" s="1"/>
      <c r="W991" s="557"/>
      <c r="X991" s="549"/>
      <c r="Y991" s="549"/>
      <c r="Z991" s="549"/>
      <c r="AA991" s="549"/>
      <c r="AB991" s="549"/>
      <c r="AC991" s="549"/>
      <c r="AD991" s="549"/>
      <c r="AE991" s="549"/>
      <c r="AF991" s="549"/>
      <c r="AG991" s="1"/>
      <c r="AH991" s="1"/>
      <c r="AI991" s="1"/>
      <c r="AJ991" s="1"/>
      <c r="AK991" s="1"/>
      <c r="AL991" s="1"/>
      <c r="AM991" s="1"/>
      <c r="AN991" s="1"/>
      <c r="AO991" s="1"/>
      <c r="AP991" s="2"/>
      <c r="AQ991" s="2"/>
      <c r="AR991" s="1"/>
      <c r="AS991" s="1"/>
      <c r="AT991" s="1"/>
      <c r="AU991" s="1"/>
      <c r="AV991" s="1"/>
      <c r="AW991" s="1"/>
      <c r="AX991" s="2"/>
      <c r="AY991" s="549"/>
    </row>
    <row r="992" spans="3:51" ht="15.75" customHeight="1" x14ac:dyDescent="0.25">
      <c r="C992" s="1"/>
      <c r="G992" s="1"/>
      <c r="H992" s="1"/>
      <c r="I992" s="1"/>
      <c r="J992" s="557"/>
      <c r="K992" s="549"/>
      <c r="L992" s="557"/>
      <c r="M992" s="557"/>
      <c r="N992" s="557"/>
      <c r="O992" s="557"/>
      <c r="P992" s="557"/>
      <c r="Q992" s="557"/>
      <c r="R992" s="557"/>
      <c r="S992" s="549"/>
      <c r="T992" s="1"/>
      <c r="U992" s="1"/>
      <c r="V992" s="1"/>
      <c r="W992" s="557"/>
      <c r="X992" s="549"/>
      <c r="Y992" s="549"/>
      <c r="Z992" s="549"/>
      <c r="AA992" s="549"/>
      <c r="AB992" s="549"/>
      <c r="AC992" s="549"/>
      <c r="AD992" s="549"/>
      <c r="AE992" s="549"/>
      <c r="AF992" s="549"/>
      <c r="AG992" s="1"/>
      <c r="AH992" s="1"/>
      <c r="AI992" s="1"/>
      <c r="AJ992" s="1"/>
      <c r="AK992" s="1"/>
      <c r="AL992" s="1"/>
      <c r="AM992" s="1"/>
      <c r="AN992" s="1"/>
      <c r="AO992" s="1"/>
      <c r="AP992" s="2"/>
      <c r="AQ992" s="2"/>
      <c r="AR992" s="1"/>
      <c r="AS992" s="1"/>
      <c r="AT992" s="1"/>
      <c r="AU992" s="1"/>
      <c r="AV992" s="1"/>
      <c r="AW992" s="1"/>
      <c r="AX992" s="2"/>
      <c r="AY992" s="549"/>
    </row>
    <row r="993" spans="3:51" ht="15.75" customHeight="1" x14ac:dyDescent="0.25">
      <c r="C993" s="1"/>
      <c r="G993" s="1"/>
      <c r="H993" s="1"/>
      <c r="I993" s="1"/>
      <c r="J993" s="557"/>
      <c r="K993" s="549"/>
      <c r="L993" s="557"/>
      <c r="M993" s="557"/>
      <c r="N993" s="557"/>
      <c r="O993" s="557"/>
      <c r="P993" s="557"/>
      <c r="Q993" s="557"/>
      <c r="R993" s="557"/>
      <c r="S993" s="549"/>
      <c r="T993" s="1"/>
      <c r="U993" s="1"/>
      <c r="V993" s="1"/>
      <c r="W993" s="557"/>
      <c r="X993" s="549"/>
      <c r="Y993" s="549"/>
      <c r="Z993" s="549"/>
      <c r="AA993" s="549"/>
      <c r="AB993" s="549"/>
      <c r="AC993" s="549"/>
      <c r="AD993" s="549"/>
      <c r="AE993" s="549"/>
      <c r="AF993" s="549"/>
      <c r="AG993" s="1"/>
      <c r="AH993" s="1"/>
      <c r="AI993" s="1"/>
      <c r="AJ993" s="1"/>
      <c r="AK993" s="1"/>
      <c r="AL993" s="1"/>
      <c r="AM993" s="1"/>
      <c r="AN993" s="1"/>
      <c r="AO993" s="1"/>
      <c r="AP993" s="2"/>
      <c r="AQ993" s="2"/>
      <c r="AR993" s="1"/>
      <c r="AS993" s="1"/>
      <c r="AT993" s="1"/>
      <c r="AU993" s="1"/>
      <c r="AV993" s="1"/>
      <c r="AW993" s="1"/>
      <c r="AX993" s="2"/>
      <c r="AY993" s="549"/>
    </row>
    <row r="994" spans="3:51" ht="15.75" customHeight="1" x14ac:dyDescent="0.25">
      <c r="C994" s="1"/>
      <c r="G994" s="1"/>
      <c r="H994" s="1"/>
      <c r="I994" s="1"/>
      <c r="J994" s="557"/>
      <c r="K994" s="549"/>
      <c r="L994" s="557"/>
      <c r="M994" s="557"/>
      <c r="N994" s="557"/>
      <c r="O994" s="557"/>
      <c r="P994" s="557"/>
      <c r="Q994" s="557"/>
      <c r="R994" s="557"/>
      <c r="S994" s="549"/>
      <c r="T994" s="1"/>
      <c r="U994" s="1"/>
      <c r="V994" s="1"/>
      <c r="W994" s="557"/>
      <c r="X994" s="549"/>
      <c r="Y994" s="549"/>
      <c r="Z994" s="549"/>
      <c r="AA994" s="549"/>
      <c r="AB994" s="549"/>
      <c r="AC994" s="549"/>
      <c r="AD994" s="549"/>
      <c r="AE994" s="549"/>
      <c r="AF994" s="549"/>
      <c r="AG994" s="1"/>
      <c r="AH994" s="1"/>
      <c r="AI994" s="1"/>
      <c r="AJ994" s="1"/>
      <c r="AK994" s="1"/>
      <c r="AL994" s="1"/>
      <c r="AM994" s="1"/>
      <c r="AN994" s="1"/>
      <c r="AO994" s="1"/>
      <c r="AP994" s="2"/>
      <c r="AQ994" s="2"/>
      <c r="AR994" s="1"/>
      <c r="AS994" s="1"/>
      <c r="AT994" s="1"/>
      <c r="AU994" s="1"/>
      <c r="AV994" s="1"/>
      <c r="AW994" s="1"/>
      <c r="AX994" s="2"/>
      <c r="AY994" s="549"/>
    </row>
    <row r="995" spans="3:51" ht="15.75" customHeight="1" x14ac:dyDescent="0.25">
      <c r="C995" s="1"/>
      <c r="G995" s="1"/>
      <c r="H995" s="1"/>
      <c r="I995" s="1"/>
      <c r="J995" s="557"/>
      <c r="K995" s="549"/>
      <c r="L995" s="557"/>
      <c r="M995" s="557"/>
      <c r="N995" s="557"/>
      <c r="O995" s="557"/>
      <c r="P995" s="557"/>
      <c r="Q995" s="557"/>
      <c r="R995" s="557"/>
      <c r="S995" s="549"/>
      <c r="T995" s="1"/>
      <c r="U995" s="1"/>
      <c r="V995" s="1"/>
      <c r="W995" s="557"/>
      <c r="X995" s="549"/>
      <c r="Y995" s="549"/>
      <c r="Z995" s="549"/>
      <c r="AA995" s="549"/>
      <c r="AB995" s="549"/>
      <c r="AC995" s="549"/>
      <c r="AD995" s="549"/>
      <c r="AE995" s="549"/>
      <c r="AF995" s="549"/>
      <c r="AG995" s="1"/>
      <c r="AH995" s="1"/>
      <c r="AI995" s="1"/>
      <c r="AJ995" s="1"/>
      <c r="AK995" s="1"/>
      <c r="AL995" s="1"/>
      <c r="AM995" s="1"/>
      <c r="AN995" s="1"/>
      <c r="AO995" s="1"/>
      <c r="AP995" s="2"/>
      <c r="AQ995" s="2"/>
      <c r="AR995" s="1"/>
      <c r="AS995" s="1"/>
      <c r="AT995" s="1"/>
      <c r="AU995" s="1"/>
      <c r="AV995" s="1"/>
      <c r="AW995" s="1"/>
      <c r="AX995" s="2"/>
      <c r="AY995" s="549"/>
    </row>
    <row r="996" spans="3:51" ht="15.75" customHeight="1" x14ac:dyDescent="0.25">
      <c r="C996" s="1"/>
      <c r="G996" s="1"/>
      <c r="H996" s="1"/>
      <c r="I996" s="1"/>
      <c r="J996" s="557"/>
      <c r="K996" s="549"/>
      <c r="L996" s="557"/>
      <c r="M996" s="557"/>
      <c r="N996" s="557"/>
      <c r="O996" s="557"/>
      <c r="P996" s="557"/>
      <c r="Q996" s="557"/>
      <c r="R996" s="557"/>
      <c r="S996" s="549"/>
      <c r="T996" s="1"/>
      <c r="U996" s="1"/>
      <c r="V996" s="1"/>
      <c r="W996" s="557"/>
      <c r="X996" s="549"/>
      <c r="Y996" s="549"/>
      <c r="Z996" s="549"/>
      <c r="AA996" s="549"/>
      <c r="AB996" s="549"/>
      <c r="AC996" s="549"/>
      <c r="AD996" s="549"/>
      <c r="AE996" s="549"/>
      <c r="AF996" s="549"/>
      <c r="AG996" s="1"/>
      <c r="AH996" s="1"/>
      <c r="AI996" s="1"/>
      <c r="AJ996" s="1"/>
      <c r="AK996" s="1"/>
      <c r="AL996" s="1"/>
      <c r="AM996" s="1"/>
      <c r="AN996" s="1"/>
      <c r="AO996" s="1"/>
      <c r="AP996" s="2"/>
      <c r="AQ996" s="2"/>
      <c r="AR996" s="1"/>
      <c r="AS996" s="1"/>
      <c r="AT996" s="1"/>
      <c r="AU996" s="1"/>
      <c r="AV996" s="1"/>
      <c r="AW996" s="1"/>
      <c r="AX996" s="2"/>
      <c r="AY996" s="549"/>
    </row>
    <row r="997" spans="3:51" ht="15.75" customHeight="1" x14ac:dyDescent="0.25">
      <c r="C997" s="1"/>
      <c r="G997" s="1"/>
      <c r="H997" s="1"/>
      <c r="I997" s="1"/>
      <c r="J997" s="557"/>
      <c r="K997" s="549"/>
      <c r="L997" s="557"/>
      <c r="M997" s="557"/>
      <c r="N997" s="557"/>
      <c r="O997" s="557"/>
      <c r="P997" s="557"/>
      <c r="Q997" s="557"/>
      <c r="R997" s="557"/>
      <c r="S997" s="549"/>
      <c r="T997" s="1"/>
      <c r="U997" s="1"/>
      <c r="V997" s="1"/>
      <c r="W997" s="557"/>
      <c r="X997" s="549"/>
      <c r="Y997" s="549"/>
      <c r="Z997" s="549"/>
      <c r="AA997" s="549"/>
      <c r="AB997" s="549"/>
      <c r="AC997" s="549"/>
      <c r="AD997" s="549"/>
      <c r="AE997" s="549"/>
      <c r="AF997" s="549"/>
      <c r="AG997" s="1"/>
      <c r="AH997" s="1"/>
      <c r="AI997" s="1"/>
      <c r="AJ997" s="1"/>
      <c r="AK997" s="1"/>
      <c r="AL997" s="1"/>
      <c r="AM997" s="1"/>
      <c r="AN997" s="1"/>
      <c r="AO997" s="1"/>
      <c r="AP997" s="2"/>
      <c r="AQ997" s="2"/>
      <c r="AR997" s="1"/>
      <c r="AS997" s="1"/>
      <c r="AT997" s="1"/>
      <c r="AU997" s="1"/>
      <c r="AV997" s="1"/>
      <c r="AW997" s="1"/>
      <c r="AX997" s="2"/>
      <c r="AY997" s="549"/>
    </row>
    <row r="998" spans="3:51" ht="15.75" customHeight="1" x14ac:dyDescent="0.25">
      <c r="C998" s="1"/>
      <c r="G998" s="1"/>
      <c r="H998" s="1"/>
      <c r="I998" s="1"/>
      <c r="J998" s="557"/>
      <c r="K998" s="549"/>
      <c r="L998" s="557"/>
      <c r="M998" s="557"/>
      <c r="N998" s="557"/>
      <c r="O998" s="557"/>
      <c r="P998" s="557"/>
      <c r="Q998" s="557"/>
      <c r="R998" s="557"/>
      <c r="S998" s="549"/>
      <c r="T998" s="1"/>
      <c r="U998" s="1"/>
      <c r="V998" s="1"/>
      <c r="W998" s="557"/>
      <c r="X998" s="549"/>
      <c r="Y998" s="549"/>
      <c r="Z998" s="549"/>
      <c r="AA998" s="549"/>
      <c r="AB998" s="549"/>
      <c r="AC998" s="549"/>
      <c r="AD998" s="549"/>
      <c r="AE998" s="549"/>
      <c r="AF998" s="549"/>
      <c r="AG998" s="1"/>
      <c r="AH998" s="1"/>
      <c r="AI998" s="1"/>
      <c r="AJ998" s="1"/>
      <c r="AK998" s="1"/>
      <c r="AL998" s="1"/>
      <c r="AM998" s="1"/>
      <c r="AN998" s="1"/>
      <c r="AO998" s="1"/>
      <c r="AP998" s="2"/>
      <c r="AQ998" s="2"/>
      <c r="AR998" s="1"/>
      <c r="AS998" s="1"/>
      <c r="AT998" s="1"/>
      <c r="AU998" s="1"/>
      <c r="AV998" s="1"/>
      <c r="AW998" s="1"/>
      <c r="AX998" s="2"/>
      <c r="AY998" s="549"/>
    </row>
    <row r="999" spans="3:51" ht="15.75" customHeight="1" x14ac:dyDescent="0.25">
      <c r="C999" s="1"/>
      <c r="G999" s="1"/>
      <c r="H999" s="1"/>
      <c r="I999" s="1"/>
      <c r="J999" s="557"/>
      <c r="K999" s="549"/>
      <c r="L999" s="557"/>
      <c r="M999" s="557"/>
      <c r="N999" s="557"/>
      <c r="O999" s="557"/>
      <c r="P999" s="557"/>
      <c r="Q999" s="557"/>
      <c r="R999" s="557"/>
      <c r="S999" s="549"/>
      <c r="T999" s="1"/>
      <c r="U999" s="1"/>
      <c r="V999" s="1"/>
      <c r="W999" s="557"/>
      <c r="X999" s="549"/>
      <c r="Y999" s="549"/>
      <c r="Z999" s="549"/>
      <c r="AA999" s="549"/>
      <c r="AB999" s="549"/>
      <c r="AC999" s="549"/>
      <c r="AD999" s="549"/>
      <c r="AE999" s="549"/>
      <c r="AF999" s="549"/>
      <c r="AG999" s="1"/>
      <c r="AH999" s="1"/>
      <c r="AI999" s="1"/>
      <c r="AJ999" s="1"/>
      <c r="AK999" s="1"/>
      <c r="AL999" s="1"/>
      <c r="AM999" s="1"/>
      <c r="AN999" s="1"/>
      <c r="AO999" s="1"/>
      <c r="AP999" s="2"/>
      <c r="AQ999" s="2"/>
      <c r="AR999" s="1"/>
      <c r="AS999" s="1"/>
      <c r="AT999" s="1"/>
      <c r="AU999" s="1"/>
      <c r="AV999" s="1"/>
      <c r="AW999" s="1"/>
      <c r="AX999" s="2"/>
      <c r="AY999" s="549"/>
    </row>
    <row r="1000" spans="3:51" ht="15.75" customHeight="1" x14ac:dyDescent="0.25">
      <c r="C1000" s="1"/>
      <c r="G1000" s="1"/>
      <c r="H1000" s="1"/>
      <c r="I1000" s="1"/>
      <c r="J1000" s="557"/>
      <c r="K1000" s="549"/>
      <c r="L1000" s="557"/>
      <c r="M1000" s="557"/>
      <c r="N1000" s="557"/>
      <c r="O1000" s="557"/>
      <c r="P1000" s="557"/>
      <c r="Q1000" s="557"/>
      <c r="R1000" s="557"/>
      <c r="S1000" s="549"/>
      <c r="T1000" s="1"/>
      <c r="U1000" s="1"/>
      <c r="V1000" s="1"/>
      <c r="W1000" s="557"/>
      <c r="X1000" s="549"/>
      <c r="Y1000" s="549"/>
      <c r="Z1000" s="549"/>
      <c r="AA1000" s="549"/>
      <c r="AB1000" s="549"/>
      <c r="AC1000" s="549"/>
      <c r="AD1000" s="549"/>
      <c r="AE1000" s="549"/>
      <c r="AF1000" s="549"/>
      <c r="AG1000" s="1"/>
      <c r="AH1000" s="1"/>
      <c r="AI1000" s="1"/>
      <c r="AJ1000" s="1"/>
      <c r="AK1000" s="1"/>
      <c r="AL1000" s="1"/>
      <c r="AM1000" s="1"/>
      <c r="AN1000" s="1"/>
      <c r="AO1000" s="1"/>
      <c r="AP1000" s="2"/>
      <c r="AQ1000" s="2"/>
      <c r="AR1000" s="1"/>
      <c r="AS1000" s="1"/>
      <c r="AT1000" s="1"/>
      <c r="AU1000" s="1"/>
      <c r="AV1000" s="1"/>
      <c r="AW1000" s="1"/>
      <c r="AX1000" s="2"/>
      <c r="AY1000" s="549"/>
    </row>
    <row r="1001" spans="3:51" ht="15.75" customHeight="1" x14ac:dyDescent="0.25">
      <c r="C1001" s="1"/>
      <c r="G1001" s="1"/>
      <c r="H1001" s="1"/>
      <c r="I1001" s="1"/>
      <c r="J1001" s="557"/>
      <c r="K1001" s="549"/>
      <c r="L1001" s="557"/>
      <c r="M1001" s="557"/>
      <c r="N1001" s="557"/>
      <c r="O1001" s="557"/>
      <c r="P1001" s="557"/>
      <c r="Q1001" s="557"/>
      <c r="R1001" s="557"/>
      <c r="S1001" s="549"/>
      <c r="T1001" s="1"/>
      <c r="U1001" s="1"/>
      <c r="V1001" s="1"/>
      <c r="W1001" s="557"/>
      <c r="X1001" s="549"/>
      <c r="Y1001" s="549"/>
      <c r="Z1001" s="549"/>
      <c r="AA1001" s="549"/>
      <c r="AB1001" s="549"/>
      <c r="AC1001" s="549"/>
      <c r="AD1001" s="549"/>
      <c r="AE1001" s="549"/>
      <c r="AF1001" s="549"/>
      <c r="AG1001" s="1"/>
      <c r="AH1001" s="1"/>
      <c r="AI1001" s="1"/>
      <c r="AJ1001" s="1"/>
      <c r="AK1001" s="1"/>
      <c r="AL1001" s="1"/>
      <c r="AM1001" s="1"/>
      <c r="AN1001" s="1"/>
      <c r="AO1001" s="1"/>
      <c r="AP1001" s="2"/>
      <c r="AQ1001" s="2"/>
      <c r="AR1001" s="1"/>
      <c r="AS1001" s="1"/>
      <c r="AT1001" s="1"/>
      <c r="AU1001" s="1"/>
      <c r="AV1001" s="1"/>
      <c r="AW1001" s="1"/>
      <c r="AX1001" s="2"/>
      <c r="AY1001" s="549"/>
    </row>
    <row r="1002" spans="3:51" ht="15.75" customHeight="1" x14ac:dyDescent="0.25">
      <c r="C1002" s="1"/>
      <c r="G1002" s="1"/>
      <c r="H1002" s="1"/>
      <c r="I1002" s="1"/>
      <c r="J1002" s="557"/>
      <c r="K1002" s="549"/>
      <c r="L1002" s="557"/>
      <c r="M1002" s="557"/>
      <c r="N1002" s="557"/>
      <c r="O1002" s="557"/>
      <c r="P1002" s="557"/>
      <c r="Q1002" s="557"/>
      <c r="R1002" s="557"/>
      <c r="S1002" s="549"/>
      <c r="T1002" s="1"/>
      <c r="U1002" s="1"/>
      <c r="V1002" s="1"/>
      <c r="W1002" s="557"/>
      <c r="X1002" s="549"/>
      <c r="Y1002" s="549"/>
      <c r="Z1002" s="549"/>
      <c r="AA1002" s="549"/>
      <c r="AB1002" s="549"/>
      <c r="AC1002" s="549"/>
      <c r="AD1002" s="549"/>
      <c r="AE1002" s="549"/>
      <c r="AF1002" s="549"/>
      <c r="AG1002" s="1"/>
      <c r="AH1002" s="1"/>
      <c r="AI1002" s="1"/>
      <c r="AJ1002" s="1"/>
      <c r="AK1002" s="1"/>
      <c r="AL1002" s="1"/>
      <c r="AM1002" s="1"/>
      <c r="AN1002" s="1"/>
      <c r="AO1002" s="1"/>
      <c r="AP1002" s="2"/>
      <c r="AQ1002" s="2"/>
      <c r="AR1002" s="1"/>
      <c r="AS1002" s="1"/>
      <c r="AT1002" s="1"/>
      <c r="AU1002" s="1"/>
      <c r="AV1002" s="1"/>
      <c r="AW1002" s="1"/>
      <c r="AX1002" s="2"/>
      <c r="AY1002" s="549"/>
    </row>
    <row r="1003" spans="3:51" ht="15.75" customHeight="1" x14ac:dyDescent="0.25">
      <c r="C1003" s="1"/>
      <c r="G1003" s="1"/>
      <c r="H1003" s="1"/>
      <c r="I1003" s="1"/>
      <c r="J1003" s="557"/>
      <c r="K1003" s="549"/>
      <c r="L1003" s="557"/>
      <c r="M1003" s="557"/>
      <c r="N1003" s="557"/>
      <c r="O1003" s="557"/>
      <c r="P1003" s="557"/>
      <c r="Q1003" s="557"/>
      <c r="R1003" s="557"/>
      <c r="S1003" s="549"/>
      <c r="T1003" s="1"/>
      <c r="U1003" s="1"/>
      <c r="V1003" s="1"/>
      <c r="W1003" s="557"/>
      <c r="X1003" s="549"/>
      <c r="Y1003" s="549"/>
      <c r="Z1003" s="549"/>
      <c r="AA1003" s="549"/>
      <c r="AB1003" s="549"/>
      <c r="AC1003" s="549"/>
      <c r="AD1003" s="549"/>
      <c r="AE1003" s="549"/>
      <c r="AF1003" s="549"/>
      <c r="AG1003" s="1"/>
      <c r="AH1003" s="1"/>
      <c r="AI1003" s="1"/>
      <c r="AJ1003" s="1"/>
      <c r="AK1003" s="1"/>
      <c r="AL1003" s="1"/>
      <c r="AM1003" s="1"/>
      <c r="AN1003" s="1"/>
      <c r="AO1003" s="1"/>
      <c r="AP1003" s="2"/>
      <c r="AQ1003" s="2"/>
      <c r="AR1003" s="1"/>
      <c r="AS1003" s="1"/>
      <c r="AT1003" s="1"/>
      <c r="AU1003" s="1"/>
      <c r="AV1003" s="1"/>
      <c r="AW1003" s="1"/>
      <c r="AX1003" s="2"/>
      <c r="AY1003" s="549"/>
    </row>
  </sheetData>
  <mergeCells count="2635">
    <mergeCell ref="AG790:AG795"/>
    <mergeCell ref="AH790:AH795"/>
    <mergeCell ref="AI790:AI795"/>
    <mergeCell ref="AJ790:AJ795"/>
    <mergeCell ref="AK790:AK795"/>
    <mergeCell ref="AL790:AL795"/>
    <mergeCell ref="AM790:AM795"/>
    <mergeCell ref="AU790:AU795"/>
    <mergeCell ref="AV790:AV795"/>
    <mergeCell ref="AW790:AW795"/>
    <mergeCell ref="AX790:AX795"/>
    <mergeCell ref="AN790:AN795"/>
    <mergeCell ref="AO790:AO795"/>
    <mergeCell ref="AP790:AP795"/>
    <mergeCell ref="AQ790:AQ795"/>
    <mergeCell ref="AR790:AR795"/>
    <mergeCell ref="AS790:AS795"/>
    <mergeCell ref="AT790:AT795"/>
    <mergeCell ref="AW784:AW789"/>
    <mergeCell ref="AX784:AX789"/>
    <mergeCell ref="AM784:AM789"/>
    <mergeCell ref="AN784:AN789"/>
    <mergeCell ref="AO784:AO789"/>
    <mergeCell ref="AP784:AP789"/>
    <mergeCell ref="AQ784:AQ789"/>
    <mergeCell ref="AR784:AR789"/>
    <mergeCell ref="AS784:AS789"/>
    <mergeCell ref="AF784:AF789"/>
    <mergeCell ref="AG784:AG789"/>
    <mergeCell ref="AH784:AH789"/>
    <mergeCell ref="AI784:AI789"/>
    <mergeCell ref="AJ784:AJ789"/>
    <mergeCell ref="AK784:AK789"/>
    <mergeCell ref="AL784:AL789"/>
    <mergeCell ref="AX772:AX777"/>
    <mergeCell ref="AW778:AW783"/>
    <mergeCell ref="AX778:AX783"/>
    <mergeCell ref="AG778:AG783"/>
    <mergeCell ref="AH778:AH783"/>
    <mergeCell ref="AI778:AI783"/>
    <mergeCell ref="AJ778:AJ783"/>
    <mergeCell ref="AK778:AK783"/>
    <mergeCell ref="AL778:AL783"/>
    <mergeCell ref="AW772:AW777"/>
    <mergeCell ref="AF772:AF777"/>
    <mergeCell ref="AH772:AH777"/>
    <mergeCell ref="AI772:AI777"/>
    <mergeCell ref="AJ772:AJ777"/>
    <mergeCell ref="AK772:AK777"/>
    <mergeCell ref="AL772:AL777"/>
    <mergeCell ref="AJ658:AJ663"/>
    <mergeCell ref="AK658:AK663"/>
    <mergeCell ref="AL658:AL663"/>
    <mergeCell ref="AM658:AM663"/>
    <mergeCell ref="AT784:AT789"/>
    <mergeCell ref="AU784:AU789"/>
    <mergeCell ref="AV784:AV789"/>
    <mergeCell ref="AV724:AV729"/>
    <mergeCell ref="AI730:AI735"/>
    <mergeCell ref="AJ730:AJ735"/>
    <mergeCell ref="AL730:AL735"/>
    <mergeCell ref="AM730:AM735"/>
    <mergeCell ref="AN730:AN735"/>
    <mergeCell ref="AG718:AG723"/>
    <mergeCell ref="AH718:AH723"/>
    <mergeCell ref="AI718:AI723"/>
    <mergeCell ref="AJ718:AJ723"/>
    <mergeCell ref="AL718:AL723"/>
    <mergeCell ref="AM718:AM723"/>
    <mergeCell ref="AN718:AN723"/>
    <mergeCell ref="AO718:AO723"/>
    <mergeCell ref="AP706:AP711"/>
    <mergeCell ref="AU772:AU777"/>
    <mergeCell ref="AV772:AV777"/>
    <mergeCell ref="AM772:AM777"/>
    <mergeCell ref="AN772:AN777"/>
    <mergeCell ref="AO772:AO777"/>
    <mergeCell ref="AP772:AP777"/>
    <mergeCell ref="AQ772:AQ777"/>
    <mergeCell ref="AR772:AR777"/>
    <mergeCell ref="AS772:AS777"/>
    <mergeCell ref="AG772:AG777"/>
    <mergeCell ref="AG646:AG651"/>
    <mergeCell ref="AH646:AH651"/>
    <mergeCell ref="AI646:AI651"/>
    <mergeCell ref="AJ646:AJ651"/>
    <mergeCell ref="AK646:AK651"/>
    <mergeCell ref="AL646:AL651"/>
    <mergeCell ref="AM646:AM651"/>
    <mergeCell ref="AU652:AU657"/>
    <mergeCell ref="AV652:AV657"/>
    <mergeCell ref="AW652:AW657"/>
    <mergeCell ref="AX652:AX657"/>
    <mergeCell ref="AY652:AY657"/>
    <mergeCell ref="AW658:AW663"/>
    <mergeCell ref="AX658:AX663"/>
    <mergeCell ref="AY658:AY663"/>
    <mergeCell ref="AN652:AN657"/>
    <mergeCell ref="AO652:AO657"/>
    <mergeCell ref="AP652:AP657"/>
    <mergeCell ref="AQ652:AQ657"/>
    <mergeCell ref="AR652:AR657"/>
    <mergeCell ref="AS652:AS657"/>
    <mergeCell ref="AT652:AT657"/>
    <mergeCell ref="AG652:AG657"/>
    <mergeCell ref="AH652:AH657"/>
    <mergeCell ref="AI652:AI657"/>
    <mergeCell ref="AJ652:AJ657"/>
    <mergeCell ref="AK652:AK657"/>
    <mergeCell ref="AL652:AL657"/>
    <mergeCell ref="AM652:AM657"/>
    <mergeCell ref="AG658:AG663"/>
    <mergeCell ref="AH658:AH663"/>
    <mergeCell ref="AI658:AI663"/>
    <mergeCell ref="AY634:AY639"/>
    <mergeCell ref="AW640:AW645"/>
    <mergeCell ref="AX640:AX645"/>
    <mergeCell ref="AY640:AY645"/>
    <mergeCell ref="AG640:AG645"/>
    <mergeCell ref="AH640:AH645"/>
    <mergeCell ref="AI640:AI645"/>
    <mergeCell ref="AJ640:AJ645"/>
    <mergeCell ref="AK640:AK645"/>
    <mergeCell ref="AL640:AL645"/>
    <mergeCell ref="AM640:AM645"/>
    <mergeCell ref="AU658:AU663"/>
    <mergeCell ref="AV658:AV663"/>
    <mergeCell ref="AN658:AN663"/>
    <mergeCell ref="AO658:AO663"/>
    <mergeCell ref="AP658:AP663"/>
    <mergeCell ref="AQ658:AQ663"/>
    <mergeCell ref="AR658:AR663"/>
    <mergeCell ref="AS658:AS663"/>
    <mergeCell ref="AT658:AT663"/>
    <mergeCell ref="AU646:AU651"/>
    <mergeCell ref="AV646:AV651"/>
    <mergeCell ref="AW646:AW651"/>
    <mergeCell ref="AX646:AX651"/>
    <mergeCell ref="AY646:AY651"/>
    <mergeCell ref="AN646:AN651"/>
    <mergeCell ref="AO646:AO651"/>
    <mergeCell ref="AP646:AP651"/>
    <mergeCell ref="AQ646:AQ651"/>
    <mergeCell ref="AR646:AR651"/>
    <mergeCell ref="AS646:AS651"/>
    <mergeCell ref="AT646:AT651"/>
    <mergeCell ref="AG628:AG633"/>
    <mergeCell ref="AH628:AH633"/>
    <mergeCell ref="AI628:AI633"/>
    <mergeCell ref="AJ628:AJ633"/>
    <mergeCell ref="AK628:AK633"/>
    <mergeCell ref="AL628:AL633"/>
    <mergeCell ref="AM628:AM633"/>
    <mergeCell ref="AT622:AT627"/>
    <mergeCell ref="AU634:AU639"/>
    <mergeCell ref="AV634:AV639"/>
    <mergeCell ref="AW634:AW639"/>
    <mergeCell ref="AX634:AX639"/>
    <mergeCell ref="AN634:AN639"/>
    <mergeCell ref="AO634:AO639"/>
    <mergeCell ref="AP634:AP639"/>
    <mergeCell ref="AQ634:AQ639"/>
    <mergeCell ref="AR634:AR639"/>
    <mergeCell ref="AS634:AS639"/>
    <mergeCell ref="AT634:AT639"/>
    <mergeCell ref="AG634:AG639"/>
    <mergeCell ref="AH634:AH639"/>
    <mergeCell ref="AI634:AI639"/>
    <mergeCell ref="AJ634:AJ639"/>
    <mergeCell ref="AK634:AK639"/>
    <mergeCell ref="AL634:AL639"/>
    <mergeCell ref="AM634:AM639"/>
    <mergeCell ref="AU622:AU627"/>
    <mergeCell ref="AV622:AV627"/>
    <mergeCell ref="AN622:AN627"/>
    <mergeCell ref="AO622:AO627"/>
    <mergeCell ref="AP622:AP627"/>
    <mergeCell ref="AQ622:AQ627"/>
    <mergeCell ref="AF598:AF603"/>
    <mergeCell ref="AG598:AG603"/>
    <mergeCell ref="AH598:AH603"/>
    <mergeCell ref="AI598:AI603"/>
    <mergeCell ref="AJ598:AJ603"/>
    <mergeCell ref="AK598:AK603"/>
    <mergeCell ref="AL598:AL603"/>
    <mergeCell ref="AU628:AU633"/>
    <mergeCell ref="AV628:AV633"/>
    <mergeCell ref="AU604:AU609"/>
    <mergeCell ref="AV616:AV621"/>
    <mergeCell ref="AJ604:AJ609"/>
    <mergeCell ref="AK604:AK609"/>
    <mergeCell ref="AL604:AL609"/>
    <mergeCell ref="AM604:AM609"/>
    <mergeCell ref="AF616:AF621"/>
    <mergeCell ref="AK616:AK621"/>
    <mergeCell ref="AL616:AL621"/>
    <mergeCell ref="AN604:AN609"/>
    <mergeCell ref="AO604:AP609"/>
    <mergeCell ref="AQ604:AQ609"/>
    <mergeCell ref="AR604:AR609"/>
    <mergeCell ref="AS604:AS609"/>
    <mergeCell ref="AV610:AV615"/>
    <mergeCell ref="AG604:AG609"/>
    <mergeCell ref="AN628:AN633"/>
    <mergeCell ref="AO628:AO633"/>
    <mergeCell ref="AP628:AP633"/>
    <mergeCell ref="AQ628:AQ633"/>
    <mergeCell ref="AR628:AR633"/>
    <mergeCell ref="AS628:AS633"/>
    <mergeCell ref="AT628:AT633"/>
    <mergeCell ref="AR622:AR627"/>
    <mergeCell ref="AS622:AS627"/>
    <mergeCell ref="AT616:AT621"/>
    <mergeCell ref="AU616:AU621"/>
    <mergeCell ref="AG592:AG597"/>
    <mergeCell ref="AH592:AH597"/>
    <mergeCell ref="AI592:AI597"/>
    <mergeCell ref="AJ592:AJ597"/>
    <mergeCell ref="AK592:AK597"/>
    <mergeCell ref="AL592:AL597"/>
    <mergeCell ref="AM592:AM597"/>
    <mergeCell ref="AU592:AU597"/>
    <mergeCell ref="AV592:AV597"/>
    <mergeCell ref="AW592:AW597"/>
    <mergeCell ref="AV598:AV603"/>
    <mergeCell ref="AW598:AW603"/>
    <mergeCell ref="AT586:AT591"/>
    <mergeCell ref="AU586:AU591"/>
    <mergeCell ref="AN592:AN597"/>
    <mergeCell ref="AO592:AO597"/>
    <mergeCell ref="AP592:AP597"/>
    <mergeCell ref="AQ592:AQ597"/>
    <mergeCell ref="AR592:AR597"/>
    <mergeCell ref="AS592:AS597"/>
    <mergeCell ref="AT592:AT597"/>
    <mergeCell ref="AN598:AN603"/>
    <mergeCell ref="AO598:AO603"/>
    <mergeCell ref="AP598:AP603"/>
    <mergeCell ref="AQ598:AQ603"/>
    <mergeCell ref="AR598:AR603"/>
    <mergeCell ref="AS598:AS603"/>
    <mergeCell ref="AG610:AG615"/>
    <mergeCell ref="AX586:AX591"/>
    <mergeCell ref="AT598:AT603"/>
    <mergeCell ref="AU598:AU603"/>
    <mergeCell ref="AM778:AM783"/>
    <mergeCell ref="AU778:AU783"/>
    <mergeCell ref="AV778:AV783"/>
    <mergeCell ref="E801:R801"/>
    <mergeCell ref="E802:R802"/>
    <mergeCell ref="E803:R803"/>
    <mergeCell ref="AN778:AN783"/>
    <mergeCell ref="AO778:AO783"/>
    <mergeCell ref="AP778:AP783"/>
    <mergeCell ref="AQ778:AQ783"/>
    <mergeCell ref="AR778:AR783"/>
    <mergeCell ref="AS778:AS783"/>
    <mergeCell ref="AT778:AT783"/>
    <mergeCell ref="AU682:AU687"/>
    <mergeCell ref="AV682:AV687"/>
    <mergeCell ref="AW682:AW687"/>
    <mergeCell ref="AX682:AX687"/>
    <mergeCell ref="AO724:AO729"/>
    <mergeCell ref="AW724:AW729"/>
    <mergeCell ref="AX724:AX729"/>
    <mergeCell ref="AR730:AR735"/>
    <mergeCell ref="AS730:AS735"/>
    <mergeCell ref="AT730:AT735"/>
    <mergeCell ref="AU730:AU735"/>
    <mergeCell ref="AV730:AV735"/>
    <mergeCell ref="AW730:AW735"/>
    <mergeCell ref="AX730:AX735"/>
    <mergeCell ref="AF586:AF591"/>
    <mergeCell ref="AG586:AG591"/>
    <mergeCell ref="AY592:AY597"/>
    <mergeCell ref="AY586:AY591"/>
    <mergeCell ref="AV604:AV609"/>
    <mergeCell ref="AW604:AW609"/>
    <mergeCell ref="AT604:AT609"/>
    <mergeCell ref="AT772:AT777"/>
    <mergeCell ref="AW484:AW489"/>
    <mergeCell ref="AX484:AX489"/>
    <mergeCell ref="AL736:AL741"/>
    <mergeCell ref="AM736:AM741"/>
    <mergeCell ref="AW736:AW741"/>
    <mergeCell ref="AX736:AX741"/>
    <mergeCell ref="AP730:AP735"/>
    <mergeCell ref="AQ730:AQ735"/>
    <mergeCell ref="AR736:AR741"/>
    <mergeCell ref="AS736:AS741"/>
    <mergeCell ref="AT736:AT741"/>
    <mergeCell ref="AU736:AU741"/>
    <mergeCell ref="AV736:AV741"/>
    <mergeCell ref="AL724:AL729"/>
    <mergeCell ref="AM724:AM729"/>
    <mergeCell ref="AN724:AN729"/>
    <mergeCell ref="AM586:AM591"/>
    <mergeCell ref="AN586:AN591"/>
    <mergeCell ref="AO586:AO591"/>
    <mergeCell ref="AP586:AP591"/>
    <mergeCell ref="AQ586:AQ591"/>
    <mergeCell ref="AR586:AR591"/>
    <mergeCell ref="AS586:AS591"/>
    <mergeCell ref="AX598:AX603"/>
    <mergeCell ref="AX604:AX609"/>
    <mergeCell ref="AX592:AX597"/>
    <mergeCell ref="AY682:AY687"/>
    <mergeCell ref="AN682:AN687"/>
    <mergeCell ref="AO682:AO687"/>
    <mergeCell ref="AP682:AP687"/>
    <mergeCell ref="AQ682:AQ687"/>
    <mergeCell ref="AR682:AR687"/>
    <mergeCell ref="AS682:AS687"/>
    <mergeCell ref="AT682:AT687"/>
    <mergeCell ref="AG682:AG687"/>
    <mergeCell ref="AH682:AH687"/>
    <mergeCell ref="AI682:AI687"/>
    <mergeCell ref="AJ682:AJ687"/>
    <mergeCell ref="AK682:AK687"/>
    <mergeCell ref="AL682:AL687"/>
    <mergeCell ref="AM682:AM687"/>
    <mergeCell ref="AY598:AY603"/>
    <mergeCell ref="AY604:AY609"/>
    <mergeCell ref="AU640:AU645"/>
    <mergeCell ref="AV640:AV645"/>
    <mergeCell ref="AN640:AN645"/>
    <mergeCell ref="AO640:AO645"/>
    <mergeCell ref="AP640:AP645"/>
    <mergeCell ref="AQ640:AQ645"/>
    <mergeCell ref="AR640:AR645"/>
    <mergeCell ref="AS640:AS645"/>
    <mergeCell ref="AT640:AT645"/>
    <mergeCell ref="AW628:AW633"/>
    <mergeCell ref="AW622:AW627"/>
    <mergeCell ref="AW610:AW615"/>
    <mergeCell ref="AH604:AH609"/>
    <mergeCell ref="AI604:AI609"/>
    <mergeCell ref="AX628:AX633"/>
    <mergeCell ref="C8:C9"/>
    <mergeCell ref="D8:D9"/>
    <mergeCell ref="A10:A153"/>
    <mergeCell ref="B10:B153"/>
    <mergeCell ref="C10:C15"/>
    <mergeCell ref="C16:C21"/>
    <mergeCell ref="C22:C27"/>
    <mergeCell ref="C148:C153"/>
    <mergeCell ref="C166:C171"/>
    <mergeCell ref="C172:C177"/>
    <mergeCell ref="C178:C183"/>
    <mergeCell ref="C184:C189"/>
    <mergeCell ref="C190:C195"/>
    <mergeCell ref="C196:C201"/>
    <mergeCell ref="C316:C321"/>
    <mergeCell ref="C322:C327"/>
    <mergeCell ref="AU484:AU489"/>
    <mergeCell ref="AN484:AN489"/>
    <mergeCell ref="AO484:AO489"/>
    <mergeCell ref="AP484:AP489"/>
    <mergeCell ref="AQ484:AQ489"/>
    <mergeCell ref="AR484:AR489"/>
    <mergeCell ref="AS484:AS489"/>
    <mergeCell ref="AT484:AT489"/>
    <mergeCell ref="AU472:AU477"/>
    <mergeCell ref="AU28:AU33"/>
    <mergeCell ref="AM10:AM15"/>
    <mergeCell ref="AN10:AN15"/>
    <mergeCell ref="AO10:AO15"/>
    <mergeCell ref="AP10:AP15"/>
    <mergeCell ref="AQ10:AQ15"/>
    <mergeCell ref="AR10:AR15"/>
    <mergeCell ref="AV28:AV33"/>
    <mergeCell ref="AW28:AW33"/>
    <mergeCell ref="AX28:AX33"/>
    <mergeCell ref="AK22:AK27"/>
    <mergeCell ref="AL22:AL27"/>
    <mergeCell ref="AG28:AG33"/>
    <mergeCell ref="AH28:AH33"/>
    <mergeCell ref="AI28:AI33"/>
    <mergeCell ref="AJ28:AJ33"/>
    <mergeCell ref="AK28:AK33"/>
    <mergeCell ref="C28:C33"/>
    <mergeCell ref="C34:C39"/>
    <mergeCell ref="C40:C45"/>
    <mergeCell ref="C46:C51"/>
    <mergeCell ref="C52:C57"/>
    <mergeCell ref="C58:C63"/>
    <mergeCell ref="AW412:AW417"/>
    <mergeCell ref="AX412:AX417"/>
    <mergeCell ref="C340:C345"/>
    <mergeCell ref="C346:C351"/>
    <mergeCell ref="C352:C357"/>
    <mergeCell ref="C358:C363"/>
    <mergeCell ref="C364:C369"/>
    <mergeCell ref="C370:C375"/>
    <mergeCell ref="C376:C381"/>
    <mergeCell ref="C382:C387"/>
    <mergeCell ref="C388:C393"/>
    <mergeCell ref="C394:C399"/>
    <mergeCell ref="C400:C405"/>
    <mergeCell ref="C406:C411"/>
    <mergeCell ref="C214:C219"/>
    <mergeCell ref="C220:C225"/>
    <mergeCell ref="AX10:AX15"/>
    <mergeCell ref="AY10:AY27"/>
    <mergeCell ref="AP16:AP21"/>
    <mergeCell ref="AQ16:AQ21"/>
    <mergeCell ref="AR16:AR21"/>
    <mergeCell ref="AS16:AS21"/>
    <mergeCell ref="AX16:AX21"/>
    <mergeCell ref="AX22:AX27"/>
    <mergeCell ref="A1:D3"/>
    <mergeCell ref="E1:AY1"/>
    <mergeCell ref="E2:AY2"/>
    <mergeCell ref="E3:AD3"/>
    <mergeCell ref="AE3:AY3"/>
    <mergeCell ref="A4:D4"/>
    <mergeCell ref="E4:AY4"/>
    <mergeCell ref="T8:AF8"/>
    <mergeCell ref="AG8:AK8"/>
    <mergeCell ref="AL8:AM8"/>
    <mergeCell ref="AO8:AX8"/>
    <mergeCell ref="A5:D5"/>
    <mergeCell ref="E5:AY5"/>
    <mergeCell ref="A6:D6"/>
    <mergeCell ref="E6:AY6"/>
    <mergeCell ref="A7:AY7"/>
    <mergeCell ref="A8:A9"/>
    <mergeCell ref="B8:B9"/>
    <mergeCell ref="E8:E9"/>
    <mergeCell ref="G8:S8"/>
    <mergeCell ref="S10:S15"/>
    <mergeCell ref="AF10:AF15"/>
    <mergeCell ref="AK10:AK15"/>
    <mergeCell ref="AL10:AL15"/>
    <mergeCell ref="AS10:AS15"/>
    <mergeCell ref="AT10:AT15"/>
    <mergeCell ref="AU10:AU15"/>
    <mergeCell ref="AV10:AV15"/>
    <mergeCell ref="AW10:AW15"/>
    <mergeCell ref="AV16:AV21"/>
    <mergeCell ref="AW16:AW21"/>
    <mergeCell ref="AO16:AO21"/>
    <mergeCell ref="AO22:AO27"/>
    <mergeCell ref="AP22:AP27"/>
    <mergeCell ref="AQ22:AQ27"/>
    <mergeCell ref="AR22:AR27"/>
    <mergeCell ref="AS22:AS27"/>
    <mergeCell ref="AT22:AT27"/>
    <mergeCell ref="AU22:AU27"/>
    <mergeCell ref="AV22:AV27"/>
    <mergeCell ref="AW22:AW27"/>
    <mergeCell ref="A490:A501"/>
    <mergeCell ref="A502:A633"/>
    <mergeCell ref="A634:A687"/>
    <mergeCell ref="A688:A699"/>
    <mergeCell ref="A700:A771"/>
    <mergeCell ref="A772:A783"/>
    <mergeCell ref="A784:A795"/>
    <mergeCell ref="C790:C795"/>
    <mergeCell ref="A796:C798"/>
    <mergeCell ref="C706:C711"/>
    <mergeCell ref="C712:C717"/>
    <mergeCell ref="B772:B783"/>
    <mergeCell ref="C772:C777"/>
    <mergeCell ref="C778:C783"/>
    <mergeCell ref="B784:B795"/>
    <mergeCell ref="C784:C789"/>
    <mergeCell ref="AJ10:AJ15"/>
    <mergeCell ref="AG10:AG15"/>
    <mergeCell ref="AH10:AH15"/>
    <mergeCell ref="AI10:AI15"/>
    <mergeCell ref="C64:C69"/>
    <mergeCell ref="C70:C75"/>
    <mergeCell ref="C76:C81"/>
    <mergeCell ref="C82:C87"/>
    <mergeCell ref="C88:C93"/>
    <mergeCell ref="C94:C99"/>
    <mergeCell ref="C100:C105"/>
    <mergeCell ref="C106:C111"/>
    <mergeCell ref="C112:C117"/>
    <mergeCell ref="C118:C123"/>
    <mergeCell ref="C124:C129"/>
    <mergeCell ref="C130:C135"/>
    <mergeCell ref="C742:C747"/>
    <mergeCell ref="C748:C753"/>
    <mergeCell ref="C754:C759"/>
    <mergeCell ref="C760:C765"/>
    <mergeCell ref="B801:D801"/>
    <mergeCell ref="B802:D802"/>
    <mergeCell ref="B803:D803"/>
    <mergeCell ref="C658:C663"/>
    <mergeCell ref="C664:C669"/>
    <mergeCell ref="B688:B699"/>
    <mergeCell ref="C688:C693"/>
    <mergeCell ref="C694:C699"/>
    <mergeCell ref="B700:B771"/>
    <mergeCell ref="C700:C705"/>
    <mergeCell ref="C766:C771"/>
    <mergeCell ref="C412:C417"/>
    <mergeCell ref="C418:C423"/>
    <mergeCell ref="C424:C429"/>
    <mergeCell ref="C430:C435"/>
    <mergeCell ref="C436:C441"/>
    <mergeCell ref="C442:C447"/>
    <mergeCell ref="C448:C453"/>
    <mergeCell ref="C454:C459"/>
    <mergeCell ref="C460:C465"/>
    <mergeCell ref="C466:C471"/>
    <mergeCell ref="C604:C609"/>
    <mergeCell ref="C610:C615"/>
    <mergeCell ref="C616:C621"/>
    <mergeCell ref="C670:C675"/>
    <mergeCell ref="C676:C681"/>
    <mergeCell ref="C526:C531"/>
    <mergeCell ref="C532:C537"/>
    <mergeCell ref="B634:B687"/>
    <mergeCell ref="C634:C639"/>
    <mergeCell ref="C640:C645"/>
    <mergeCell ref="C646:C651"/>
    <mergeCell ref="C652:C657"/>
    <mergeCell ref="C682:C687"/>
    <mergeCell ref="C718:C723"/>
    <mergeCell ref="C724:C729"/>
    <mergeCell ref="C730:C735"/>
    <mergeCell ref="C736:C741"/>
    <mergeCell ref="AL448:AL453"/>
    <mergeCell ref="AM448:AM453"/>
    <mergeCell ref="C484:C489"/>
    <mergeCell ref="C490:C495"/>
    <mergeCell ref="C202:C207"/>
    <mergeCell ref="C208:C213"/>
    <mergeCell ref="B298:B489"/>
    <mergeCell ref="C298:C303"/>
    <mergeCell ref="C304:C309"/>
    <mergeCell ref="C310:C315"/>
    <mergeCell ref="B490:B501"/>
    <mergeCell ref="C496:C501"/>
    <mergeCell ref="C622:C627"/>
    <mergeCell ref="C628:C633"/>
    <mergeCell ref="C472:C477"/>
    <mergeCell ref="C478:C483"/>
    <mergeCell ref="B502:B633"/>
    <mergeCell ref="C502:C507"/>
    <mergeCell ref="C508:C513"/>
    <mergeCell ref="C514:C519"/>
    <mergeCell ref="C520:C525"/>
    <mergeCell ref="C538:C543"/>
    <mergeCell ref="C556:C561"/>
    <mergeCell ref="C562:C567"/>
    <mergeCell ref="C568:C573"/>
    <mergeCell ref="C574:C579"/>
    <mergeCell ref="C580:C585"/>
    <mergeCell ref="C586:C591"/>
    <mergeCell ref="C592:C597"/>
    <mergeCell ref="C598:C603"/>
    <mergeCell ref="AG436:AG441"/>
    <mergeCell ref="AH436:AH441"/>
    <mergeCell ref="AI436:AI441"/>
    <mergeCell ref="AJ436:AJ441"/>
    <mergeCell ref="AK436:AK441"/>
    <mergeCell ref="AL436:AL441"/>
    <mergeCell ref="AM436:AM441"/>
    <mergeCell ref="AM598:AM603"/>
    <mergeCell ref="AF556:AF561"/>
    <mergeCell ref="AG556:AG561"/>
    <mergeCell ref="AH556:AH561"/>
    <mergeCell ref="AI556:AI561"/>
    <mergeCell ref="AJ556:AJ561"/>
    <mergeCell ref="AK556:AK561"/>
    <mergeCell ref="AL556:AL561"/>
    <mergeCell ref="AH526:AH531"/>
    <mergeCell ref="AI526:AI531"/>
    <mergeCell ref="AJ508:AJ513"/>
    <mergeCell ref="AK508:AK513"/>
    <mergeCell ref="AL508:AL513"/>
    <mergeCell ref="AM508:AM513"/>
    <mergeCell ref="AK496:AK501"/>
    <mergeCell ref="AG472:AG477"/>
    <mergeCell ref="AG478:AG483"/>
    <mergeCell ref="C544:C549"/>
    <mergeCell ref="AN472:AN477"/>
    <mergeCell ref="AO472:AO477"/>
    <mergeCell ref="AP472:AP477"/>
    <mergeCell ref="AQ472:AQ477"/>
    <mergeCell ref="AR472:AR477"/>
    <mergeCell ref="AS472:AS477"/>
    <mergeCell ref="AT472:AT477"/>
    <mergeCell ref="AH472:AH477"/>
    <mergeCell ref="AI472:AI477"/>
    <mergeCell ref="AJ472:AJ477"/>
    <mergeCell ref="AK472:AK477"/>
    <mergeCell ref="AL472:AL477"/>
    <mergeCell ref="AM472:AM477"/>
    <mergeCell ref="AU478:AU483"/>
    <mergeCell ref="AV478:AV483"/>
    <mergeCell ref="C550:C555"/>
    <mergeCell ref="AH478:AH483"/>
    <mergeCell ref="AI478:AI483"/>
    <mergeCell ref="AJ478:AJ483"/>
    <mergeCell ref="AK478:AK483"/>
    <mergeCell ref="AL478:AL483"/>
    <mergeCell ref="AM478:AM483"/>
    <mergeCell ref="AG484:AG489"/>
    <mergeCell ref="AH484:AH489"/>
    <mergeCell ref="AI484:AI489"/>
    <mergeCell ref="AJ484:AJ489"/>
    <mergeCell ref="AK484:AK489"/>
    <mergeCell ref="AL484:AL489"/>
    <mergeCell ref="AM484:AM489"/>
    <mergeCell ref="AT526:AT531"/>
    <mergeCell ref="AF520:AF525"/>
    <mergeCell ref="AW442:AW447"/>
    <mergeCell ref="AX442:AX447"/>
    <mergeCell ref="AG448:AG453"/>
    <mergeCell ref="AH448:AH453"/>
    <mergeCell ref="AI448:AI453"/>
    <mergeCell ref="AJ448:AJ453"/>
    <mergeCell ref="AK448:AK453"/>
    <mergeCell ref="AU448:AU453"/>
    <mergeCell ref="AV448:AV453"/>
    <mergeCell ref="AN448:AN453"/>
    <mergeCell ref="AO448:AO453"/>
    <mergeCell ref="AP448:AP453"/>
    <mergeCell ref="AQ448:AQ453"/>
    <mergeCell ref="AR448:AR453"/>
    <mergeCell ref="AS448:AS453"/>
    <mergeCell ref="AT448:AT453"/>
    <mergeCell ref="AU442:AU447"/>
    <mergeCell ref="AV442:AV447"/>
    <mergeCell ref="AW448:AW453"/>
    <mergeCell ref="AX448:AX453"/>
    <mergeCell ref="AN442:AN447"/>
    <mergeCell ref="AO442:AO447"/>
    <mergeCell ref="AP442:AP447"/>
    <mergeCell ref="AQ442:AQ447"/>
    <mergeCell ref="AR442:AR447"/>
    <mergeCell ref="AS442:AS447"/>
    <mergeCell ref="AT442:AT447"/>
    <mergeCell ref="AG442:AG447"/>
    <mergeCell ref="AH442:AH447"/>
    <mergeCell ref="AI442:AI447"/>
    <mergeCell ref="AJ442:AJ447"/>
    <mergeCell ref="AK442:AK447"/>
    <mergeCell ref="AG424:AG429"/>
    <mergeCell ref="AH424:AH429"/>
    <mergeCell ref="AI424:AI429"/>
    <mergeCell ref="AJ424:AJ429"/>
    <mergeCell ref="AK424:AK429"/>
    <mergeCell ref="AL424:AL429"/>
    <mergeCell ref="AM424:AM429"/>
    <mergeCell ref="AG430:AG435"/>
    <mergeCell ref="AH430:AH435"/>
    <mergeCell ref="AI430:AI435"/>
    <mergeCell ref="AJ430:AJ435"/>
    <mergeCell ref="AK430:AK435"/>
    <mergeCell ref="AL430:AL435"/>
    <mergeCell ref="AM430:AM435"/>
    <mergeCell ref="AU436:AU441"/>
    <mergeCell ref="AP424:AP429"/>
    <mergeCell ref="AQ424:AQ429"/>
    <mergeCell ref="AR424:AR429"/>
    <mergeCell ref="AS424:AS429"/>
    <mergeCell ref="AT424:AT429"/>
    <mergeCell ref="AN424:AN429"/>
    <mergeCell ref="AO424:AO429"/>
    <mergeCell ref="AL442:AL447"/>
    <mergeCell ref="AM442:AM447"/>
    <mergeCell ref="AV436:AV441"/>
    <mergeCell ref="AW436:AW441"/>
    <mergeCell ref="AX436:AX441"/>
    <mergeCell ref="AN436:AN441"/>
    <mergeCell ref="AO436:AO441"/>
    <mergeCell ref="AP436:AP441"/>
    <mergeCell ref="AQ436:AQ441"/>
    <mergeCell ref="AR436:AR441"/>
    <mergeCell ref="AS436:AS441"/>
    <mergeCell ref="AT436:AT441"/>
    <mergeCell ref="AW430:AW435"/>
    <mergeCell ref="AW418:AW423"/>
    <mergeCell ref="AX418:AX423"/>
    <mergeCell ref="AM418:AM423"/>
    <mergeCell ref="AN418:AN423"/>
    <mergeCell ref="AO418:AO423"/>
    <mergeCell ref="AP418:AP423"/>
    <mergeCell ref="AQ418:AQ423"/>
    <mergeCell ref="AR418:AR423"/>
    <mergeCell ref="AS418:AS423"/>
    <mergeCell ref="AU430:AU435"/>
    <mergeCell ref="AV430:AV435"/>
    <mergeCell ref="AN430:AN435"/>
    <mergeCell ref="AO430:AO435"/>
    <mergeCell ref="AP430:AP435"/>
    <mergeCell ref="AQ430:AQ435"/>
    <mergeCell ref="AR430:AR435"/>
    <mergeCell ref="AS430:AS435"/>
    <mergeCell ref="AT430:AT435"/>
    <mergeCell ref="AX430:AX435"/>
    <mergeCell ref="AF418:AF423"/>
    <mergeCell ref="AG418:AG423"/>
    <mergeCell ref="AH418:AH423"/>
    <mergeCell ref="AI418:AI423"/>
    <mergeCell ref="AJ418:AJ423"/>
    <mergeCell ref="AK418:AK423"/>
    <mergeCell ref="AL418:AL423"/>
    <mergeCell ref="AU424:AU429"/>
    <mergeCell ref="AV424:AV429"/>
    <mergeCell ref="AW424:AW429"/>
    <mergeCell ref="AX424:AX429"/>
    <mergeCell ref="C136:C141"/>
    <mergeCell ref="C142:C147"/>
    <mergeCell ref="A154:A297"/>
    <mergeCell ref="B154:B297"/>
    <mergeCell ref="C154:C159"/>
    <mergeCell ref="S154:S297"/>
    <mergeCell ref="C160:C165"/>
    <mergeCell ref="S298:S303"/>
    <mergeCell ref="C274:C279"/>
    <mergeCell ref="C280:C285"/>
    <mergeCell ref="AG358:AG363"/>
    <mergeCell ref="AH358:AH363"/>
    <mergeCell ref="AI358:AI363"/>
    <mergeCell ref="AJ358:AJ363"/>
    <mergeCell ref="AK358:AK363"/>
    <mergeCell ref="AT418:AT423"/>
    <mergeCell ref="AU418:AU423"/>
    <mergeCell ref="AV418:AV423"/>
    <mergeCell ref="A298:A489"/>
    <mergeCell ref="AV412:AV417"/>
    <mergeCell ref="AV484:AV489"/>
    <mergeCell ref="C226:C231"/>
    <mergeCell ref="C232:C237"/>
    <mergeCell ref="C238:C243"/>
    <mergeCell ref="C244:C249"/>
    <mergeCell ref="C250:C255"/>
    <mergeCell ref="C256:C261"/>
    <mergeCell ref="C262:C267"/>
    <mergeCell ref="C268:C273"/>
    <mergeCell ref="AV340:AV345"/>
    <mergeCell ref="AW340:AW345"/>
    <mergeCell ref="AX340:AX345"/>
    <mergeCell ref="AK340:AK345"/>
    <mergeCell ref="AL340:AL345"/>
    <mergeCell ref="AM340:AM345"/>
    <mergeCell ref="AN340:AN345"/>
    <mergeCell ref="AO340:AO345"/>
    <mergeCell ref="AP340:AP345"/>
    <mergeCell ref="AQ340:AQ345"/>
    <mergeCell ref="C286:C291"/>
    <mergeCell ref="C292:C297"/>
    <mergeCell ref="AF340:AF345"/>
    <mergeCell ref="AG340:AG345"/>
    <mergeCell ref="AH340:AH345"/>
    <mergeCell ref="AI340:AI345"/>
    <mergeCell ref="AJ340:AJ345"/>
    <mergeCell ref="AR340:AR345"/>
    <mergeCell ref="AS340:AS345"/>
    <mergeCell ref="AT340:AT345"/>
    <mergeCell ref="AU340:AU345"/>
    <mergeCell ref="AV334:AV339"/>
    <mergeCell ref="AW334:AW339"/>
    <mergeCell ref="AX322:AX327"/>
    <mergeCell ref="AT346:AT351"/>
    <mergeCell ref="AU346:AU351"/>
    <mergeCell ref="AV346:AV351"/>
    <mergeCell ref="AW346:AW351"/>
    <mergeCell ref="AX346:AX351"/>
    <mergeCell ref="AV352:AV357"/>
    <mergeCell ref="AW352:AW357"/>
    <mergeCell ref="AX352:AX357"/>
    <mergeCell ref="AM346:AM351"/>
    <mergeCell ref="AN346:AN351"/>
    <mergeCell ref="AO346:AO351"/>
    <mergeCell ref="AP346:AP351"/>
    <mergeCell ref="AQ346:AQ351"/>
    <mergeCell ref="AR346:AR351"/>
    <mergeCell ref="AS346:AS351"/>
    <mergeCell ref="AK346:AK351"/>
    <mergeCell ref="AL346:AL351"/>
    <mergeCell ref="AK352:AK357"/>
    <mergeCell ref="AL352:AL357"/>
    <mergeCell ref="AT352:AT357"/>
    <mergeCell ref="AU352:AU357"/>
    <mergeCell ref="AM352:AM357"/>
    <mergeCell ref="AN352:AN357"/>
    <mergeCell ref="AO352:AO357"/>
    <mergeCell ref="AP352:AP357"/>
    <mergeCell ref="AQ352:AQ357"/>
    <mergeCell ref="AR352:AR357"/>
    <mergeCell ref="AS352:AS357"/>
    <mergeCell ref="AF346:AF351"/>
    <mergeCell ref="AG346:AG351"/>
    <mergeCell ref="AH346:AH351"/>
    <mergeCell ref="AI346:AI351"/>
    <mergeCell ref="AJ346:AJ351"/>
    <mergeCell ref="AF352:AF357"/>
    <mergeCell ref="AG352:AG357"/>
    <mergeCell ref="AH352:AH357"/>
    <mergeCell ref="AI352:AI357"/>
    <mergeCell ref="AJ352:AJ357"/>
    <mergeCell ref="C328:C333"/>
    <mergeCell ref="C334:C339"/>
    <mergeCell ref="AK730:AK735"/>
    <mergeCell ref="AG736:AG741"/>
    <mergeCell ref="AJ736:AJ741"/>
    <mergeCell ref="AK736:AK741"/>
    <mergeCell ref="AH736:AH741"/>
    <mergeCell ref="AI736:AI741"/>
    <mergeCell ref="AG724:AG729"/>
    <mergeCell ref="AJ724:AJ729"/>
    <mergeCell ref="AK724:AK729"/>
    <mergeCell ref="AH724:AH729"/>
    <mergeCell ref="AI724:AI729"/>
    <mergeCell ref="AG730:AG735"/>
    <mergeCell ref="AH730:AH735"/>
    <mergeCell ref="AG712:AG717"/>
    <mergeCell ref="AH712:AH717"/>
    <mergeCell ref="AI712:AI717"/>
    <mergeCell ref="AJ712:AJ717"/>
    <mergeCell ref="AK712:AK717"/>
    <mergeCell ref="AG706:AG711"/>
    <mergeCell ref="AH706:AH711"/>
    <mergeCell ref="AW718:AW723"/>
    <mergeCell ref="AX718:AX723"/>
    <mergeCell ref="AP718:AP723"/>
    <mergeCell ref="AQ718:AQ723"/>
    <mergeCell ref="AR718:AR723"/>
    <mergeCell ref="AS718:AS723"/>
    <mergeCell ref="AT718:AT723"/>
    <mergeCell ref="AU718:AU723"/>
    <mergeCell ref="AV718:AV723"/>
    <mergeCell ref="AK718:AK723"/>
    <mergeCell ref="AQ724:AQ729"/>
    <mergeCell ref="AR724:AR729"/>
    <mergeCell ref="AS724:AS729"/>
    <mergeCell ref="AT724:AT729"/>
    <mergeCell ref="AP724:AP729"/>
    <mergeCell ref="AL712:AL717"/>
    <mergeCell ref="AM712:AM717"/>
    <mergeCell ref="AW712:AW717"/>
    <mergeCell ref="AX712:AX717"/>
    <mergeCell ref="AU724:AU729"/>
    <mergeCell ref="AQ706:AQ711"/>
    <mergeCell ref="AR712:AR717"/>
    <mergeCell ref="AS712:AS717"/>
    <mergeCell ref="AT712:AT717"/>
    <mergeCell ref="AU712:AU717"/>
    <mergeCell ref="AV712:AV717"/>
    <mergeCell ref="AN712:AN717"/>
    <mergeCell ref="AO712:AO717"/>
    <mergeCell ref="AP712:AP717"/>
    <mergeCell ref="AQ712:AQ717"/>
    <mergeCell ref="AL700:AL705"/>
    <mergeCell ref="AM700:AM705"/>
    <mergeCell ref="AN700:AN705"/>
    <mergeCell ref="AO700:AO705"/>
    <mergeCell ref="AW700:AW705"/>
    <mergeCell ref="AX700:AX705"/>
    <mergeCell ref="AW706:AW711"/>
    <mergeCell ref="AX706:AX711"/>
    <mergeCell ref="AP700:AP705"/>
    <mergeCell ref="AQ700:AQ705"/>
    <mergeCell ref="AR700:AR705"/>
    <mergeCell ref="AS700:AS705"/>
    <mergeCell ref="AT700:AT705"/>
    <mergeCell ref="AU700:AU705"/>
    <mergeCell ref="AV700:AV705"/>
    <mergeCell ref="AI706:AI711"/>
    <mergeCell ref="AJ706:AJ711"/>
    <mergeCell ref="AL706:AL711"/>
    <mergeCell ref="AM706:AM711"/>
    <mergeCell ref="AN706:AN711"/>
    <mergeCell ref="AO706:AO711"/>
    <mergeCell ref="AG700:AG705"/>
    <mergeCell ref="AF688:AF699"/>
    <mergeCell ref="AG688:AG693"/>
    <mergeCell ref="AH688:AH693"/>
    <mergeCell ref="AI688:AI693"/>
    <mergeCell ref="AJ688:AJ693"/>
    <mergeCell ref="AK688:AK693"/>
    <mergeCell ref="AT694:AT699"/>
    <mergeCell ref="AU694:AU699"/>
    <mergeCell ref="AV694:AV699"/>
    <mergeCell ref="AW694:AW699"/>
    <mergeCell ref="AF700:AF771"/>
    <mergeCell ref="AH700:AH705"/>
    <mergeCell ref="AI700:AI705"/>
    <mergeCell ref="AJ700:AJ705"/>
    <mergeCell ref="AK700:AK705"/>
    <mergeCell ref="AK706:AK711"/>
    <mergeCell ref="AK766:AK771"/>
    <mergeCell ref="AL694:AL699"/>
    <mergeCell ref="AM694:AM699"/>
    <mergeCell ref="AT748:AT753"/>
    <mergeCell ref="AU748:AU753"/>
    <mergeCell ref="AV748:AV753"/>
    <mergeCell ref="AN736:AN741"/>
    <mergeCell ref="AO736:AO741"/>
    <mergeCell ref="AP736:AP741"/>
    <mergeCell ref="AX694:AX699"/>
    <mergeCell ref="AY694:AY699"/>
    <mergeCell ref="AS688:AS693"/>
    <mergeCell ref="AT688:AT693"/>
    <mergeCell ref="AU688:AU693"/>
    <mergeCell ref="AV688:AV693"/>
    <mergeCell ref="AW688:AW693"/>
    <mergeCell ref="AX688:AX693"/>
    <mergeCell ref="AY688:AY693"/>
    <mergeCell ref="AR694:AR699"/>
    <mergeCell ref="AS694:AS699"/>
    <mergeCell ref="AJ676:AJ681"/>
    <mergeCell ref="AK676:AK681"/>
    <mergeCell ref="AL676:AL681"/>
    <mergeCell ref="AM676:AM681"/>
    <mergeCell ref="AU676:AU681"/>
    <mergeCell ref="AV676:AV681"/>
    <mergeCell ref="AN676:AN681"/>
    <mergeCell ref="AO676:AO681"/>
    <mergeCell ref="AP676:AP681"/>
    <mergeCell ref="AQ676:AQ681"/>
    <mergeCell ref="AR676:AR681"/>
    <mergeCell ref="AS676:AS681"/>
    <mergeCell ref="AT676:AT681"/>
    <mergeCell ref="AL688:AL693"/>
    <mergeCell ref="AM688:AM693"/>
    <mergeCell ref="AN688:AN693"/>
    <mergeCell ref="AO688:AO693"/>
    <mergeCell ref="AP688:AP693"/>
    <mergeCell ref="AQ688:AQ693"/>
    <mergeCell ref="AR688:AR693"/>
    <mergeCell ref="AK694:AK699"/>
    <mergeCell ref="AG664:AG669"/>
    <mergeCell ref="AH664:AH669"/>
    <mergeCell ref="AI664:AI669"/>
    <mergeCell ref="AJ664:AJ669"/>
    <mergeCell ref="AK664:AK669"/>
    <mergeCell ref="AL664:AL669"/>
    <mergeCell ref="AM664:AM669"/>
    <mergeCell ref="AU670:AU675"/>
    <mergeCell ref="AV670:AV675"/>
    <mergeCell ref="AW670:AW675"/>
    <mergeCell ref="AX670:AX675"/>
    <mergeCell ref="AY670:AY675"/>
    <mergeCell ref="AW676:AW681"/>
    <mergeCell ref="AX676:AX681"/>
    <mergeCell ref="AY676:AY681"/>
    <mergeCell ref="AN670:AN675"/>
    <mergeCell ref="AO670:AO675"/>
    <mergeCell ref="AP670:AP675"/>
    <mergeCell ref="AQ670:AQ675"/>
    <mergeCell ref="AR670:AR675"/>
    <mergeCell ref="AS670:AS675"/>
    <mergeCell ref="AT670:AT675"/>
    <mergeCell ref="AG670:AG675"/>
    <mergeCell ref="AH670:AH675"/>
    <mergeCell ref="AI670:AI675"/>
    <mergeCell ref="AJ670:AJ675"/>
    <mergeCell ref="AK670:AK675"/>
    <mergeCell ref="AL670:AL675"/>
    <mergeCell ref="AM670:AM675"/>
    <mergeCell ref="AG676:AG681"/>
    <mergeCell ref="AH676:AH681"/>
    <mergeCell ref="AI676:AI681"/>
    <mergeCell ref="AW766:AW771"/>
    <mergeCell ref="AX766:AX771"/>
    <mergeCell ref="AP766:AP771"/>
    <mergeCell ref="AQ766:AQ771"/>
    <mergeCell ref="AR766:AR771"/>
    <mergeCell ref="AS766:AS771"/>
    <mergeCell ref="AT766:AT771"/>
    <mergeCell ref="AU766:AU771"/>
    <mergeCell ref="AV766:AV771"/>
    <mergeCell ref="AU664:AU669"/>
    <mergeCell ref="AV664:AV669"/>
    <mergeCell ref="AW664:AW669"/>
    <mergeCell ref="AX664:AX669"/>
    <mergeCell ref="AY664:AY669"/>
    <mergeCell ref="AN664:AN669"/>
    <mergeCell ref="AO664:AO669"/>
    <mergeCell ref="AP664:AP669"/>
    <mergeCell ref="AQ664:AQ669"/>
    <mergeCell ref="AR664:AR669"/>
    <mergeCell ref="AS664:AS669"/>
    <mergeCell ref="AT664:AT669"/>
    <mergeCell ref="AR706:AR711"/>
    <mergeCell ref="AS706:AS711"/>
    <mergeCell ref="AT706:AT711"/>
    <mergeCell ref="AU706:AU711"/>
    <mergeCell ref="AV706:AV711"/>
    <mergeCell ref="AO730:AO735"/>
    <mergeCell ref="AN694:AN699"/>
    <mergeCell ref="AO694:AO699"/>
    <mergeCell ref="AP694:AP699"/>
    <mergeCell ref="AQ694:AQ699"/>
    <mergeCell ref="AW760:AW765"/>
    <mergeCell ref="S700:S771"/>
    <mergeCell ref="AN760:AN765"/>
    <mergeCell ref="AO760:AO765"/>
    <mergeCell ref="AP760:AP765"/>
    <mergeCell ref="AQ760:AQ765"/>
    <mergeCell ref="AG766:AG771"/>
    <mergeCell ref="AH766:AH771"/>
    <mergeCell ref="AI766:AI771"/>
    <mergeCell ref="AJ766:AJ771"/>
    <mergeCell ref="AL766:AL771"/>
    <mergeCell ref="AM766:AM771"/>
    <mergeCell ref="AN766:AN771"/>
    <mergeCell ref="AO766:AO771"/>
    <mergeCell ref="AG694:AG699"/>
    <mergeCell ref="AH694:AH699"/>
    <mergeCell ref="AI694:AI699"/>
    <mergeCell ref="AJ694:AJ699"/>
    <mergeCell ref="S688:S699"/>
    <mergeCell ref="AO754:AO759"/>
    <mergeCell ref="AK754:AK759"/>
    <mergeCell ref="AG760:AG765"/>
    <mergeCell ref="AJ760:AJ765"/>
    <mergeCell ref="AK760:AK765"/>
    <mergeCell ref="AH760:AH765"/>
    <mergeCell ref="AI760:AI765"/>
    <mergeCell ref="AL760:AL765"/>
    <mergeCell ref="AM760:AM765"/>
    <mergeCell ref="AI754:AI759"/>
    <mergeCell ref="AJ754:AJ759"/>
    <mergeCell ref="AL754:AL759"/>
    <mergeCell ref="AM754:AM759"/>
    <mergeCell ref="AN754:AN759"/>
    <mergeCell ref="AX760:AX765"/>
    <mergeCell ref="AP754:AP759"/>
    <mergeCell ref="AQ754:AQ759"/>
    <mergeCell ref="AR760:AR765"/>
    <mergeCell ref="AS760:AS765"/>
    <mergeCell ref="AT760:AT765"/>
    <mergeCell ref="AU760:AU765"/>
    <mergeCell ref="AV760:AV765"/>
    <mergeCell ref="AG748:AG753"/>
    <mergeCell ref="AJ748:AJ753"/>
    <mergeCell ref="AK748:AK753"/>
    <mergeCell ref="AH748:AH753"/>
    <mergeCell ref="AI748:AI753"/>
    <mergeCell ref="AL748:AL753"/>
    <mergeCell ref="AM748:AM753"/>
    <mergeCell ref="AN748:AN753"/>
    <mergeCell ref="AO748:AO753"/>
    <mergeCell ref="AW748:AW753"/>
    <mergeCell ref="AX748:AX753"/>
    <mergeCell ref="AG754:AG759"/>
    <mergeCell ref="AH754:AH759"/>
    <mergeCell ref="AR754:AR759"/>
    <mergeCell ref="AS754:AS759"/>
    <mergeCell ref="AT754:AT759"/>
    <mergeCell ref="AU754:AU759"/>
    <mergeCell ref="AV754:AV759"/>
    <mergeCell ref="AW754:AW759"/>
    <mergeCell ref="AX754:AX759"/>
    <mergeCell ref="AP748:AP753"/>
    <mergeCell ref="AQ748:AQ753"/>
    <mergeCell ref="AR748:AR753"/>
    <mergeCell ref="AS748:AS753"/>
    <mergeCell ref="AQ736:AQ741"/>
    <mergeCell ref="AG742:AG747"/>
    <mergeCell ref="AH742:AH747"/>
    <mergeCell ref="AI742:AI747"/>
    <mergeCell ref="AJ742:AJ747"/>
    <mergeCell ref="AL742:AL747"/>
    <mergeCell ref="AM742:AM747"/>
    <mergeCell ref="AN742:AN747"/>
    <mergeCell ref="AO742:AO747"/>
    <mergeCell ref="AW742:AW747"/>
    <mergeCell ref="AX742:AX747"/>
    <mergeCell ref="AP742:AP747"/>
    <mergeCell ref="AQ742:AQ747"/>
    <mergeCell ref="AR742:AR747"/>
    <mergeCell ref="AS742:AS747"/>
    <mergeCell ref="AT742:AT747"/>
    <mergeCell ref="AU742:AU747"/>
    <mergeCell ref="AV742:AV747"/>
    <mergeCell ref="AK742:AK747"/>
    <mergeCell ref="AF574:AF579"/>
    <mergeCell ref="AG574:AG579"/>
    <mergeCell ref="AH574:AH579"/>
    <mergeCell ref="AI574:AI579"/>
    <mergeCell ref="AJ574:AJ579"/>
    <mergeCell ref="AK574:AK579"/>
    <mergeCell ref="AL574:AL579"/>
    <mergeCell ref="AT580:AT585"/>
    <mergeCell ref="AU580:AU585"/>
    <mergeCell ref="AV580:AV585"/>
    <mergeCell ref="AW580:AW585"/>
    <mergeCell ref="AX580:AX585"/>
    <mergeCell ref="AY580:AY585"/>
    <mergeCell ref="AM580:AM585"/>
    <mergeCell ref="AN580:AN585"/>
    <mergeCell ref="AO580:AO585"/>
    <mergeCell ref="AP580:AP585"/>
    <mergeCell ref="AQ580:AQ585"/>
    <mergeCell ref="AR580:AR585"/>
    <mergeCell ref="AS580:AS585"/>
    <mergeCell ref="AF580:AF585"/>
    <mergeCell ref="AG580:AG585"/>
    <mergeCell ref="AH580:AH585"/>
    <mergeCell ref="AI580:AI585"/>
    <mergeCell ref="AJ580:AJ585"/>
    <mergeCell ref="AK580:AK585"/>
    <mergeCell ref="AL580:AL585"/>
    <mergeCell ref="AX568:AX573"/>
    <mergeCell ref="AT562:AT567"/>
    <mergeCell ref="AU562:AU567"/>
    <mergeCell ref="AV562:AV567"/>
    <mergeCell ref="AW562:AW567"/>
    <mergeCell ref="AX562:AX567"/>
    <mergeCell ref="AY562:AY567"/>
    <mergeCell ref="AV568:AV573"/>
    <mergeCell ref="AY568:AY573"/>
    <mergeCell ref="AF568:AF573"/>
    <mergeCell ref="AG568:AG573"/>
    <mergeCell ref="AH568:AH573"/>
    <mergeCell ref="AI568:AI573"/>
    <mergeCell ref="AJ568:AJ573"/>
    <mergeCell ref="AK568:AK573"/>
    <mergeCell ref="AL568:AL573"/>
    <mergeCell ref="AS562:AS567"/>
    <mergeCell ref="AF562:AF567"/>
    <mergeCell ref="AG562:AG567"/>
    <mergeCell ref="AH562:AH567"/>
    <mergeCell ref="AI562:AI567"/>
    <mergeCell ref="AJ562:AJ567"/>
    <mergeCell ref="AK562:AK567"/>
    <mergeCell ref="AL562:AL567"/>
    <mergeCell ref="AT568:AT573"/>
    <mergeCell ref="AU568:AU573"/>
    <mergeCell ref="AM568:AM573"/>
    <mergeCell ref="AT556:AT561"/>
    <mergeCell ref="AU556:AU561"/>
    <mergeCell ref="AV556:AV561"/>
    <mergeCell ref="AW556:AW561"/>
    <mergeCell ref="AX556:AX561"/>
    <mergeCell ref="AY556:AY561"/>
    <mergeCell ref="AM556:AM561"/>
    <mergeCell ref="AN556:AN561"/>
    <mergeCell ref="AO556:AO561"/>
    <mergeCell ref="AP556:AP561"/>
    <mergeCell ref="AQ556:AQ561"/>
    <mergeCell ref="AR556:AR561"/>
    <mergeCell ref="AS556:AS561"/>
    <mergeCell ref="AP550:AP555"/>
    <mergeCell ref="AQ550:AQ555"/>
    <mergeCell ref="AR550:AR555"/>
    <mergeCell ref="AS550:AS555"/>
    <mergeCell ref="AW550:AW555"/>
    <mergeCell ref="AX550:AX555"/>
    <mergeCell ref="AY550:AY555"/>
    <mergeCell ref="AW532:AW537"/>
    <mergeCell ref="AX532:AX537"/>
    <mergeCell ref="AY532:AY537"/>
    <mergeCell ref="AN532:AN537"/>
    <mergeCell ref="AJ526:AJ531"/>
    <mergeCell ref="AK526:AK531"/>
    <mergeCell ref="AL526:AL531"/>
    <mergeCell ref="AM526:AM531"/>
    <mergeCell ref="AM562:AM567"/>
    <mergeCell ref="AN562:AN567"/>
    <mergeCell ref="AO562:AO567"/>
    <mergeCell ref="AP562:AP567"/>
    <mergeCell ref="AQ562:AQ567"/>
    <mergeCell ref="AR562:AR567"/>
    <mergeCell ref="AX610:AX615"/>
    <mergeCell ref="AO520:AO525"/>
    <mergeCell ref="AP520:AP525"/>
    <mergeCell ref="AQ520:AQ525"/>
    <mergeCell ref="AR520:AR525"/>
    <mergeCell ref="AS520:AS525"/>
    <mergeCell ref="AS610:AS615"/>
    <mergeCell ref="AT610:AT615"/>
    <mergeCell ref="AU610:AU615"/>
    <mergeCell ref="AX574:AX579"/>
    <mergeCell ref="AY574:AY579"/>
    <mergeCell ref="AU538:AU543"/>
    <mergeCell ref="AV538:AV543"/>
    <mergeCell ref="AW538:AW543"/>
    <mergeCell ref="AX538:AX543"/>
    <mergeCell ref="AY538:AY543"/>
    <mergeCell ref="AW544:AW549"/>
    <mergeCell ref="AU544:AU549"/>
    <mergeCell ref="AG520:AG525"/>
    <mergeCell ref="AH520:AH525"/>
    <mergeCell ref="AI520:AI525"/>
    <mergeCell ref="AJ520:AJ525"/>
    <mergeCell ref="AK520:AK525"/>
    <mergeCell ref="AL520:AL525"/>
    <mergeCell ref="AG526:AG531"/>
    <mergeCell ref="AU526:AU531"/>
    <mergeCell ref="AV526:AV531"/>
    <mergeCell ref="AN526:AN531"/>
    <mergeCell ref="AO526:AO531"/>
    <mergeCell ref="AP526:AP531"/>
    <mergeCell ref="AQ526:AQ531"/>
    <mergeCell ref="AR526:AR531"/>
    <mergeCell ref="AS526:AS531"/>
    <mergeCell ref="AR502:AR507"/>
    <mergeCell ref="AS502:AS507"/>
    <mergeCell ref="AT502:AT507"/>
    <mergeCell ref="AP508:AP513"/>
    <mergeCell ref="AQ508:AQ513"/>
    <mergeCell ref="AW508:AW513"/>
    <mergeCell ref="AX508:AX513"/>
    <mergeCell ref="AY508:AY513"/>
    <mergeCell ref="AR496:AR501"/>
    <mergeCell ref="AS496:AS501"/>
    <mergeCell ref="AN508:AN513"/>
    <mergeCell ref="AX622:AX627"/>
    <mergeCell ref="AG622:AG627"/>
    <mergeCell ref="AH622:AH627"/>
    <mergeCell ref="AI622:AI627"/>
    <mergeCell ref="AJ622:AJ627"/>
    <mergeCell ref="AK622:AK627"/>
    <mergeCell ref="AL622:AL627"/>
    <mergeCell ref="AM622:AM627"/>
    <mergeCell ref="AT514:AT519"/>
    <mergeCell ref="AU514:AU519"/>
    <mergeCell ref="AV514:AV519"/>
    <mergeCell ref="AW514:AW519"/>
    <mergeCell ref="AX514:AX519"/>
    <mergeCell ref="AY514:AY519"/>
    <mergeCell ref="AM514:AM519"/>
    <mergeCell ref="AN514:AN519"/>
    <mergeCell ref="AO514:AO519"/>
    <mergeCell ref="AP514:AP519"/>
    <mergeCell ref="AQ514:AQ519"/>
    <mergeCell ref="AR514:AR519"/>
    <mergeCell ref="AS514:AS519"/>
    <mergeCell ref="AI514:AI519"/>
    <mergeCell ref="AJ514:AJ519"/>
    <mergeCell ref="AK514:AK519"/>
    <mergeCell ref="AW502:AW507"/>
    <mergeCell ref="AX502:AX507"/>
    <mergeCell ref="AY502:AY507"/>
    <mergeCell ref="AW616:AW621"/>
    <mergeCell ref="AX616:AX621"/>
    <mergeCell ref="AY616:AY621"/>
    <mergeCell ref="AM616:AM621"/>
    <mergeCell ref="AN616:AN621"/>
    <mergeCell ref="AO616:AO621"/>
    <mergeCell ref="AP616:AP621"/>
    <mergeCell ref="AQ616:AQ621"/>
    <mergeCell ref="AR616:AR621"/>
    <mergeCell ref="AS616:AS621"/>
    <mergeCell ref="AG616:AG621"/>
    <mergeCell ref="AH616:AH621"/>
    <mergeCell ref="AI616:AI621"/>
    <mergeCell ref="AJ616:AJ621"/>
    <mergeCell ref="AM502:AM507"/>
    <mergeCell ref="AL514:AL519"/>
    <mergeCell ref="AT520:AT525"/>
    <mergeCell ref="AU520:AU525"/>
    <mergeCell ref="AV520:AV525"/>
    <mergeCell ref="AW520:AW525"/>
    <mergeCell ref="AX520:AX525"/>
    <mergeCell ref="AY520:AY525"/>
    <mergeCell ref="AW526:AW531"/>
    <mergeCell ref="AX526:AX531"/>
    <mergeCell ref="AM520:AM525"/>
    <mergeCell ref="AN520:AN525"/>
    <mergeCell ref="AY610:AY615"/>
    <mergeCell ref="AN610:AN615"/>
    <mergeCell ref="AO610:AP615"/>
    <mergeCell ref="AQ610:AQ615"/>
    <mergeCell ref="AR610:AR615"/>
    <mergeCell ref="AH610:AH615"/>
    <mergeCell ref="AI610:AI615"/>
    <mergeCell ref="AJ610:AJ615"/>
    <mergeCell ref="AK610:AK615"/>
    <mergeCell ref="AL610:AL615"/>
    <mergeCell ref="AM610:AM615"/>
    <mergeCell ref="AR568:AR573"/>
    <mergeCell ref="AS568:AS573"/>
    <mergeCell ref="AN568:AN573"/>
    <mergeCell ref="AO568:AO573"/>
    <mergeCell ref="AP568:AP573"/>
    <mergeCell ref="AQ568:AQ573"/>
    <mergeCell ref="AT574:AT579"/>
    <mergeCell ref="AU574:AU579"/>
    <mergeCell ref="AV574:AV579"/>
    <mergeCell ref="AW574:AW579"/>
    <mergeCell ref="AM574:AM579"/>
    <mergeCell ref="AN574:AN579"/>
    <mergeCell ref="AO574:AO579"/>
    <mergeCell ref="AP574:AP579"/>
    <mergeCell ref="AQ574:AQ579"/>
    <mergeCell ref="AW568:AW573"/>
    <mergeCell ref="AR574:AR579"/>
    <mergeCell ref="AS574:AS579"/>
    <mergeCell ref="AV586:AV591"/>
    <mergeCell ref="AW586:AW591"/>
    <mergeCell ref="AH586:AH591"/>
    <mergeCell ref="AI586:AI591"/>
    <mergeCell ref="AJ586:AJ591"/>
    <mergeCell ref="AK586:AK591"/>
    <mergeCell ref="AL586:AL591"/>
    <mergeCell ref="AF490:AF501"/>
    <mergeCell ref="AG490:AG495"/>
    <mergeCell ref="AH490:AH495"/>
    <mergeCell ref="AI490:AI495"/>
    <mergeCell ref="AJ490:AJ495"/>
    <mergeCell ref="AK490:AK495"/>
    <mergeCell ref="AL490:AL495"/>
    <mergeCell ref="AU496:AU501"/>
    <mergeCell ref="AV496:AV501"/>
    <mergeCell ref="AR508:AR513"/>
    <mergeCell ref="AS508:AS513"/>
    <mergeCell ref="AT508:AT513"/>
    <mergeCell ref="AU508:AU513"/>
    <mergeCell ref="AV508:AV513"/>
    <mergeCell ref="AI496:AI501"/>
    <mergeCell ref="AJ496:AJ501"/>
    <mergeCell ref="AI502:AI507"/>
    <mergeCell ref="AJ502:AJ507"/>
    <mergeCell ref="AK502:AK507"/>
    <mergeCell ref="AL502:AL507"/>
    <mergeCell ref="AF502:AF507"/>
    <mergeCell ref="AG502:AG507"/>
    <mergeCell ref="AH502:AH507"/>
    <mergeCell ref="AG508:AG513"/>
    <mergeCell ref="AH508:AH513"/>
    <mergeCell ref="AI508:AI513"/>
    <mergeCell ref="AG496:AG501"/>
    <mergeCell ref="AH496:AH501"/>
    <mergeCell ref="AN502:AN507"/>
    <mergeCell ref="AO502:AO507"/>
    <mergeCell ref="AP502:AP507"/>
    <mergeCell ref="AQ502:AQ507"/>
    <mergeCell ref="AF514:AF519"/>
    <mergeCell ref="AG514:AG519"/>
    <mergeCell ref="AH514:AH519"/>
    <mergeCell ref="AY490:AY495"/>
    <mergeCell ref="AT496:AT501"/>
    <mergeCell ref="AU460:AU465"/>
    <mergeCell ref="AV460:AV465"/>
    <mergeCell ref="AW460:AW465"/>
    <mergeCell ref="AX460:AX465"/>
    <mergeCell ref="AW466:AW471"/>
    <mergeCell ref="AX466:AX471"/>
    <mergeCell ref="AN460:AN465"/>
    <mergeCell ref="AO460:AO465"/>
    <mergeCell ref="AP460:AP465"/>
    <mergeCell ref="AQ460:AQ465"/>
    <mergeCell ref="AR460:AR465"/>
    <mergeCell ref="AS460:AS465"/>
    <mergeCell ref="AT460:AT465"/>
    <mergeCell ref="AU466:AU471"/>
    <mergeCell ref="AV466:AV471"/>
    <mergeCell ref="AN466:AN471"/>
    <mergeCell ref="AN490:AN495"/>
    <mergeCell ref="AO490:AO495"/>
    <mergeCell ref="AP490:AP495"/>
    <mergeCell ref="AQ490:AQ495"/>
    <mergeCell ref="AR490:AR495"/>
    <mergeCell ref="AS490:AS495"/>
    <mergeCell ref="AW472:AW477"/>
    <mergeCell ref="AX472:AX477"/>
    <mergeCell ref="AW478:AW483"/>
    <mergeCell ref="AX478:AX483"/>
    <mergeCell ref="AV472:AV477"/>
    <mergeCell ref="AN478:AN483"/>
    <mergeCell ref="AO478:AO483"/>
    <mergeCell ref="AP478:AP483"/>
    <mergeCell ref="AK466:AK471"/>
    <mergeCell ref="AL466:AL471"/>
    <mergeCell ref="AM466:AM471"/>
    <mergeCell ref="AU454:AU459"/>
    <mergeCell ref="AV454:AV459"/>
    <mergeCell ref="AO508:AO513"/>
    <mergeCell ref="AL496:AL501"/>
    <mergeCell ref="AM496:AM501"/>
    <mergeCell ref="AN496:AN501"/>
    <mergeCell ref="AO496:AO501"/>
    <mergeCell ref="AP496:AP501"/>
    <mergeCell ref="AQ496:AQ501"/>
    <mergeCell ref="AW496:AW501"/>
    <mergeCell ref="AX496:AX501"/>
    <mergeCell ref="AT490:AT495"/>
    <mergeCell ref="AU490:AU495"/>
    <mergeCell ref="AV490:AV495"/>
    <mergeCell ref="AW490:AW495"/>
    <mergeCell ref="AX490:AX495"/>
    <mergeCell ref="AM490:AM495"/>
    <mergeCell ref="AU502:AU507"/>
    <mergeCell ref="AV502:AV507"/>
    <mergeCell ref="AQ478:AQ483"/>
    <mergeCell ref="AR478:AR483"/>
    <mergeCell ref="AS478:AS483"/>
    <mergeCell ref="AT478:AT483"/>
    <mergeCell ref="AP466:AP471"/>
    <mergeCell ref="AQ466:AQ471"/>
    <mergeCell ref="AR466:AR471"/>
    <mergeCell ref="AO454:AO459"/>
    <mergeCell ref="AP454:AP459"/>
    <mergeCell ref="AQ454:AQ459"/>
    <mergeCell ref="AR454:AR459"/>
    <mergeCell ref="AS454:AS459"/>
    <mergeCell ref="AT454:AT459"/>
    <mergeCell ref="AG454:AG459"/>
    <mergeCell ref="AH454:AH459"/>
    <mergeCell ref="AI454:AI459"/>
    <mergeCell ref="AJ454:AJ459"/>
    <mergeCell ref="AK454:AK459"/>
    <mergeCell ref="AL454:AL459"/>
    <mergeCell ref="AM454:AM459"/>
    <mergeCell ref="AO466:AO471"/>
    <mergeCell ref="AG460:AG465"/>
    <mergeCell ref="AH460:AH465"/>
    <mergeCell ref="AI460:AI465"/>
    <mergeCell ref="AJ460:AJ465"/>
    <mergeCell ref="AK460:AK465"/>
    <mergeCell ref="AL460:AL465"/>
    <mergeCell ref="AM460:AM465"/>
    <mergeCell ref="AG466:AG471"/>
    <mergeCell ref="AH466:AH471"/>
    <mergeCell ref="AI466:AI471"/>
    <mergeCell ref="AJ466:AJ471"/>
    <mergeCell ref="AF550:AF555"/>
    <mergeCell ref="AG550:AG555"/>
    <mergeCell ref="AH550:AH555"/>
    <mergeCell ref="AI550:AI555"/>
    <mergeCell ref="AJ550:AJ555"/>
    <mergeCell ref="AK550:AK555"/>
    <mergeCell ref="AL550:AL555"/>
    <mergeCell ref="AV550:AV555"/>
    <mergeCell ref="AM550:AM555"/>
    <mergeCell ref="AJ532:AJ537"/>
    <mergeCell ref="AK532:AK537"/>
    <mergeCell ref="AL532:AL537"/>
    <mergeCell ref="AM532:AM537"/>
    <mergeCell ref="AF538:AF543"/>
    <mergeCell ref="AG538:AG543"/>
    <mergeCell ref="AH538:AH543"/>
    <mergeCell ref="AI538:AI543"/>
    <mergeCell ref="AJ538:AJ543"/>
    <mergeCell ref="AK538:AK543"/>
    <mergeCell ref="AL538:AL543"/>
    <mergeCell ref="AG544:AG549"/>
    <mergeCell ref="AH544:AH549"/>
    <mergeCell ref="AI544:AI549"/>
    <mergeCell ref="AN538:AN543"/>
    <mergeCell ref="AO538:AO543"/>
    <mergeCell ref="AP538:AP543"/>
    <mergeCell ref="AQ538:AQ543"/>
    <mergeCell ref="AR538:AR543"/>
    <mergeCell ref="AS538:AS543"/>
    <mergeCell ref="AU532:AU537"/>
    <mergeCell ref="AV532:AV537"/>
    <mergeCell ref="AT538:AT543"/>
    <mergeCell ref="AV544:AV549"/>
    <mergeCell ref="AN544:AN549"/>
    <mergeCell ref="AO544:AO549"/>
    <mergeCell ref="AP544:AP549"/>
    <mergeCell ref="AQ544:AQ549"/>
    <mergeCell ref="AR544:AR549"/>
    <mergeCell ref="AS544:AS549"/>
    <mergeCell ref="AT544:AT549"/>
    <mergeCell ref="AT550:AT555"/>
    <mergeCell ref="AU550:AU555"/>
    <mergeCell ref="AN550:AN555"/>
    <mergeCell ref="AO550:AO555"/>
    <mergeCell ref="AX544:AX549"/>
    <mergeCell ref="AY544:AY549"/>
    <mergeCell ref="AJ544:AJ549"/>
    <mergeCell ref="AK544:AK549"/>
    <mergeCell ref="AL544:AL549"/>
    <mergeCell ref="AM544:AM549"/>
    <mergeCell ref="AM538:AM543"/>
    <mergeCell ref="AV406:AV411"/>
    <mergeCell ref="AW406:AW411"/>
    <mergeCell ref="AX406:AX411"/>
    <mergeCell ref="AN406:AN411"/>
    <mergeCell ref="AO406:AO411"/>
    <mergeCell ref="AP406:AP411"/>
    <mergeCell ref="AQ406:AQ411"/>
    <mergeCell ref="AR406:AR411"/>
    <mergeCell ref="AS406:AS411"/>
    <mergeCell ref="AT406:AT411"/>
    <mergeCell ref="AG406:AG411"/>
    <mergeCell ref="AH406:AH411"/>
    <mergeCell ref="AI406:AI411"/>
    <mergeCell ref="AJ406:AJ411"/>
    <mergeCell ref="AK406:AK411"/>
    <mergeCell ref="AL406:AL411"/>
    <mergeCell ref="AM406:AM411"/>
    <mergeCell ref="AO532:AO537"/>
    <mergeCell ref="AP532:AP537"/>
    <mergeCell ref="AQ532:AQ537"/>
    <mergeCell ref="AR532:AR537"/>
    <mergeCell ref="AS532:AS537"/>
    <mergeCell ref="AT532:AT537"/>
    <mergeCell ref="AG532:AG537"/>
    <mergeCell ref="AH532:AH537"/>
    <mergeCell ref="AI532:AI537"/>
    <mergeCell ref="AW454:AW459"/>
    <mergeCell ref="AS466:AS471"/>
    <mergeCell ref="AT466:AT471"/>
    <mergeCell ref="AX454:AX459"/>
    <mergeCell ref="AN454:AN459"/>
    <mergeCell ref="AV400:AV405"/>
    <mergeCell ref="AW400:AW405"/>
    <mergeCell ref="AX400:AX405"/>
    <mergeCell ref="AN400:AN405"/>
    <mergeCell ref="AO400:AO405"/>
    <mergeCell ref="AP400:AP405"/>
    <mergeCell ref="AQ400:AQ405"/>
    <mergeCell ref="AR400:AR405"/>
    <mergeCell ref="AS400:AS405"/>
    <mergeCell ref="AT400:AT405"/>
    <mergeCell ref="AG400:AG405"/>
    <mergeCell ref="AH400:AH405"/>
    <mergeCell ref="AI400:AI405"/>
    <mergeCell ref="AJ400:AJ405"/>
    <mergeCell ref="AK400:AK405"/>
    <mergeCell ref="AL400:AL405"/>
    <mergeCell ref="AM400:AM405"/>
    <mergeCell ref="AF388:AF393"/>
    <mergeCell ref="AG388:AG393"/>
    <mergeCell ref="AH388:AH393"/>
    <mergeCell ref="AI388:AI393"/>
    <mergeCell ref="AJ388:AJ393"/>
    <mergeCell ref="AK388:AK393"/>
    <mergeCell ref="AL388:AL393"/>
    <mergeCell ref="AG394:AG399"/>
    <mergeCell ref="AH394:AH399"/>
    <mergeCell ref="AI394:AI399"/>
    <mergeCell ref="AJ394:AJ399"/>
    <mergeCell ref="AK394:AK399"/>
    <mergeCell ref="AL394:AL399"/>
    <mergeCell ref="AM394:AM399"/>
    <mergeCell ref="AT412:AT417"/>
    <mergeCell ref="AU412:AU417"/>
    <mergeCell ref="AM412:AM417"/>
    <mergeCell ref="AN412:AN417"/>
    <mergeCell ref="AO412:AO417"/>
    <mergeCell ref="AP412:AP417"/>
    <mergeCell ref="AQ412:AQ417"/>
    <mergeCell ref="AR412:AR417"/>
    <mergeCell ref="AS412:AS417"/>
    <mergeCell ref="AU400:AU405"/>
    <mergeCell ref="AU406:AU411"/>
    <mergeCell ref="AF412:AF417"/>
    <mergeCell ref="AG412:AG417"/>
    <mergeCell ref="AH412:AH417"/>
    <mergeCell ref="AI412:AI417"/>
    <mergeCell ref="AJ412:AJ417"/>
    <mergeCell ref="AK412:AK417"/>
    <mergeCell ref="AL412:AL417"/>
    <mergeCell ref="AG382:AG387"/>
    <mergeCell ref="AH382:AH387"/>
    <mergeCell ref="AI382:AI387"/>
    <mergeCell ref="AJ382:AJ387"/>
    <mergeCell ref="AK382:AK387"/>
    <mergeCell ref="AL382:AL387"/>
    <mergeCell ref="AM382:AM387"/>
    <mergeCell ref="AT388:AT393"/>
    <mergeCell ref="AU388:AU393"/>
    <mergeCell ref="AV388:AV393"/>
    <mergeCell ref="AW388:AW393"/>
    <mergeCell ref="AX388:AX393"/>
    <mergeCell ref="AW394:AW399"/>
    <mergeCell ref="AX394:AX399"/>
    <mergeCell ref="AM388:AM393"/>
    <mergeCell ref="AN388:AN393"/>
    <mergeCell ref="AO388:AO393"/>
    <mergeCell ref="AP388:AP393"/>
    <mergeCell ref="AQ388:AQ393"/>
    <mergeCell ref="AR388:AR393"/>
    <mergeCell ref="AS388:AS393"/>
    <mergeCell ref="AU394:AU399"/>
    <mergeCell ref="AV394:AV399"/>
    <mergeCell ref="AN394:AN399"/>
    <mergeCell ref="AO394:AO399"/>
    <mergeCell ref="AP394:AP399"/>
    <mergeCell ref="AQ394:AQ399"/>
    <mergeCell ref="AR394:AR399"/>
    <mergeCell ref="AS394:AS399"/>
    <mergeCell ref="AT394:AT399"/>
    <mergeCell ref="AU382:AU387"/>
    <mergeCell ref="AV382:AV387"/>
    <mergeCell ref="AW382:AW387"/>
    <mergeCell ref="AX382:AX387"/>
    <mergeCell ref="AN382:AN387"/>
    <mergeCell ref="AO382:AO387"/>
    <mergeCell ref="AP382:AP387"/>
    <mergeCell ref="AQ382:AQ387"/>
    <mergeCell ref="AR382:AR387"/>
    <mergeCell ref="AS382:AS387"/>
    <mergeCell ref="AT382:AT387"/>
    <mergeCell ref="AG364:AG369"/>
    <mergeCell ref="AH364:AH369"/>
    <mergeCell ref="AI364:AI369"/>
    <mergeCell ref="AJ364:AJ369"/>
    <mergeCell ref="AK364:AK369"/>
    <mergeCell ref="AL364:AL369"/>
    <mergeCell ref="AM364:AM369"/>
    <mergeCell ref="AU370:AU375"/>
    <mergeCell ref="AV370:AV375"/>
    <mergeCell ref="AW370:AW375"/>
    <mergeCell ref="AX370:AX375"/>
    <mergeCell ref="AW376:AW381"/>
    <mergeCell ref="AX376:AX381"/>
    <mergeCell ref="AG376:AG381"/>
    <mergeCell ref="AH376:AH381"/>
    <mergeCell ref="AI376:AI381"/>
    <mergeCell ref="AJ376:AJ381"/>
    <mergeCell ref="AK376:AK381"/>
    <mergeCell ref="AL376:AL381"/>
    <mergeCell ref="AM376:AM381"/>
    <mergeCell ref="AN370:AN375"/>
    <mergeCell ref="AO370:AO375"/>
    <mergeCell ref="AP370:AP375"/>
    <mergeCell ref="AS358:AS363"/>
    <mergeCell ref="AT358:AT363"/>
    <mergeCell ref="AU358:AU363"/>
    <mergeCell ref="AV358:AV363"/>
    <mergeCell ref="AW358:AW363"/>
    <mergeCell ref="AX358:AX363"/>
    <mergeCell ref="AL358:AL363"/>
    <mergeCell ref="AM358:AM363"/>
    <mergeCell ref="AN358:AN363"/>
    <mergeCell ref="AO358:AO363"/>
    <mergeCell ref="AP358:AP363"/>
    <mergeCell ref="AQ358:AQ363"/>
    <mergeCell ref="AR358:AR363"/>
    <mergeCell ref="AU364:AU369"/>
    <mergeCell ref="AV364:AV369"/>
    <mergeCell ref="AW364:AW369"/>
    <mergeCell ref="AX364:AX369"/>
    <mergeCell ref="AN364:AN369"/>
    <mergeCell ref="AO364:AO369"/>
    <mergeCell ref="AP364:AP369"/>
    <mergeCell ref="AQ364:AQ369"/>
    <mergeCell ref="AR364:AR369"/>
    <mergeCell ref="AS364:AS369"/>
    <mergeCell ref="AT364:AT369"/>
    <mergeCell ref="AQ370:AQ375"/>
    <mergeCell ref="AR370:AR375"/>
    <mergeCell ref="AS370:AS375"/>
    <mergeCell ref="AT370:AT375"/>
    <mergeCell ref="AG370:AG375"/>
    <mergeCell ref="AH370:AH375"/>
    <mergeCell ref="AI370:AI375"/>
    <mergeCell ref="AJ370:AJ375"/>
    <mergeCell ref="AK370:AK375"/>
    <mergeCell ref="AL370:AL375"/>
    <mergeCell ref="AM370:AM375"/>
    <mergeCell ref="AU376:AU381"/>
    <mergeCell ref="AV376:AV381"/>
    <mergeCell ref="AN376:AN381"/>
    <mergeCell ref="AO376:AO381"/>
    <mergeCell ref="AP376:AP381"/>
    <mergeCell ref="AQ376:AQ381"/>
    <mergeCell ref="AR376:AR381"/>
    <mergeCell ref="AS376:AS381"/>
    <mergeCell ref="AT376:AT381"/>
    <mergeCell ref="AY298:AY333"/>
    <mergeCell ref="AX310:AX315"/>
    <mergeCell ref="AJ334:AJ339"/>
    <mergeCell ref="AK334:AK339"/>
    <mergeCell ref="AL334:AL339"/>
    <mergeCell ref="AM334:AM339"/>
    <mergeCell ref="AN334:AN339"/>
    <mergeCell ref="AO334:AO339"/>
    <mergeCell ref="AP334:AP339"/>
    <mergeCell ref="AQ334:AQ339"/>
    <mergeCell ref="AR334:AR339"/>
    <mergeCell ref="AS334:AS339"/>
    <mergeCell ref="AT334:AT339"/>
    <mergeCell ref="AU334:AU339"/>
    <mergeCell ref="AW328:AW333"/>
    <mergeCell ref="AM328:AM333"/>
    <mergeCell ref="AN328:AN333"/>
    <mergeCell ref="AO328:AO333"/>
    <mergeCell ref="AP328:AP333"/>
    <mergeCell ref="AQ328:AQ333"/>
    <mergeCell ref="AV322:AV327"/>
    <mergeCell ref="AW322:AW327"/>
    <mergeCell ref="AS322:AS327"/>
    <mergeCell ref="AU322:AU327"/>
    <mergeCell ref="AT310:AT315"/>
    <mergeCell ref="AU310:AU315"/>
    <mergeCell ref="AV328:AV333"/>
    <mergeCell ref="AX328:AX333"/>
    <mergeCell ref="AS310:AS315"/>
    <mergeCell ref="AU304:AU309"/>
    <mergeCell ref="AT322:AT327"/>
    <mergeCell ref="AV304:AV309"/>
    <mergeCell ref="AF322:AF327"/>
    <mergeCell ref="AG322:AG327"/>
    <mergeCell ref="AH322:AH327"/>
    <mergeCell ref="AI322:AI327"/>
    <mergeCell ref="AJ322:AJ327"/>
    <mergeCell ref="AN322:AN327"/>
    <mergeCell ref="AO322:AO327"/>
    <mergeCell ref="AP322:AP327"/>
    <mergeCell ref="AQ322:AQ327"/>
    <mergeCell ref="AR322:AR327"/>
    <mergeCell ref="AF334:AF339"/>
    <mergeCell ref="AG334:AG339"/>
    <mergeCell ref="AH334:AH339"/>
    <mergeCell ref="AI334:AI339"/>
    <mergeCell ref="AX334:AX339"/>
    <mergeCell ref="AT298:AT303"/>
    <mergeCell ref="AU298:AU303"/>
    <mergeCell ref="AV298:AV303"/>
    <mergeCell ref="AW298:AW303"/>
    <mergeCell ref="AX298:AX303"/>
    <mergeCell ref="AF328:AF333"/>
    <mergeCell ref="AG328:AG333"/>
    <mergeCell ref="AH328:AH333"/>
    <mergeCell ref="AI328:AI333"/>
    <mergeCell ref="AJ328:AJ333"/>
    <mergeCell ref="AK328:AK333"/>
    <mergeCell ref="AL328:AL333"/>
    <mergeCell ref="AT328:AT333"/>
    <mergeCell ref="AU328:AU333"/>
    <mergeCell ref="AG304:AG309"/>
    <mergeCell ref="AH304:AH309"/>
    <mergeCell ref="AI304:AI309"/>
    <mergeCell ref="AR328:AR333"/>
    <mergeCell ref="AS328:AS333"/>
    <mergeCell ref="AK322:AK327"/>
    <mergeCell ref="AL322:AL327"/>
    <mergeCell ref="AM322:AM327"/>
    <mergeCell ref="AM298:AM303"/>
    <mergeCell ref="AN298:AN303"/>
    <mergeCell ref="AO298:AO303"/>
    <mergeCell ref="AP298:AP303"/>
    <mergeCell ref="AQ298:AQ303"/>
    <mergeCell ref="AR298:AR303"/>
    <mergeCell ref="AS298:AS303"/>
    <mergeCell ref="AN304:AN309"/>
    <mergeCell ref="AO304:AO309"/>
    <mergeCell ref="AP304:AP309"/>
    <mergeCell ref="AQ304:AQ309"/>
    <mergeCell ref="AR304:AR309"/>
    <mergeCell ref="AS304:AS309"/>
    <mergeCell ref="AK304:AK309"/>
    <mergeCell ref="AL304:AL309"/>
    <mergeCell ref="AM304:AM309"/>
    <mergeCell ref="AM310:AM315"/>
    <mergeCell ref="AN310:AN315"/>
    <mergeCell ref="AO310:AO315"/>
    <mergeCell ref="AP310:AP315"/>
    <mergeCell ref="AQ310:AQ315"/>
    <mergeCell ref="AR310:AR315"/>
    <mergeCell ref="AW304:AW309"/>
    <mergeCell ref="AX304:AX309"/>
    <mergeCell ref="AT304:AT309"/>
    <mergeCell ref="AF316:AF321"/>
    <mergeCell ref="AG316:AG321"/>
    <mergeCell ref="AH316:AH321"/>
    <mergeCell ref="AI316:AI321"/>
    <mergeCell ref="AJ316:AJ321"/>
    <mergeCell ref="AK316:AK321"/>
    <mergeCell ref="AL316:AL321"/>
    <mergeCell ref="AT316:AT321"/>
    <mergeCell ref="AU316:AU321"/>
    <mergeCell ref="AV316:AV321"/>
    <mergeCell ref="AW316:AW321"/>
    <mergeCell ref="AX316:AX321"/>
    <mergeCell ref="AM316:AM321"/>
    <mergeCell ref="AN316:AN321"/>
    <mergeCell ref="AO316:AO321"/>
    <mergeCell ref="AP316:AP321"/>
    <mergeCell ref="AQ316:AQ321"/>
    <mergeCell ref="AR316:AR321"/>
    <mergeCell ref="AS316:AS321"/>
    <mergeCell ref="AJ310:AJ315"/>
    <mergeCell ref="AK310:AK315"/>
    <mergeCell ref="AL310:AL315"/>
    <mergeCell ref="AV310:AV315"/>
    <mergeCell ref="AW310:AW315"/>
    <mergeCell ref="AF310:AF315"/>
    <mergeCell ref="AG310:AG315"/>
    <mergeCell ref="AH310:AH315"/>
    <mergeCell ref="AI310:AI315"/>
    <mergeCell ref="AJ304:AJ309"/>
    <mergeCell ref="AV124:AV129"/>
    <mergeCell ref="AW124:AW129"/>
    <mergeCell ref="AX124:AX129"/>
    <mergeCell ref="AN124:AN129"/>
    <mergeCell ref="AO124:AO129"/>
    <mergeCell ref="AP124:AP129"/>
    <mergeCell ref="AQ124:AQ129"/>
    <mergeCell ref="AR124:AR129"/>
    <mergeCell ref="AS124:AS129"/>
    <mergeCell ref="AT124:AT129"/>
    <mergeCell ref="AG124:AG129"/>
    <mergeCell ref="AH124:AH129"/>
    <mergeCell ref="AI124:AI129"/>
    <mergeCell ref="AJ124:AJ129"/>
    <mergeCell ref="AK124:AK129"/>
    <mergeCell ref="AL124:AL129"/>
    <mergeCell ref="AM124:AM129"/>
    <mergeCell ref="AF298:AF303"/>
    <mergeCell ref="AG298:AG303"/>
    <mergeCell ref="AH298:AH303"/>
    <mergeCell ref="AI298:AI303"/>
    <mergeCell ref="AJ298:AJ303"/>
    <mergeCell ref="AK298:AK303"/>
    <mergeCell ref="AL298:AL303"/>
    <mergeCell ref="AM22:AM27"/>
    <mergeCell ref="AN22:AN27"/>
    <mergeCell ref="AT16:AT21"/>
    <mergeCell ref="AU16:AU21"/>
    <mergeCell ref="AF22:AF27"/>
    <mergeCell ref="AG22:AG27"/>
    <mergeCell ref="AH22:AH27"/>
    <mergeCell ref="AI22:AI27"/>
    <mergeCell ref="AJ22:AJ27"/>
    <mergeCell ref="AM16:AM21"/>
    <mergeCell ref="AN16:AN21"/>
    <mergeCell ref="AF16:AF21"/>
    <mergeCell ref="AG16:AG21"/>
    <mergeCell ref="AH16:AH21"/>
    <mergeCell ref="AI16:AI21"/>
    <mergeCell ref="AJ16:AJ21"/>
    <mergeCell ref="AK16:AK21"/>
    <mergeCell ref="AL16:AL21"/>
    <mergeCell ref="AU124:AU129"/>
    <mergeCell ref="AT130:AT135"/>
    <mergeCell ref="AU130:AU135"/>
    <mergeCell ref="AF136:AF141"/>
    <mergeCell ref="AG136:AG141"/>
    <mergeCell ref="AH136:AH141"/>
    <mergeCell ref="AI136:AI141"/>
    <mergeCell ref="AW286:AW291"/>
    <mergeCell ref="AX286:AX291"/>
    <mergeCell ref="AN286:AN291"/>
    <mergeCell ref="AO286:AO291"/>
    <mergeCell ref="AP286:AP291"/>
    <mergeCell ref="AQ286:AQ291"/>
    <mergeCell ref="AR286:AR291"/>
    <mergeCell ref="AS286:AS291"/>
    <mergeCell ref="AT286:AT291"/>
    <mergeCell ref="AG286:AG291"/>
    <mergeCell ref="AH286:AH291"/>
    <mergeCell ref="AI286:AI291"/>
    <mergeCell ref="AJ286:AJ291"/>
    <mergeCell ref="AK286:AK291"/>
    <mergeCell ref="AL286:AL291"/>
    <mergeCell ref="AM286:AM291"/>
    <mergeCell ref="AU292:AU297"/>
    <mergeCell ref="AV292:AV297"/>
    <mergeCell ref="AW292:AW297"/>
    <mergeCell ref="AX292:AX297"/>
    <mergeCell ref="AN292:AN297"/>
    <mergeCell ref="AO292:AO297"/>
    <mergeCell ref="AP292:AP297"/>
    <mergeCell ref="AQ292:AQ297"/>
    <mergeCell ref="AR292:AR297"/>
    <mergeCell ref="AS292:AS297"/>
    <mergeCell ref="AT292:AT297"/>
    <mergeCell ref="AG292:AG297"/>
    <mergeCell ref="AH292:AH297"/>
    <mergeCell ref="AI292:AI297"/>
    <mergeCell ref="AJ292:AJ297"/>
    <mergeCell ref="AK292:AK297"/>
    <mergeCell ref="AL292:AL297"/>
    <mergeCell ref="AM292:AM297"/>
    <mergeCell ref="AU280:AU285"/>
    <mergeCell ref="AV280:AV285"/>
    <mergeCell ref="AN280:AN285"/>
    <mergeCell ref="AO280:AO285"/>
    <mergeCell ref="AP280:AP285"/>
    <mergeCell ref="AQ280:AQ285"/>
    <mergeCell ref="AR280:AR285"/>
    <mergeCell ref="AS280:AS285"/>
    <mergeCell ref="AT280:AT285"/>
    <mergeCell ref="AU286:AU291"/>
    <mergeCell ref="AV286:AV291"/>
    <mergeCell ref="AF268:AF273"/>
    <mergeCell ref="AG268:AG273"/>
    <mergeCell ref="AH268:AH273"/>
    <mergeCell ref="AI268:AI273"/>
    <mergeCell ref="AJ268:AJ273"/>
    <mergeCell ref="AK268:AK273"/>
    <mergeCell ref="AL268:AL273"/>
    <mergeCell ref="AT274:AT279"/>
    <mergeCell ref="AU274:AU279"/>
    <mergeCell ref="AV274:AV279"/>
    <mergeCell ref="AW274:AW279"/>
    <mergeCell ref="AX274:AX279"/>
    <mergeCell ref="AW280:AW285"/>
    <mergeCell ref="AX280:AX285"/>
    <mergeCell ref="AG280:AG285"/>
    <mergeCell ref="AH280:AH285"/>
    <mergeCell ref="AI280:AI285"/>
    <mergeCell ref="AJ280:AJ285"/>
    <mergeCell ref="AK280:AK285"/>
    <mergeCell ref="AL280:AL285"/>
    <mergeCell ref="AM280:AM285"/>
    <mergeCell ref="AO262:AO267"/>
    <mergeCell ref="AP262:AP267"/>
    <mergeCell ref="AQ262:AQ267"/>
    <mergeCell ref="AR262:AR267"/>
    <mergeCell ref="AS262:AS267"/>
    <mergeCell ref="AT268:AT273"/>
    <mergeCell ref="AU268:AU273"/>
    <mergeCell ref="AV268:AV273"/>
    <mergeCell ref="AW268:AW273"/>
    <mergeCell ref="AX268:AX273"/>
    <mergeCell ref="AM268:AM273"/>
    <mergeCell ref="AN268:AN273"/>
    <mergeCell ref="AO268:AO273"/>
    <mergeCell ref="AP268:AP273"/>
    <mergeCell ref="AQ268:AQ273"/>
    <mergeCell ref="AR268:AR273"/>
    <mergeCell ref="AS268:AS273"/>
    <mergeCell ref="AU256:AU261"/>
    <mergeCell ref="AV256:AV261"/>
    <mergeCell ref="AW256:AW261"/>
    <mergeCell ref="AX256:AX261"/>
    <mergeCell ref="AV262:AV267"/>
    <mergeCell ref="AW262:AW267"/>
    <mergeCell ref="AX262:AX267"/>
    <mergeCell ref="AF262:AF267"/>
    <mergeCell ref="AG262:AG267"/>
    <mergeCell ref="AH262:AH267"/>
    <mergeCell ref="AI262:AI267"/>
    <mergeCell ref="AJ262:AJ267"/>
    <mergeCell ref="AK262:AK267"/>
    <mergeCell ref="AL262:AL267"/>
    <mergeCell ref="AM274:AM279"/>
    <mergeCell ref="AN274:AN279"/>
    <mergeCell ref="AO274:AO279"/>
    <mergeCell ref="AP274:AP279"/>
    <mergeCell ref="AQ274:AQ279"/>
    <mergeCell ref="AR274:AR279"/>
    <mergeCell ref="AS274:AS279"/>
    <mergeCell ref="AF274:AF279"/>
    <mergeCell ref="AG274:AG279"/>
    <mergeCell ref="AH274:AH279"/>
    <mergeCell ref="AI274:AI279"/>
    <mergeCell ref="AJ274:AJ279"/>
    <mergeCell ref="AK274:AK279"/>
    <mergeCell ref="AL274:AL279"/>
    <mergeCell ref="AT262:AT267"/>
    <mergeCell ref="AU262:AU267"/>
    <mergeCell ref="AM262:AM267"/>
    <mergeCell ref="AN262:AN267"/>
    <mergeCell ref="AQ244:AQ249"/>
    <mergeCell ref="AR244:AR249"/>
    <mergeCell ref="AS244:AS249"/>
    <mergeCell ref="AT244:AT249"/>
    <mergeCell ref="AT250:AT255"/>
    <mergeCell ref="AU250:AU255"/>
    <mergeCell ref="AV250:AV255"/>
    <mergeCell ref="AW250:AW255"/>
    <mergeCell ref="AX250:AX255"/>
    <mergeCell ref="AM250:AM255"/>
    <mergeCell ref="AN250:AN255"/>
    <mergeCell ref="AO250:AO255"/>
    <mergeCell ref="AP250:AP255"/>
    <mergeCell ref="AQ250:AQ255"/>
    <mergeCell ref="AR250:AR255"/>
    <mergeCell ref="AS250:AS255"/>
    <mergeCell ref="AF250:AF255"/>
    <mergeCell ref="AG250:AG255"/>
    <mergeCell ref="AH250:AH255"/>
    <mergeCell ref="AI250:AI255"/>
    <mergeCell ref="AJ250:AJ255"/>
    <mergeCell ref="AK250:AK255"/>
    <mergeCell ref="AL250:AL255"/>
    <mergeCell ref="AU238:AU243"/>
    <mergeCell ref="AV238:AV243"/>
    <mergeCell ref="AW238:AW243"/>
    <mergeCell ref="AX238:AX243"/>
    <mergeCell ref="AW244:AW249"/>
    <mergeCell ref="AX244:AX249"/>
    <mergeCell ref="AG244:AG249"/>
    <mergeCell ref="AH244:AH249"/>
    <mergeCell ref="AI244:AI249"/>
    <mergeCell ref="AJ244:AJ249"/>
    <mergeCell ref="AK244:AK249"/>
    <mergeCell ref="AL244:AL249"/>
    <mergeCell ref="AM244:AM249"/>
    <mergeCell ref="AN256:AN261"/>
    <mergeCell ref="AO256:AO261"/>
    <mergeCell ref="AP256:AP261"/>
    <mergeCell ref="AQ256:AQ261"/>
    <mergeCell ref="AR256:AR261"/>
    <mergeCell ref="AS256:AS261"/>
    <mergeCell ref="AT256:AT261"/>
    <mergeCell ref="AG256:AG261"/>
    <mergeCell ref="AH256:AH261"/>
    <mergeCell ref="AI256:AI261"/>
    <mergeCell ref="AJ256:AJ261"/>
    <mergeCell ref="AK256:AK261"/>
    <mergeCell ref="AL256:AL261"/>
    <mergeCell ref="AM256:AM261"/>
    <mergeCell ref="AU244:AU249"/>
    <mergeCell ref="AV244:AV249"/>
    <mergeCell ref="AN244:AN249"/>
    <mergeCell ref="AO244:AO249"/>
    <mergeCell ref="AP244:AP249"/>
    <mergeCell ref="AF130:AF135"/>
    <mergeCell ref="AG130:AG135"/>
    <mergeCell ref="AH130:AH135"/>
    <mergeCell ref="AI130:AI135"/>
    <mergeCell ref="AJ130:AJ135"/>
    <mergeCell ref="AK130:AK135"/>
    <mergeCell ref="AL130:AL135"/>
    <mergeCell ref="AT232:AT237"/>
    <mergeCell ref="AU232:AU237"/>
    <mergeCell ref="AV232:AV237"/>
    <mergeCell ref="AW232:AW237"/>
    <mergeCell ref="AX232:AX237"/>
    <mergeCell ref="AM232:AM237"/>
    <mergeCell ref="AN232:AN237"/>
    <mergeCell ref="AO232:AO237"/>
    <mergeCell ref="AP232:AP237"/>
    <mergeCell ref="AQ232:AQ237"/>
    <mergeCell ref="AR232:AR237"/>
    <mergeCell ref="AS232:AS237"/>
    <mergeCell ref="AF232:AF237"/>
    <mergeCell ref="AG232:AG237"/>
    <mergeCell ref="AH232:AH237"/>
    <mergeCell ref="AI232:AI237"/>
    <mergeCell ref="AJ232:AJ237"/>
    <mergeCell ref="AK232:AK237"/>
    <mergeCell ref="AL232:AL237"/>
    <mergeCell ref="AV130:AV135"/>
    <mergeCell ref="AW130:AW135"/>
    <mergeCell ref="AX130:AX135"/>
    <mergeCell ref="AV136:AV141"/>
    <mergeCell ref="AW136:AW141"/>
    <mergeCell ref="AX136:AX141"/>
    <mergeCell ref="AN238:AN243"/>
    <mergeCell ref="AO238:AO243"/>
    <mergeCell ref="AP238:AP243"/>
    <mergeCell ref="AQ238:AQ243"/>
    <mergeCell ref="AR238:AR243"/>
    <mergeCell ref="AS238:AS243"/>
    <mergeCell ref="AT238:AT243"/>
    <mergeCell ref="AG238:AG243"/>
    <mergeCell ref="AH238:AH243"/>
    <mergeCell ref="AI238:AI243"/>
    <mergeCell ref="AJ238:AJ243"/>
    <mergeCell ref="AK238:AK243"/>
    <mergeCell ref="AL238:AL243"/>
    <mergeCell ref="AM238:AM243"/>
    <mergeCell ref="AM130:AM135"/>
    <mergeCell ref="AN130:AN135"/>
    <mergeCell ref="AO130:AO135"/>
    <mergeCell ref="AP130:AP135"/>
    <mergeCell ref="AQ130:AQ135"/>
    <mergeCell ref="AR130:AR135"/>
    <mergeCell ref="AS130:AS135"/>
    <mergeCell ref="AJ136:AJ141"/>
    <mergeCell ref="AK136:AK141"/>
    <mergeCell ref="AL136:AL141"/>
    <mergeCell ref="AT208:AT213"/>
    <mergeCell ref="AT202:AT207"/>
    <mergeCell ref="AT196:AT201"/>
    <mergeCell ref="AL184:AL189"/>
    <mergeCell ref="AM184:AM189"/>
    <mergeCell ref="AT172:AT177"/>
    <mergeCell ref="AP136:AP141"/>
    <mergeCell ref="AQ136:AQ141"/>
    <mergeCell ref="AT220:AT225"/>
    <mergeCell ref="AU220:AU225"/>
    <mergeCell ref="AV220:AV225"/>
    <mergeCell ref="AW220:AW225"/>
    <mergeCell ref="AX220:AX225"/>
    <mergeCell ref="AV226:AV231"/>
    <mergeCell ref="AW226:AW231"/>
    <mergeCell ref="AX226:AX231"/>
    <mergeCell ref="AF226:AF231"/>
    <mergeCell ref="AG226:AG231"/>
    <mergeCell ref="AH226:AH231"/>
    <mergeCell ref="AI226:AI231"/>
    <mergeCell ref="AJ226:AJ231"/>
    <mergeCell ref="AK226:AK231"/>
    <mergeCell ref="AL226:AL231"/>
    <mergeCell ref="AT226:AT231"/>
    <mergeCell ref="AU226:AU231"/>
    <mergeCell ref="AM226:AM231"/>
    <mergeCell ref="AN226:AN231"/>
    <mergeCell ref="AO226:AO231"/>
    <mergeCell ref="AP226:AP231"/>
    <mergeCell ref="AQ226:AQ231"/>
    <mergeCell ref="AR226:AR231"/>
    <mergeCell ref="AS226:AS231"/>
    <mergeCell ref="AM208:AM213"/>
    <mergeCell ref="AN208:AN213"/>
    <mergeCell ref="AO208:AO213"/>
    <mergeCell ref="AP208:AP213"/>
    <mergeCell ref="AQ208:AQ213"/>
    <mergeCell ref="AR208:AR213"/>
    <mergeCell ref="AS208:AS213"/>
    <mergeCell ref="AT214:AT219"/>
    <mergeCell ref="AU214:AU219"/>
    <mergeCell ref="AM214:AM219"/>
    <mergeCell ref="AN214:AN219"/>
    <mergeCell ref="AO214:AO219"/>
    <mergeCell ref="AP214:AP219"/>
    <mergeCell ref="AQ214:AQ219"/>
    <mergeCell ref="AR214:AR219"/>
    <mergeCell ref="AS214:AS219"/>
    <mergeCell ref="AF214:AF219"/>
    <mergeCell ref="AG214:AG219"/>
    <mergeCell ref="AH214:AH219"/>
    <mergeCell ref="AI214:AI219"/>
    <mergeCell ref="AJ214:AJ219"/>
    <mergeCell ref="AK214:AK219"/>
    <mergeCell ref="AL214:AL219"/>
    <mergeCell ref="AU202:AU207"/>
    <mergeCell ref="AV202:AV207"/>
    <mergeCell ref="AW202:AW207"/>
    <mergeCell ref="AX202:AX207"/>
    <mergeCell ref="AV208:AV213"/>
    <mergeCell ref="AW208:AW213"/>
    <mergeCell ref="AX208:AX213"/>
    <mergeCell ref="AF208:AF213"/>
    <mergeCell ref="AG208:AG213"/>
    <mergeCell ref="AH208:AH213"/>
    <mergeCell ref="AI208:AI213"/>
    <mergeCell ref="AJ208:AJ213"/>
    <mergeCell ref="AK208:AK213"/>
    <mergeCell ref="AL208:AL213"/>
    <mergeCell ref="AM220:AM225"/>
    <mergeCell ref="AN220:AN225"/>
    <mergeCell ref="AO220:AO225"/>
    <mergeCell ref="AP220:AP225"/>
    <mergeCell ref="AQ220:AQ225"/>
    <mergeCell ref="AR220:AR225"/>
    <mergeCell ref="AS220:AS225"/>
    <mergeCell ref="AF220:AF225"/>
    <mergeCell ref="AG220:AG225"/>
    <mergeCell ref="AH220:AH225"/>
    <mergeCell ref="AI220:AI225"/>
    <mergeCell ref="AJ220:AJ225"/>
    <mergeCell ref="AK220:AK225"/>
    <mergeCell ref="AL220:AL225"/>
    <mergeCell ref="AV214:AV219"/>
    <mergeCell ref="AW214:AW219"/>
    <mergeCell ref="AX214:AX219"/>
    <mergeCell ref="AU208:AU213"/>
    <mergeCell ref="AU196:AU201"/>
    <mergeCell ref="AV196:AV201"/>
    <mergeCell ref="AW196:AW201"/>
    <mergeCell ref="AX196:AX201"/>
    <mergeCell ref="AM196:AM201"/>
    <mergeCell ref="AN196:AN201"/>
    <mergeCell ref="AO196:AO201"/>
    <mergeCell ref="AP196:AP201"/>
    <mergeCell ref="AQ196:AQ201"/>
    <mergeCell ref="AR196:AR201"/>
    <mergeCell ref="AS196:AS201"/>
    <mergeCell ref="AF196:AF201"/>
    <mergeCell ref="AG196:AG201"/>
    <mergeCell ref="AH196:AH201"/>
    <mergeCell ref="AI196:AI201"/>
    <mergeCell ref="AJ196:AJ201"/>
    <mergeCell ref="AK196:AK201"/>
    <mergeCell ref="AL196:AL201"/>
    <mergeCell ref="AW190:AW195"/>
    <mergeCell ref="AX190:AX195"/>
    <mergeCell ref="AG190:AG195"/>
    <mergeCell ref="AH190:AH195"/>
    <mergeCell ref="AI190:AI195"/>
    <mergeCell ref="AJ190:AJ195"/>
    <mergeCell ref="AK190:AK195"/>
    <mergeCell ref="AL190:AL195"/>
    <mergeCell ref="AM190:AM195"/>
    <mergeCell ref="AM202:AM207"/>
    <mergeCell ref="AN202:AN207"/>
    <mergeCell ref="AO202:AO207"/>
    <mergeCell ref="AP202:AP207"/>
    <mergeCell ref="AQ202:AQ207"/>
    <mergeCell ref="AR202:AR207"/>
    <mergeCell ref="AS202:AS207"/>
    <mergeCell ref="AF202:AF207"/>
    <mergeCell ref="AG202:AG207"/>
    <mergeCell ref="AH202:AH207"/>
    <mergeCell ref="AI202:AI207"/>
    <mergeCell ref="AJ202:AJ207"/>
    <mergeCell ref="AK202:AK207"/>
    <mergeCell ref="AL202:AL207"/>
    <mergeCell ref="AU190:AU195"/>
    <mergeCell ref="AV190:AV195"/>
    <mergeCell ref="AN190:AN195"/>
    <mergeCell ref="AO190:AO195"/>
    <mergeCell ref="AP190:AP195"/>
    <mergeCell ref="AQ190:AQ195"/>
    <mergeCell ref="AR190:AR195"/>
    <mergeCell ref="AS190:AS195"/>
    <mergeCell ref="AT190:AT195"/>
    <mergeCell ref="AW178:AW183"/>
    <mergeCell ref="AX178:AX183"/>
    <mergeCell ref="AN178:AN183"/>
    <mergeCell ref="AO178:AO183"/>
    <mergeCell ref="AP178:AP183"/>
    <mergeCell ref="AQ178:AQ183"/>
    <mergeCell ref="AR178:AR183"/>
    <mergeCell ref="AS178:AS183"/>
    <mergeCell ref="AT178:AT183"/>
    <mergeCell ref="AG178:AG183"/>
    <mergeCell ref="AH178:AH183"/>
    <mergeCell ref="AI178:AI183"/>
    <mergeCell ref="AJ178:AJ183"/>
    <mergeCell ref="AK178:AK183"/>
    <mergeCell ref="AL178:AL183"/>
    <mergeCell ref="AM178:AM183"/>
    <mergeCell ref="AU184:AU189"/>
    <mergeCell ref="AV184:AV189"/>
    <mergeCell ref="AW184:AW189"/>
    <mergeCell ref="AX184:AX189"/>
    <mergeCell ref="AN184:AN189"/>
    <mergeCell ref="AO184:AO189"/>
    <mergeCell ref="AP184:AP189"/>
    <mergeCell ref="AQ184:AQ189"/>
    <mergeCell ref="AR184:AR189"/>
    <mergeCell ref="AS184:AS189"/>
    <mergeCell ref="AT184:AT189"/>
    <mergeCell ref="AG184:AG189"/>
    <mergeCell ref="AH184:AH189"/>
    <mergeCell ref="AI184:AI189"/>
    <mergeCell ref="AJ184:AJ189"/>
    <mergeCell ref="AK184:AK189"/>
    <mergeCell ref="AO172:AO177"/>
    <mergeCell ref="AP172:AP177"/>
    <mergeCell ref="AQ172:AQ177"/>
    <mergeCell ref="AR172:AR177"/>
    <mergeCell ref="AS172:AS177"/>
    <mergeCell ref="AU178:AU183"/>
    <mergeCell ref="AV178:AV183"/>
    <mergeCell ref="AF160:AF165"/>
    <mergeCell ref="AG160:AG165"/>
    <mergeCell ref="AH160:AH165"/>
    <mergeCell ref="AI160:AI165"/>
    <mergeCell ref="AJ160:AJ165"/>
    <mergeCell ref="AK160:AK165"/>
    <mergeCell ref="AL160:AL165"/>
    <mergeCell ref="AT166:AT171"/>
    <mergeCell ref="AU166:AU171"/>
    <mergeCell ref="AV166:AV171"/>
    <mergeCell ref="AW166:AW171"/>
    <mergeCell ref="AX166:AX171"/>
    <mergeCell ref="AF172:AF177"/>
    <mergeCell ref="AG172:AG177"/>
    <mergeCell ref="AH172:AH177"/>
    <mergeCell ref="AI172:AI177"/>
    <mergeCell ref="AJ172:AJ177"/>
    <mergeCell ref="AK172:AK177"/>
    <mergeCell ref="AL172:AL177"/>
    <mergeCell ref="AW172:AW177"/>
    <mergeCell ref="AX172:AX177"/>
    <mergeCell ref="AO154:AO159"/>
    <mergeCell ref="AP154:AP159"/>
    <mergeCell ref="AQ154:AQ159"/>
    <mergeCell ref="AR154:AR159"/>
    <mergeCell ref="AS154:AS159"/>
    <mergeCell ref="AT160:AT165"/>
    <mergeCell ref="AU160:AU165"/>
    <mergeCell ref="AV160:AV165"/>
    <mergeCell ref="AW160:AW165"/>
    <mergeCell ref="AX160:AX165"/>
    <mergeCell ref="AM160:AM165"/>
    <mergeCell ref="AN160:AN165"/>
    <mergeCell ref="AO160:AO165"/>
    <mergeCell ref="AP160:AP165"/>
    <mergeCell ref="AQ160:AQ165"/>
    <mergeCell ref="AR160:AR165"/>
    <mergeCell ref="AS160:AS165"/>
    <mergeCell ref="AU172:AU177"/>
    <mergeCell ref="AV172:AV177"/>
    <mergeCell ref="AM172:AM177"/>
    <mergeCell ref="AN172:AN177"/>
    <mergeCell ref="AU148:AU153"/>
    <mergeCell ref="AV148:AV153"/>
    <mergeCell ref="AW148:AW153"/>
    <mergeCell ref="AX148:AX153"/>
    <mergeCell ref="AV154:AV159"/>
    <mergeCell ref="AW154:AW159"/>
    <mergeCell ref="AX154:AX159"/>
    <mergeCell ref="AF154:AF159"/>
    <mergeCell ref="AG154:AG159"/>
    <mergeCell ref="AH154:AH159"/>
    <mergeCell ref="AI154:AI159"/>
    <mergeCell ref="AJ154:AJ159"/>
    <mergeCell ref="AK154:AK159"/>
    <mergeCell ref="AL154:AL159"/>
    <mergeCell ref="AM166:AM171"/>
    <mergeCell ref="AN166:AN171"/>
    <mergeCell ref="AO166:AO171"/>
    <mergeCell ref="AP166:AP171"/>
    <mergeCell ref="AQ166:AQ171"/>
    <mergeCell ref="AR166:AR171"/>
    <mergeCell ref="AS166:AS171"/>
    <mergeCell ref="AF166:AF171"/>
    <mergeCell ref="AG166:AG171"/>
    <mergeCell ref="AH166:AH171"/>
    <mergeCell ref="AI166:AI171"/>
    <mergeCell ref="AJ166:AJ171"/>
    <mergeCell ref="AK166:AK171"/>
    <mergeCell ref="AL166:AL171"/>
    <mergeCell ref="AT154:AT159"/>
    <mergeCell ref="AU154:AU159"/>
    <mergeCell ref="AM154:AM159"/>
    <mergeCell ref="AN154:AN159"/>
    <mergeCell ref="AR136:AR141"/>
    <mergeCell ref="AS136:AS141"/>
    <mergeCell ref="AT142:AT147"/>
    <mergeCell ref="AU142:AU147"/>
    <mergeCell ref="AV142:AV147"/>
    <mergeCell ref="AW142:AW147"/>
    <mergeCell ref="AX142:AX147"/>
    <mergeCell ref="AM142:AM147"/>
    <mergeCell ref="AN142:AN147"/>
    <mergeCell ref="AO142:AO147"/>
    <mergeCell ref="AP142:AP147"/>
    <mergeCell ref="AQ142:AQ147"/>
    <mergeCell ref="AR142:AR147"/>
    <mergeCell ref="AS142:AS147"/>
    <mergeCell ref="AF142:AF147"/>
    <mergeCell ref="AG142:AG147"/>
    <mergeCell ref="AH142:AH147"/>
    <mergeCell ref="AI142:AI147"/>
    <mergeCell ref="AJ142:AJ147"/>
    <mergeCell ref="AK142:AK147"/>
    <mergeCell ref="AL142:AL147"/>
    <mergeCell ref="AV112:AV117"/>
    <mergeCell ref="AW112:AW117"/>
    <mergeCell ref="AX112:AX117"/>
    <mergeCell ref="AV118:AV123"/>
    <mergeCell ref="AW118:AW123"/>
    <mergeCell ref="AX118:AX123"/>
    <mergeCell ref="AF118:AF123"/>
    <mergeCell ref="AG118:AG123"/>
    <mergeCell ref="AH118:AH123"/>
    <mergeCell ref="AI118:AI123"/>
    <mergeCell ref="AJ118:AJ123"/>
    <mergeCell ref="AK118:AK123"/>
    <mergeCell ref="AL118:AL123"/>
    <mergeCell ref="AN148:AN153"/>
    <mergeCell ref="AO148:AO153"/>
    <mergeCell ref="AP148:AP153"/>
    <mergeCell ref="AQ148:AQ153"/>
    <mergeCell ref="AR148:AR153"/>
    <mergeCell ref="AS148:AS153"/>
    <mergeCell ref="AT148:AT153"/>
    <mergeCell ref="AG148:AG153"/>
    <mergeCell ref="AH148:AH153"/>
    <mergeCell ref="AI148:AI153"/>
    <mergeCell ref="AJ148:AJ153"/>
    <mergeCell ref="AK148:AK153"/>
    <mergeCell ref="AL148:AL153"/>
    <mergeCell ref="AM148:AM153"/>
    <mergeCell ref="AT136:AT141"/>
    <mergeCell ref="AU136:AU141"/>
    <mergeCell ref="AM136:AM141"/>
    <mergeCell ref="AN136:AN141"/>
    <mergeCell ref="AO136:AO141"/>
    <mergeCell ref="AF112:AF117"/>
    <mergeCell ref="AG112:AG117"/>
    <mergeCell ref="AH112:AH117"/>
    <mergeCell ref="AI112:AI117"/>
    <mergeCell ref="AJ112:AJ117"/>
    <mergeCell ref="AK112:AK117"/>
    <mergeCell ref="AL112:AL117"/>
    <mergeCell ref="AT118:AT123"/>
    <mergeCell ref="AU118:AU123"/>
    <mergeCell ref="AM118:AM123"/>
    <mergeCell ref="AN118:AN123"/>
    <mergeCell ref="AO118:AO123"/>
    <mergeCell ref="AP118:AP123"/>
    <mergeCell ref="AQ118:AQ123"/>
    <mergeCell ref="AR118:AR123"/>
    <mergeCell ref="AS118:AS123"/>
    <mergeCell ref="AU100:AU105"/>
    <mergeCell ref="AN100:AN105"/>
    <mergeCell ref="AO100:AO105"/>
    <mergeCell ref="AP100:AP105"/>
    <mergeCell ref="AQ100:AQ105"/>
    <mergeCell ref="AR100:AR105"/>
    <mergeCell ref="AS100:AS105"/>
    <mergeCell ref="AT100:AT105"/>
    <mergeCell ref="AU106:AU111"/>
    <mergeCell ref="AN106:AN111"/>
    <mergeCell ref="AO106:AO111"/>
    <mergeCell ref="AP106:AP111"/>
    <mergeCell ref="AQ106:AQ111"/>
    <mergeCell ref="AR106:AR111"/>
    <mergeCell ref="AS106:AS111"/>
    <mergeCell ref="AT106:AT111"/>
    <mergeCell ref="AV94:AV99"/>
    <mergeCell ref="AW94:AW99"/>
    <mergeCell ref="AX94:AX99"/>
    <mergeCell ref="AW100:AW105"/>
    <mergeCell ref="AX100:AX105"/>
    <mergeCell ref="AG100:AG105"/>
    <mergeCell ref="AH100:AH105"/>
    <mergeCell ref="AI100:AI105"/>
    <mergeCell ref="AJ100:AJ105"/>
    <mergeCell ref="AK100:AK105"/>
    <mergeCell ref="AL100:AL105"/>
    <mergeCell ref="AM100:AM105"/>
    <mergeCell ref="AM112:AM117"/>
    <mergeCell ref="AN112:AN117"/>
    <mergeCell ref="AO112:AO117"/>
    <mergeCell ref="AP112:AP117"/>
    <mergeCell ref="AQ112:AQ117"/>
    <mergeCell ref="AR112:AR117"/>
    <mergeCell ref="AS112:AS117"/>
    <mergeCell ref="AV100:AV105"/>
    <mergeCell ref="AV106:AV111"/>
    <mergeCell ref="AW106:AW111"/>
    <mergeCell ref="AX106:AX111"/>
    <mergeCell ref="AG106:AG111"/>
    <mergeCell ref="AH106:AH111"/>
    <mergeCell ref="AI106:AI111"/>
    <mergeCell ref="AJ106:AJ111"/>
    <mergeCell ref="AK106:AK111"/>
    <mergeCell ref="AL106:AL111"/>
    <mergeCell ref="AM106:AM111"/>
    <mergeCell ref="AT112:AT117"/>
    <mergeCell ref="AU112:AU117"/>
    <mergeCell ref="AV88:AV93"/>
    <mergeCell ref="AW88:AW93"/>
    <mergeCell ref="AX88:AX93"/>
    <mergeCell ref="AM88:AM93"/>
    <mergeCell ref="AN88:AN93"/>
    <mergeCell ref="AO88:AO93"/>
    <mergeCell ref="AP88:AP93"/>
    <mergeCell ref="AQ88:AQ93"/>
    <mergeCell ref="AR88:AR93"/>
    <mergeCell ref="AS88:AS93"/>
    <mergeCell ref="AF88:AF93"/>
    <mergeCell ref="AG88:AG93"/>
    <mergeCell ref="AH88:AH93"/>
    <mergeCell ref="AI88:AI93"/>
    <mergeCell ref="AJ88:AJ93"/>
    <mergeCell ref="AK88:AK93"/>
    <mergeCell ref="AL88:AL93"/>
    <mergeCell ref="AN94:AN99"/>
    <mergeCell ref="AO94:AO99"/>
    <mergeCell ref="AP94:AP99"/>
    <mergeCell ref="AQ94:AQ99"/>
    <mergeCell ref="AR94:AR99"/>
    <mergeCell ref="AS94:AS99"/>
    <mergeCell ref="AT94:AT99"/>
    <mergeCell ref="AG94:AG99"/>
    <mergeCell ref="AH94:AH99"/>
    <mergeCell ref="AI94:AI99"/>
    <mergeCell ref="AJ94:AJ99"/>
    <mergeCell ref="AK94:AK99"/>
    <mergeCell ref="AL94:AL99"/>
    <mergeCell ref="AM94:AM99"/>
    <mergeCell ref="AT82:AT87"/>
    <mergeCell ref="AU82:AU87"/>
    <mergeCell ref="AM82:AM87"/>
    <mergeCell ref="AN82:AN87"/>
    <mergeCell ref="AO82:AO87"/>
    <mergeCell ref="AP82:AP87"/>
    <mergeCell ref="AQ82:AQ87"/>
    <mergeCell ref="AR82:AR87"/>
    <mergeCell ref="AS82:AS87"/>
    <mergeCell ref="AT88:AT93"/>
    <mergeCell ref="AU88:AU93"/>
    <mergeCell ref="AU94:AU99"/>
    <mergeCell ref="AF70:AF75"/>
    <mergeCell ref="AG70:AG75"/>
    <mergeCell ref="AH70:AH75"/>
    <mergeCell ref="AI70:AI75"/>
    <mergeCell ref="AJ70:AJ75"/>
    <mergeCell ref="AK70:AK75"/>
    <mergeCell ref="AL70:AL75"/>
    <mergeCell ref="AT76:AT81"/>
    <mergeCell ref="AU76:AU81"/>
    <mergeCell ref="AV76:AV81"/>
    <mergeCell ref="AW76:AW81"/>
    <mergeCell ref="AX76:AX81"/>
    <mergeCell ref="AV82:AV87"/>
    <mergeCell ref="AW82:AW87"/>
    <mergeCell ref="AX82:AX87"/>
    <mergeCell ref="AF82:AF87"/>
    <mergeCell ref="AG82:AG87"/>
    <mergeCell ref="AH82:AH87"/>
    <mergeCell ref="AI82:AI87"/>
    <mergeCell ref="AJ82:AJ87"/>
    <mergeCell ref="AK82:AK87"/>
    <mergeCell ref="AL82:AL87"/>
    <mergeCell ref="AO64:AO69"/>
    <mergeCell ref="AP64:AP69"/>
    <mergeCell ref="AQ64:AQ69"/>
    <mergeCell ref="AR64:AR69"/>
    <mergeCell ref="AS64:AS69"/>
    <mergeCell ref="AT70:AT75"/>
    <mergeCell ref="AU70:AU75"/>
    <mergeCell ref="AV70:AV75"/>
    <mergeCell ref="AW70:AW75"/>
    <mergeCell ref="AX70:AX75"/>
    <mergeCell ref="AM70:AM75"/>
    <mergeCell ref="AN70:AN75"/>
    <mergeCell ref="AO70:AO75"/>
    <mergeCell ref="AP70:AP75"/>
    <mergeCell ref="AQ70:AQ75"/>
    <mergeCell ref="AR70:AR75"/>
    <mergeCell ref="AS70:AS75"/>
    <mergeCell ref="AU58:AU63"/>
    <mergeCell ref="AV58:AV63"/>
    <mergeCell ref="AW58:AW63"/>
    <mergeCell ref="AX58:AX63"/>
    <mergeCell ref="AV64:AV69"/>
    <mergeCell ref="AW64:AW69"/>
    <mergeCell ref="AX64:AX69"/>
    <mergeCell ref="AF64:AF69"/>
    <mergeCell ref="AG64:AG69"/>
    <mergeCell ref="AH64:AH69"/>
    <mergeCell ref="AI64:AI69"/>
    <mergeCell ref="AJ64:AJ69"/>
    <mergeCell ref="AK64:AK69"/>
    <mergeCell ref="AL64:AL69"/>
    <mergeCell ref="AM76:AM81"/>
    <mergeCell ref="AN76:AN81"/>
    <mergeCell ref="AO76:AO81"/>
    <mergeCell ref="AP76:AP81"/>
    <mergeCell ref="AQ76:AQ81"/>
    <mergeCell ref="AR76:AR81"/>
    <mergeCell ref="AS76:AS81"/>
    <mergeCell ref="AF76:AF81"/>
    <mergeCell ref="AG76:AG81"/>
    <mergeCell ref="AH76:AH81"/>
    <mergeCell ref="AI76:AI81"/>
    <mergeCell ref="AJ76:AJ81"/>
    <mergeCell ref="AK76:AK81"/>
    <mergeCell ref="AL76:AL81"/>
    <mergeCell ref="AT64:AT69"/>
    <mergeCell ref="AU64:AU69"/>
    <mergeCell ref="AM64:AM69"/>
    <mergeCell ref="AN64:AN69"/>
    <mergeCell ref="AO46:AO51"/>
    <mergeCell ref="AP46:AP51"/>
    <mergeCell ref="AQ46:AQ51"/>
    <mergeCell ref="AR46:AR51"/>
    <mergeCell ref="AS46:AS51"/>
    <mergeCell ref="AU52:AU57"/>
    <mergeCell ref="AV52:AV57"/>
    <mergeCell ref="AW52:AW57"/>
    <mergeCell ref="AX52:AX57"/>
    <mergeCell ref="AN52:AN57"/>
    <mergeCell ref="AO52:AO57"/>
    <mergeCell ref="AP52:AP57"/>
    <mergeCell ref="AQ52:AQ57"/>
    <mergeCell ref="AR52:AR57"/>
    <mergeCell ref="AS52:AS57"/>
    <mergeCell ref="AT52:AT57"/>
    <mergeCell ref="AG52:AG57"/>
    <mergeCell ref="AH52:AH57"/>
    <mergeCell ref="AI52:AI57"/>
    <mergeCell ref="AJ52:AJ57"/>
    <mergeCell ref="AK52:AK57"/>
    <mergeCell ref="AL52:AL57"/>
    <mergeCell ref="AM52:AM57"/>
    <mergeCell ref="AU40:AU45"/>
    <mergeCell ref="AV40:AV45"/>
    <mergeCell ref="AW40:AW45"/>
    <mergeCell ref="AX40:AX45"/>
    <mergeCell ref="AV46:AV51"/>
    <mergeCell ref="AW46:AW51"/>
    <mergeCell ref="AX46:AX51"/>
    <mergeCell ref="AF46:AF51"/>
    <mergeCell ref="AG46:AG51"/>
    <mergeCell ref="AH46:AH51"/>
    <mergeCell ref="AI46:AI51"/>
    <mergeCell ref="AJ46:AJ51"/>
    <mergeCell ref="AK46:AK51"/>
    <mergeCell ref="AL46:AL51"/>
    <mergeCell ref="AN58:AN63"/>
    <mergeCell ref="AO58:AO63"/>
    <mergeCell ref="AP58:AP63"/>
    <mergeCell ref="AQ58:AQ63"/>
    <mergeCell ref="AR58:AR63"/>
    <mergeCell ref="AS58:AS63"/>
    <mergeCell ref="AT58:AT63"/>
    <mergeCell ref="AG58:AG63"/>
    <mergeCell ref="AH58:AH63"/>
    <mergeCell ref="AI58:AI63"/>
    <mergeCell ref="AJ58:AJ63"/>
    <mergeCell ref="AK58:AK63"/>
    <mergeCell ref="AL58:AL63"/>
    <mergeCell ref="AM58:AM63"/>
    <mergeCell ref="AT46:AT51"/>
    <mergeCell ref="AU46:AU51"/>
    <mergeCell ref="AM46:AM51"/>
    <mergeCell ref="AN46:AN51"/>
    <mergeCell ref="AU34:AU39"/>
    <mergeCell ref="AV34:AV39"/>
    <mergeCell ref="AW34:AW39"/>
    <mergeCell ref="AX34:AX39"/>
    <mergeCell ref="AM34:AM39"/>
    <mergeCell ref="AN34:AN39"/>
    <mergeCell ref="AO34:AO39"/>
    <mergeCell ref="AP34:AP39"/>
    <mergeCell ref="AQ34:AQ39"/>
    <mergeCell ref="AR34:AR39"/>
    <mergeCell ref="AS34:AS39"/>
    <mergeCell ref="AF34:AF39"/>
    <mergeCell ref="AG34:AG39"/>
    <mergeCell ref="AH34:AH39"/>
    <mergeCell ref="AI34:AI39"/>
    <mergeCell ref="AJ34:AJ39"/>
    <mergeCell ref="AK34:AK39"/>
    <mergeCell ref="AL34:AL39"/>
    <mergeCell ref="AM40:AM45"/>
    <mergeCell ref="AN40:AN45"/>
    <mergeCell ref="AO40:AO45"/>
    <mergeCell ref="AP40:AP45"/>
    <mergeCell ref="AQ40:AQ45"/>
    <mergeCell ref="AR40:AR45"/>
    <mergeCell ref="AS40:AS45"/>
    <mergeCell ref="AF40:AF45"/>
    <mergeCell ref="AG40:AG45"/>
    <mergeCell ref="AH40:AH45"/>
    <mergeCell ref="AI40:AI45"/>
    <mergeCell ref="AJ40:AJ45"/>
    <mergeCell ref="AK40:AK45"/>
    <mergeCell ref="AL40:AL45"/>
    <mergeCell ref="AS28:AS33"/>
    <mergeCell ref="AT28:AT33"/>
    <mergeCell ref="AL28:AL33"/>
    <mergeCell ref="AM28:AM33"/>
    <mergeCell ref="AN28:AN33"/>
    <mergeCell ref="AO28:AO33"/>
    <mergeCell ref="AP28:AP33"/>
    <mergeCell ref="AQ28:AQ33"/>
    <mergeCell ref="AR28:AR33"/>
    <mergeCell ref="AT34:AT39"/>
    <mergeCell ref="AT40:AT45"/>
  </mergeCells>
  <pageMargins left="0.7" right="0.7" top="0.75" bottom="0.75" header="0" footer="0"/>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GESTIÓN</vt:lpstr>
      <vt:lpstr>INVERSIÓN</vt:lpstr>
      <vt:lpstr>ACTIVIDADES</vt:lpstr>
      <vt:lpstr>TERRITORIALIZACION</vt:lpstr>
      <vt:lpstr>SPI</vt:lpstr>
      <vt:lpstr>TERRITORIALIZACIÓN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dcterms:created xsi:type="dcterms:W3CDTF">2010-03-25T16:40:43Z</dcterms:created>
  <dcterms:modified xsi:type="dcterms:W3CDTF">2024-04-17T14:51:59Z</dcterms:modified>
</cp:coreProperties>
</file>